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508" i="3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BV508"/>
  <c r="BU508"/>
  <c r="BT508"/>
  <c r="BS508"/>
  <c r="BR508"/>
  <c r="BQ508"/>
  <c r="BP508"/>
  <c r="BO508"/>
  <c r="BN508"/>
  <c r="E508"/>
  <c r="D508"/>
  <c r="C508"/>
  <c r="B508"/>
  <c r="A508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BV507"/>
  <c r="BU507"/>
  <c r="BT507"/>
  <c r="BS507"/>
  <c r="BR507"/>
  <c r="BQ507"/>
  <c r="BP507"/>
  <c r="BO507"/>
  <c r="BN507"/>
  <c r="A507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BV506"/>
  <c r="BU506"/>
  <c r="BT506"/>
  <c r="BS506"/>
  <c r="BR506"/>
  <c r="BQ506"/>
  <c r="BP506"/>
  <c r="BO506"/>
  <c r="BN506"/>
  <c r="A506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BV505"/>
  <c r="BU505"/>
  <c r="BT505"/>
  <c r="BS505"/>
  <c r="BR505"/>
  <c r="BQ505"/>
  <c r="BP505"/>
  <c r="BO505"/>
  <c r="BN505"/>
  <c r="A505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BV504"/>
  <c r="BU504"/>
  <c r="BT504"/>
  <c r="BS504"/>
  <c r="BR504"/>
  <c r="BQ504"/>
  <c r="BP504"/>
  <c r="BO504"/>
  <c r="BN504"/>
  <c r="A504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BV503"/>
  <c r="BU503"/>
  <c r="BT503"/>
  <c r="BS503"/>
  <c r="BR503"/>
  <c r="BQ503"/>
  <c r="BP503"/>
  <c r="BO503"/>
  <c r="BN503"/>
  <c r="A503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BV502"/>
  <c r="BU502"/>
  <c r="BT502"/>
  <c r="BS502"/>
  <c r="BR502"/>
  <c r="BQ502"/>
  <c r="BP502"/>
  <c r="BO502"/>
  <c r="BN502"/>
  <c r="A502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BV501"/>
  <c r="BU501"/>
  <c r="BT501"/>
  <c r="BS501"/>
  <c r="BR501"/>
  <c r="BQ501"/>
  <c r="BP501"/>
  <c r="BO501"/>
  <c r="BN501"/>
  <c r="A501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BV500"/>
  <c r="BU500"/>
  <c r="BT500"/>
  <c r="BS500"/>
  <c r="BR500"/>
  <c r="BQ500"/>
  <c r="BP500"/>
  <c r="BO500"/>
  <c r="BN500"/>
  <c r="A500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BV499"/>
  <c r="BU499"/>
  <c r="BT499"/>
  <c r="BS499"/>
  <c r="BR499"/>
  <c r="BQ499"/>
  <c r="BP499"/>
  <c r="BO499"/>
  <c r="BN499"/>
  <c r="A499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BV498"/>
  <c r="BU498"/>
  <c r="BT498"/>
  <c r="BS498"/>
  <c r="BR498"/>
  <c r="BQ498"/>
  <c r="BP498"/>
  <c r="BO498"/>
  <c r="BN498"/>
  <c r="A498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BV497"/>
  <c r="BU497"/>
  <c r="BT497"/>
  <c r="BS497"/>
  <c r="BR497"/>
  <c r="BQ497"/>
  <c r="BP497"/>
  <c r="BO497"/>
  <c r="BN497"/>
  <c r="A497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BV496"/>
  <c r="BU496"/>
  <c r="BT496"/>
  <c r="BS496"/>
  <c r="BR496"/>
  <c r="BQ496"/>
  <c r="BP496"/>
  <c r="BO496"/>
  <c r="BN496"/>
  <c r="A496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BV495"/>
  <c r="BU495"/>
  <c r="BT495"/>
  <c r="BS495"/>
  <c r="BR495"/>
  <c r="BQ495"/>
  <c r="BP495"/>
  <c r="BO495"/>
  <c r="BN495"/>
  <c r="A495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BV494"/>
  <c r="BU494"/>
  <c r="BT494"/>
  <c r="BS494"/>
  <c r="BR494"/>
  <c r="BQ494"/>
  <c r="BP494"/>
  <c r="BO494"/>
  <c r="BN494"/>
  <c r="A494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BV493"/>
  <c r="BU493"/>
  <c r="BT493"/>
  <c r="BS493"/>
  <c r="BR493"/>
  <c r="BQ493"/>
  <c r="BP493"/>
  <c r="BO493"/>
  <c r="BN493"/>
  <c r="A493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BV492"/>
  <c r="BU492"/>
  <c r="BT492"/>
  <c r="BS492"/>
  <c r="BR492"/>
  <c r="BQ492"/>
  <c r="BP492"/>
  <c r="BO492"/>
  <c r="BN492"/>
  <c r="A492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BV491"/>
  <c r="BU491"/>
  <c r="BT491"/>
  <c r="BS491"/>
  <c r="BR491"/>
  <c r="BQ491"/>
  <c r="BP491"/>
  <c r="BO491"/>
  <c r="BN491"/>
  <c r="BJ491"/>
  <c r="BI491"/>
  <c r="BH491"/>
  <c r="BG491"/>
  <c r="BF491"/>
  <c r="BE491"/>
  <c r="BD491"/>
  <c r="BC491"/>
  <c r="BB491"/>
  <c r="BA491"/>
  <c r="AZ491"/>
  <c r="AY491"/>
  <c r="AX491"/>
  <c r="AW491"/>
  <c r="AV491"/>
  <c r="AU491"/>
  <c r="AT491"/>
  <c r="AS491"/>
  <c r="AR491"/>
  <c r="AQ491"/>
  <c r="AP491"/>
  <c r="AO491"/>
  <c r="AN491"/>
  <c r="AM491"/>
  <c r="AL491"/>
  <c r="AK491"/>
  <c r="AJ491"/>
  <c r="AI491"/>
  <c r="AH491"/>
  <c r="AG491"/>
  <c r="AF491"/>
  <c r="AE491"/>
  <c r="AD491"/>
  <c r="AC491"/>
  <c r="AB491"/>
  <c r="AA491"/>
  <c r="Z491"/>
  <c r="Y491"/>
  <c r="X491"/>
  <c r="W491"/>
  <c r="V491"/>
  <c r="U491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B491"/>
  <c r="A491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BV490"/>
  <c r="BU490"/>
  <c r="BT490"/>
  <c r="BS490"/>
  <c r="BR490"/>
  <c r="BQ490"/>
  <c r="BP490"/>
  <c r="BO490"/>
  <c r="BN490"/>
  <c r="E490"/>
  <c r="D490"/>
  <c r="C490"/>
  <c r="B490"/>
  <c r="A490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BV489"/>
  <c r="BU489"/>
  <c r="BT489"/>
  <c r="BS489"/>
  <c r="BR489"/>
  <c r="BQ489"/>
  <c r="BP489"/>
  <c r="BO489"/>
  <c r="BN489"/>
  <c r="E489"/>
  <c r="D489"/>
  <c r="C489"/>
  <c r="B489"/>
  <c r="A489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BV488"/>
  <c r="BU488"/>
  <c r="BT488"/>
  <c r="BS488"/>
  <c r="BR488"/>
  <c r="BQ488"/>
  <c r="BP488"/>
  <c r="BO488"/>
  <c r="BN488"/>
  <c r="E488"/>
  <c r="D488"/>
  <c r="C488"/>
  <c r="A488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BV487"/>
  <c r="BU487"/>
  <c r="BT487"/>
  <c r="BS487"/>
  <c r="BR487"/>
  <c r="BQ487"/>
  <c r="BP487"/>
  <c r="BO487"/>
  <c r="BN487"/>
  <c r="E487"/>
  <c r="D487"/>
  <c r="C487"/>
  <c r="B487"/>
  <c r="A487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BV486"/>
  <c r="BU486"/>
  <c r="BT486"/>
  <c r="BS486"/>
  <c r="BR486"/>
  <c r="BQ486"/>
  <c r="BP486"/>
  <c r="BO486"/>
  <c r="BN486"/>
  <c r="A486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BV485"/>
  <c r="BU485"/>
  <c r="BT485"/>
  <c r="BS485"/>
  <c r="BR485"/>
  <c r="BQ485"/>
  <c r="BP485"/>
  <c r="BO485"/>
  <c r="BN485"/>
  <c r="E485"/>
  <c r="D485"/>
  <c r="C485"/>
  <c r="B485"/>
  <c r="A485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BV484"/>
  <c r="BU484"/>
  <c r="BT484"/>
  <c r="BS484"/>
  <c r="BR484"/>
  <c r="BQ484"/>
  <c r="BP484"/>
  <c r="BO484"/>
  <c r="BN484"/>
  <c r="E484"/>
  <c r="D484"/>
  <c r="C484"/>
  <c r="B484"/>
  <c r="A484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BV483"/>
  <c r="BU483"/>
  <c r="BT483"/>
  <c r="BS483"/>
  <c r="BR483"/>
  <c r="BQ483"/>
  <c r="BP483"/>
  <c r="BO483"/>
  <c r="BN483"/>
  <c r="E483"/>
  <c r="D483"/>
  <c r="C483"/>
  <c r="B483"/>
  <c r="A483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BV482"/>
  <c r="BU482"/>
  <c r="BT482"/>
  <c r="BS482"/>
  <c r="BR482"/>
  <c r="BQ482"/>
  <c r="BP482"/>
  <c r="BO482"/>
  <c r="BN482"/>
  <c r="E482"/>
  <c r="D482"/>
  <c r="C482"/>
  <c r="B482"/>
  <c r="A482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BV481"/>
  <c r="BU481"/>
  <c r="BT481"/>
  <c r="BS481"/>
  <c r="BR481"/>
  <c r="BQ481"/>
  <c r="BP481"/>
  <c r="BO481"/>
  <c r="BN481"/>
  <c r="E481"/>
  <c r="D481"/>
  <c r="C481"/>
  <c r="B481"/>
  <c r="A481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BV480"/>
  <c r="BU480"/>
  <c r="BT480"/>
  <c r="BS480"/>
  <c r="BR480"/>
  <c r="BQ480"/>
  <c r="BP480"/>
  <c r="BO480"/>
  <c r="BN480"/>
  <c r="E480"/>
  <c r="D480"/>
  <c r="C480"/>
  <c r="B480"/>
  <c r="A480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BV479"/>
  <c r="BU479"/>
  <c r="BT479"/>
  <c r="BS479"/>
  <c r="BR479"/>
  <c r="BQ479"/>
  <c r="BP479"/>
  <c r="BO479"/>
  <c r="BN479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BV478"/>
  <c r="BU478"/>
  <c r="BT478"/>
  <c r="BS478"/>
  <c r="BR478"/>
  <c r="BQ478"/>
  <c r="BP478"/>
  <c r="BO478"/>
  <c r="BN478"/>
  <c r="B478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BV477"/>
  <c r="BU477"/>
  <c r="BT477"/>
  <c r="BS477"/>
  <c r="BR477"/>
  <c r="BQ477"/>
  <c r="BP477"/>
  <c r="BO477"/>
  <c r="BN477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BV476"/>
  <c r="BU476"/>
  <c r="BT476"/>
  <c r="BS476"/>
  <c r="BR476"/>
  <c r="BQ476"/>
  <c r="BP476"/>
  <c r="BO476"/>
  <c r="BN476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BV475"/>
  <c r="BU475"/>
  <c r="BT475"/>
  <c r="BS475"/>
  <c r="BR475"/>
  <c r="BQ475"/>
  <c r="BP475"/>
  <c r="BO475"/>
  <c r="BN475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BV474"/>
  <c r="BU474"/>
  <c r="BT474"/>
  <c r="BS474"/>
  <c r="BR474"/>
  <c r="BQ474"/>
  <c r="BP474"/>
  <c r="BO474"/>
  <c r="BN474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BV473"/>
  <c r="BU473"/>
  <c r="BT473"/>
  <c r="BS473"/>
  <c r="BR473"/>
  <c r="BQ473"/>
  <c r="BP473"/>
  <c r="BO473"/>
  <c r="BN473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BV472"/>
  <c r="BU472"/>
  <c r="BT472"/>
  <c r="BS472"/>
  <c r="BR472"/>
  <c r="BQ472"/>
  <c r="BP472"/>
  <c r="BO472"/>
  <c r="BN472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BV471"/>
  <c r="BU471"/>
  <c r="BT471"/>
  <c r="BS471"/>
  <c r="BR471"/>
  <c r="BQ471"/>
  <c r="BP471"/>
  <c r="BO471"/>
  <c r="BN471"/>
  <c r="C471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BV470"/>
  <c r="BU470"/>
  <c r="BT470"/>
  <c r="BS470"/>
  <c r="BR470"/>
  <c r="BQ470"/>
  <c r="BP470"/>
  <c r="BO470"/>
  <c r="BN470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BV469"/>
  <c r="BU469"/>
  <c r="BT469"/>
  <c r="BS469"/>
  <c r="BR469"/>
  <c r="BQ469"/>
  <c r="BP469"/>
  <c r="BO469"/>
  <c r="BN469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BV468"/>
  <c r="BU468"/>
  <c r="BT468"/>
  <c r="BS468"/>
  <c r="BR468"/>
  <c r="BQ468"/>
  <c r="BP468"/>
  <c r="BO468"/>
  <c r="BN468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BV467"/>
  <c r="BU467"/>
  <c r="BT467"/>
  <c r="BS467"/>
  <c r="BR467"/>
  <c r="BQ467"/>
  <c r="BP467"/>
  <c r="BO467"/>
  <c r="BN467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BV466"/>
  <c r="BU466"/>
  <c r="BT466"/>
  <c r="BS466"/>
  <c r="BR466"/>
  <c r="BQ466"/>
  <c r="BP466"/>
  <c r="BO466"/>
  <c r="BN466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BV465"/>
  <c r="BU465"/>
  <c r="BT465"/>
  <c r="BS465"/>
  <c r="BR465"/>
  <c r="BQ465"/>
  <c r="BP465"/>
  <c r="BO465"/>
  <c r="BN465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BV464"/>
  <c r="BU464"/>
  <c r="BT464"/>
  <c r="BS464"/>
  <c r="BR464"/>
  <c r="BQ464"/>
  <c r="BP464"/>
  <c r="BO464"/>
  <c r="BN464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BV463"/>
  <c r="BU463"/>
  <c r="BT463"/>
  <c r="BS463"/>
  <c r="BR463"/>
  <c r="BQ463"/>
  <c r="BP463"/>
  <c r="BO463"/>
  <c r="BN463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BV462"/>
  <c r="BU462"/>
  <c r="BT462"/>
  <c r="BS462"/>
  <c r="BR462"/>
  <c r="BQ462"/>
  <c r="BP462"/>
  <c r="BO462"/>
  <c r="BN462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BV461"/>
  <c r="BU461"/>
  <c r="BT461"/>
  <c r="BS461"/>
  <c r="BR461"/>
  <c r="BQ461"/>
  <c r="BP461"/>
  <c r="BO461"/>
  <c r="BN461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BV460"/>
  <c r="BU460"/>
  <c r="BT460"/>
  <c r="BS460"/>
  <c r="BR460"/>
  <c r="BQ460"/>
  <c r="BP460"/>
  <c r="BO460"/>
  <c r="BN460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BV459"/>
  <c r="BU459"/>
  <c r="BT459"/>
  <c r="BS459"/>
  <c r="BR459"/>
  <c r="BQ459"/>
  <c r="BP459"/>
  <c r="BO459"/>
  <c r="BN459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BV458"/>
  <c r="BU458"/>
  <c r="BT458"/>
  <c r="BS458"/>
  <c r="BR458"/>
  <c r="BQ458"/>
  <c r="BP458"/>
  <c r="BO458"/>
  <c r="BN458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BV457"/>
  <c r="BU457"/>
  <c r="BT457"/>
  <c r="BS457"/>
  <c r="BR457"/>
  <c r="BQ457"/>
  <c r="BP457"/>
  <c r="BO457"/>
  <c r="BN457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BV456"/>
  <c r="BU456"/>
  <c r="BT456"/>
  <c r="BS456"/>
  <c r="BR456"/>
  <c r="BQ456"/>
  <c r="BP456"/>
  <c r="BO456"/>
  <c r="BN456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BV455"/>
  <c r="BU455"/>
  <c r="BT455"/>
  <c r="BS455"/>
  <c r="BR455"/>
  <c r="BQ455"/>
  <c r="BP455"/>
  <c r="BO455"/>
  <c r="BN455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BV454"/>
  <c r="BU454"/>
  <c r="BT454"/>
  <c r="BS454"/>
  <c r="BR454"/>
  <c r="BQ454"/>
  <c r="BP454"/>
  <c r="BO454"/>
  <c r="BN454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BV453"/>
  <c r="BU453"/>
  <c r="BT453"/>
  <c r="BS453"/>
  <c r="BR453"/>
  <c r="BQ453"/>
  <c r="BP453"/>
  <c r="BO453"/>
  <c r="BN453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BV452"/>
  <c r="BU452"/>
  <c r="BT452"/>
  <c r="BS452"/>
  <c r="BR452"/>
  <c r="BQ452"/>
  <c r="BP452"/>
  <c r="BO452"/>
  <c r="BN452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BV451"/>
  <c r="BU451"/>
  <c r="BT451"/>
  <c r="BS451"/>
  <c r="BR451"/>
  <c r="BQ451"/>
  <c r="BP451"/>
  <c r="BO451"/>
  <c r="BN451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BV450"/>
  <c r="BU450"/>
  <c r="BT450"/>
  <c r="BS450"/>
  <c r="BR450"/>
  <c r="BQ450"/>
  <c r="BP450"/>
  <c r="BO450"/>
  <c r="BN450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BV449"/>
  <c r="BU449"/>
  <c r="BT449"/>
  <c r="BS449"/>
  <c r="BR449"/>
  <c r="BQ449"/>
  <c r="BP449"/>
  <c r="BO449"/>
  <c r="BN449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BV448"/>
  <c r="BU448"/>
  <c r="BT448"/>
  <c r="BS448"/>
  <c r="BR448"/>
  <c r="BQ448"/>
  <c r="BP448"/>
  <c r="BO448"/>
  <c r="BN448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BV447"/>
  <c r="BU447"/>
  <c r="BT447"/>
  <c r="BS447"/>
  <c r="BR447"/>
  <c r="BQ447"/>
  <c r="BP447"/>
  <c r="BO447"/>
  <c r="BN447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BV446"/>
  <c r="BU446"/>
  <c r="BT446"/>
  <c r="BS446"/>
  <c r="BR446"/>
  <c r="BQ446"/>
  <c r="BP446"/>
  <c r="BO446"/>
  <c r="BN446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BV445"/>
  <c r="BU445"/>
  <c r="BT445"/>
  <c r="BS445"/>
  <c r="BR445"/>
  <c r="BQ445"/>
  <c r="BP445"/>
  <c r="BO445"/>
  <c r="BN445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BV444"/>
  <c r="BU444"/>
  <c r="BT444"/>
  <c r="BS444"/>
  <c r="BR444"/>
  <c r="BQ444"/>
  <c r="BP444"/>
  <c r="BO444"/>
  <c r="BN444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BV443"/>
  <c r="BU443"/>
  <c r="BT443"/>
  <c r="BS443"/>
  <c r="BR443"/>
  <c r="BQ443"/>
  <c r="BP443"/>
  <c r="BO443"/>
  <c r="BN443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BV442"/>
  <c r="BU442"/>
  <c r="BT442"/>
  <c r="BS442"/>
  <c r="BR442"/>
  <c r="BQ442"/>
  <c r="BP442"/>
  <c r="BO442"/>
  <c r="BN442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BV441"/>
  <c r="BU441"/>
  <c r="BT441"/>
  <c r="BS441"/>
  <c r="BR441"/>
  <c r="BQ441"/>
  <c r="BP441"/>
  <c r="BO441"/>
  <c r="BN441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BV440"/>
  <c r="BU440"/>
  <c r="BT440"/>
  <c r="BS440"/>
  <c r="BR440"/>
  <c r="BQ440"/>
  <c r="BP440"/>
  <c r="BO440"/>
  <c r="BN440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BV439"/>
  <c r="BU439"/>
  <c r="BT439"/>
  <c r="BS439"/>
  <c r="BR439"/>
  <c r="BQ439"/>
  <c r="BP439"/>
  <c r="BO439"/>
  <c r="BN439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BV438"/>
  <c r="BU438"/>
  <c r="BT438"/>
  <c r="BS438"/>
  <c r="BR438"/>
  <c r="BQ438"/>
  <c r="BP438"/>
  <c r="BO438"/>
  <c r="BN438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BV437"/>
  <c r="BU437"/>
  <c r="BT437"/>
  <c r="BS437"/>
  <c r="BR437"/>
  <c r="BQ437"/>
  <c r="BP437"/>
  <c r="BO437"/>
  <c r="BN437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BV436"/>
  <c r="BU436"/>
  <c r="BT436"/>
  <c r="BS436"/>
  <c r="BR436"/>
  <c r="BQ436"/>
  <c r="BP436"/>
  <c r="BO436"/>
  <c r="BN436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BV435"/>
  <c r="BU435"/>
  <c r="BT435"/>
  <c r="BS435"/>
  <c r="BR435"/>
  <c r="BQ435"/>
  <c r="BP435"/>
  <c r="BO435"/>
  <c r="BN435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BV434"/>
  <c r="BU434"/>
  <c r="BT434"/>
  <c r="BS434"/>
  <c r="BR434"/>
  <c r="BQ434"/>
  <c r="BP434"/>
  <c r="BO434"/>
  <c r="BN434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BV433"/>
  <c r="BU433"/>
  <c r="BT433"/>
  <c r="BS433"/>
  <c r="BR433"/>
  <c r="BQ433"/>
  <c r="BP433"/>
  <c r="BO433"/>
  <c r="BN433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BV432"/>
  <c r="BU432"/>
  <c r="BT432"/>
  <c r="BS432"/>
  <c r="BR432"/>
  <c r="BQ432"/>
  <c r="BP432"/>
  <c r="BO432"/>
  <c r="BN432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BV431"/>
  <c r="BU431"/>
  <c r="BT431"/>
  <c r="BS431"/>
  <c r="BR431"/>
  <c r="BQ431"/>
  <c r="BP431"/>
  <c r="BO431"/>
  <c r="BN431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BV430"/>
  <c r="BU430"/>
  <c r="BT430"/>
  <c r="BS430"/>
  <c r="BR430"/>
  <c r="BQ430"/>
  <c r="BP430"/>
  <c r="BO430"/>
  <c r="BN430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BV429"/>
  <c r="BU429"/>
  <c r="BT429"/>
  <c r="BS429"/>
  <c r="BR429"/>
  <c r="BQ429"/>
  <c r="BP429"/>
  <c r="BO429"/>
  <c r="BN429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BV428"/>
  <c r="BU428"/>
  <c r="BT428"/>
  <c r="BS428"/>
  <c r="BR428"/>
  <c r="BQ428"/>
  <c r="BP428"/>
  <c r="BO428"/>
  <c r="BN428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BV427"/>
  <c r="BU427"/>
  <c r="BT427"/>
  <c r="BS427"/>
  <c r="BR427"/>
  <c r="BQ427"/>
  <c r="BP427"/>
  <c r="BO427"/>
  <c r="BN427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BV426"/>
  <c r="BU426"/>
  <c r="BT426"/>
  <c r="BS426"/>
  <c r="BR426"/>
  <c r="BQ426"/>
  <c r="BP426"/>
  <c r="BO426"/>
  <c r="BN426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BV425"/>
  <c r="BU425"/>
  <c r="BT425"/>
  <c r="BS425"/>
  <c r="BR425"/>
  <c r="BQ425"/>
  <c r="BP425"/>
  <c r="BO425"/>
  <c r="BN425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BV424"/>
  <c r="BU424"/>
  <c r="BT424"/>
  <c r="BS424"/>
  <c r="BR424"/>
  <c r="BQ424"/>
  <c r="BP424"/>
  <c r="BO424"/>
  <c r="BN424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BV423"/>
  <c r="BU423"/>
  <c r="BT423"/>
  <c r="BS423"/>
  <c r="BR423"/>
  <c r="BQ423"/>
  <c r="BP423"/>
  <c r="BO423"/>
  <c r="BN423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BV422"/>
  <c r="BU422"/>
  <c r="BT422"/>
  <c r="BS422"/>
  <c r="BR422"/>
  <c r="BQ422"/>
  <c r="BP422"/>
  <c r="BO422"/>
  <c r="BN422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BV421"/>
  <c r="BU421"/>
  <c r="BT421"/>
  <c r="BS421"/>
  <c r="BR421"/>
  <c r="BQ421"/>
  <c r="BP421"/>
  <c r="BO421"/>
  <c r="BN421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BV420"/>
  <c r="BU420"/>
  <c r="BT420"/>
  <c r="BS420"/>
  <c r="BR420"/>
  <c r="BQ420"/>
  <c r="BP420"/>
  <c r="BO420"/>
  <c r="BN420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BV419"/>
  <c r="BU419"/>
  <c r="BT419"/>
  <c r="BS419"/>
  <c r="BR419"/>
  <c r="BQ419"/>
  <c r="BP419"/>
  <c r="BO419"/>
  <c r="BN419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BV418"/>
  <c r="BU418"/>
  <c r="BT418"/>
  <c r="BS418"/>
  <c r="BR418"/>
  <c r="BQ418"/>
  <c r="BP418"/>
  <c r="BO418"/>
  <c r="BN418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BV417"/>
  <c r="BU417"/>
  <c r="BT417"/>
  <c r="BS417"/>
  <c r="BR417"/>
  <c r="BQ417"/>
  <c r="BP417"/>
  <c r="BO417"/>
  <c r="BN417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BV416"/>
  <c r="BU416"/>
  <c r="BT416"/>
  <c r="BS416"/>
  <c r="BR416"/>
  <c r="BQ416"/>
  <c r="BP416"/>
  <c r="BO416"/>
  <c r="BN416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BV415"/>
  <c r="BU415"/>
  <c r="BT415"/>
  <c r="BS415"/>
  <c r="BR415"/>
  <c r="BQ415"/>
  <c r="BP415"/>
  <c r="BO415"/>
  <c r="BN415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BV414"/>
  <c r="BU414"/>
  <c r="BT414"/>
  <c r="BS414"/>
  <c r="BR414"/>
  <c r="BQ414"/>
  <c r="BP414"/>
  <c r="BO414"/>
  <c r="BN414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BV413"/>
  <c r="BU413"/>
  <c r="BT413"/>
  <c r="BS413"/>
  <c r="BR413"/>
  <c r="BQ413"/>
  <c r="BP413"/>
  <c r="BO413"/>
  <c r="BN413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BV412"/>
  <c r="BU412"/>
  <c r="BT412"/>
  <c r="BS412"/>
  <c r="BR412"/>
  <c r="BQ412"/>
  <c r="BP412"/>
  <c r="BO412"/>
  <c r="BN412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BV411"/>
  <c r="BU411"/>
  <c r="BT411"/>
  <c r="BS411"/>
  <c r="BR411"/>
  <c r="BQ411"/>
  <c r="BP411"/>
  <c r="BO411"/>
  <c r="BN411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A258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B257"/>
  <c r="B488" s="1"/>
  <c r="A257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A256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255"/>
  <c r="B256" s="1"/>
  <c r="A255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C254"/>
  <c r="B254"/>
  <c r="A254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B253"/>
  <c r="A253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A251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A250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E242"/>
  <c r="E479" s="1"/>
  <c r="D242"/>
  <c r="D479" s="1"/>
  <c r="C242"/>
  <c r="C479" s="1"/>
  <c r="B242"/>
  <c r="B479" s="1"/>
  <c r="A242"/>
  <c r="A479" s="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E241"/>
  <c r="E478" s="1"/>
  <c r="D241"/>
  <c r="D478" s="1"/>
  <c r="C241"/>
  <c r="C478" s="1"/>
  <c r="B241"/>
  <c r="A241"/>
  <c r="A478" s="1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E240"/>
  <c r="E477" s="1"/>
  <c r="D240"/>
  <c r="D477" s="1"/>
  <c r="C240"/>
  <c r="C477" s="1"/>
  <c r="B240"/>
  <c r="B477" s="1"/>
  <c r="A240"/>
  <c r="A477" s="1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E239"/>
  <c r="E476" s="1"/>
  <c r="D239"/>
  <c r="D476" s="1"/>
  <c r="C239"/>
  <c r="C476" s="1"/>
  <c r="B239"/>
  <c r="B476" s="1"/>
  <c r="A239"/>
  <c r="A476" s="1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E238"/>
  <c r="E475" s="1"/>
  <c r="D238"/>
  <c r="D475" s="1"/>
  <c r="C238"/>
  <c r="C475" s="1"/>
  <c r="B238"/>
  <c r="B475" s="1"/>
  <c r="A238"/>
  <c r="A475" s="1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E237"/>
  <c r="E474" s="1"/>
  <c r="D237"/>
  <c r="D474" s="1"/>
  <c r="C237"/>
  <c r="C474" s="1"/>
  <c r="B237"/>
  <c r="B474" s="1"/>
  <c r="A237"/>
  <c r="A474" s="1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E236"/>
  <c r="E473" s="1"/>
  <c r="D236"/>
  <c r="D473" s="1"/>
  <c r="C236"/>
  <c r="C473" s="1"/>
  <c r="B236"/>
  <c r="B473" s="1"/>
  <c r="A236"/>
  <c r="A473" s="1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E235"/>
  <c r="E472" s="1"/>
  <c r="D235"/>
  <c r="D472" s="1"/>
  <c r="C235"/>
  <c r="C472" s="1"/>
  <c r="B235"/>
  <c r="B472" s="1"/>
  <c r="A235"/>
  <c r="A472" s="1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E234"/>
  <c r="E471" s="1"/>
  <c r="D234"/>
  <c r="D471" s="1"/>
  <c r="C234"/>
  <c r="B234"/>
  <c r="B471" s="1"/>
  <c r="A234"/>
  <c r="A471" s="1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E233"/>
  <c r="E470" s="1"/>
  <c r="D233"/>
  <c r="D470" s="1"/>
  <c r="C233"/>
  <c r="C470" s="1"/>
  <c r="B233"/>
  <c r="B470" s="1"/>
  <c r="A233"/>
  <c r="A470" s="1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E232"/>
  <c r="E469" s="1"/>
  <c r="D232"/>
  <c r="D469" s="1"/>
  <c r="C232"/>
  <c r="C469" s="1"/>
  <c r="B232"/>
  <c r="B469" s="1"/>
  <c r="A232"/>
  <c r="A469" s="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E231"/>
  <c r="E231" i="2" s="1"/>
  <c r="B231" i="3"/>
  <c r="A231"/>
  <c r="A231" i="2" s="1"/>
  <c r="DU230" i="3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E230"/>
  <c r="E468" s="1"/>
  <c r="D230"/>
  <c r="D468" s="1"/>
  <c r="C230"/>
  <c r="C468" s="1"/>
  <c r="B230"/>
  <c r="B468" s="1"/>
  <c r="A230"/>
  <c r="A468" s="1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E229"/>
  <c r="E467" s="1"/>
  <c r="D229"/>
  <c r="D467" s="1"/>
  <c r="C229"/>
  <c r="C467" s="1"/>
  <c r="B229"/>
  <c r="B467" s="1"/>
  <c r="A229"/>
  <c r="A467" s="1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E228"/>
  <c r="E466" s="1"/>
  <c r="D228"/>
  <c r="D466" s="1"/>
  <c r="C228"/>
  <c r="C466" s="1"/>
  <c r="B228"/>
  <c r="B466" s="1"/>
  <c r="A228"/>
  <c r="A466" s="1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E227"/>
  <c r="E465" s="1"/>
  <c r="D227"/>
  <c r="D465" s="1"/>
  <c r="C227"/>
  <c r="C465" s="1"/>
  <c r="B227"/>
  <c r="B465" s="1"/>
  <c r="A227"/>
  <c r="A465" s="1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E226"/>
  <c r="E464" s="1"/>
  <c r="D226"/>
  <c r="D464" s="1"/>
  <c r="C226"/>
  <c r="C464" s="1"/>
  <c r="B226"/>
  <c r="B464" s="1"/>
  <c r="A226"/>
  <c r="A464" s="1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E225"/>
  <c r="E463" s="1"/>
  <c r="D225"/>
  <c r="D463" s="1"/>
  <c r="C225"/>
  <c r="C463" s="1"/>
  <c r="B225"/>
  <c r="B463" s="1"/>
  <c r="A225"/>
  <c r="A463" s="1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E224"/>
  <c r="E462" s="1"/>
  <c r="D224"/>
  <c r="D462" s="1"/>
  <c r="C224"/>
  <c r="C462" s="1"/>
  <c r="B224"/>
  <c r="B462" s="1"/>
  <c r="A224"/>
  <c r="A462" s="1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E223"/>
  <c r="E461" s="1"/>
  <c r="D223"/>
  <c r="D461" s="1"/>
  <c r="C223"/>
  <c r="C461" s="1"/>
  <c r="B223"/>
  <c r="B461" s="1"/>
  <c r="A223"/>
  <c r="A461" s="1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E222"/>
  <c r="E460" s="1"/>
  <c r="D222"/>
  <c r="D460" s="1"/>
  <c r="C222"/>
  <c r="C460" s="1"/>
  <c r="B222"/>
  <c r="B460" s="1"/>
  <c r="A222"/>
  <c r="A460" s="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E221"/>
  <c r="E459" s="1"/>
  <c r="D221"/>
  <c r="D459" s="1"/>
  <c r="C221"/>
  <c r="C459" s="1"/>
  <c r="B221"/>
  <c r="B459" s="1"/>
  <c r="A221"/>
  <c r="A459" s="1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E220"/>
  <c r="E458" s="1"/>
  <c r="D220"/>
  <c r="D458" s="1"/>
  <c r="C220"/>
  <c r="C458" s="1"/>
  <c r="B220"/>
  <c r="B458" s="1"/>
  <c r="A220"/>
  <c r="A458" s="1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E219"/>
  <c r="E219" i="2" s="1"/>
  <c r="B219" i="3"/>
  <c r="B219" i="2" s="1"/>
  <c r="A219" i="3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E218"/>
  <c r="E457" s="1"/>
  <c r="D218"/>
  <c r="D457" s="1"/>
  <c r="C218"/>
  <c r="C457" s="1"/>
  <c r="B218"/>
  <c r="B457" s="1"/>
  <c r="A218"/>
  <c r="A457" s="1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E217"/>
  <c r="E456" s="1"/>
  <c r="D217"/>
  <c r="D456" s="1"/>
  <c r="C217"/>
  <c r="C456" s="1"/>
  <c r="B217"/>
  <c r="B456" s="1"/>
  <c r="A217"/>
  <c r="A456" s="1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E216"/>
  <c r="E455" s="1"/>
  <c r="D216"/>
  <c r="D455" s="1"/>
  <c r="C216"/>
  <c r="C455" s="1"/>
  <c r="B216"/>
  <c r="B455" s="1"/>
  <c r="A216"/>
  <c r="A455" s="1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E215"/>
  <c r="E454" s="1"/>
  <c r="D215"/>
  <c r="D454" s="1"/>
  <c r="C215"/>
  <c r="C454" s="1"/>
  <c r="B215"/>
  <c r="B454" s="1"/>
  <c r="A215"/>
  <c r="A454" s="1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E214"/>
  <c r="E453" s="1"/>
  <c r="D214"/>
  <c r="D453" s="1"/>
  <c r="C214"/>
  <c r="C453" s="1"/>
  <c r="B214"/>
  <c r="B453" s="1"/>
  <c r="A214"/>
  <c r="A453" s="1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E213"/>
  <c r="E452" s="1"/>
  <c r="D213"/>
  <c r="D452" s="1"/>
  <c r="C213"/>
  <c r="C452" s="1"/>
  <c r="B213"/>
  <c r="B452" s="1"/>
  <c r="A213"/>
  <c r="A452" s="1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E212"/>
  <c r="E451" s="1"/>
  <c r="D212"/>
  <c r="D451" s="1"/>
  <c r="C212"/>
  <c r="C451" s="1"/>
  <c r="B212"/>
  <c r="B451" s="1"/>
  <c r="A212"/>
  <c r="A451" s="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E211"/>
  <c r="E450" s="1"/>
  <c r="D211"/>
  <c r="D450" s="1"/>
  <c r="C211"/>
  <c r="C450" s="1"/>
  <c r="B211"/>
  <c r="B450" s="1"/>
  <c r="A211"/>
  <c r="A450" s="1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E210"/>
  <c r="E449" s="1"/>
  <c r="D210"/>
  <c r="D449" s="1"/>
  <c r="C210"/>
  <c r="C449" s="1"/>
  <c r="B210"/>
  <c r="B449" s="1"/>
  <c r="A210"/>
  <c r="A449" s="1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E209"/>
  <c r="E448" s="1"/>
  <c r="D209"/>
  <c r="D448" s="1"/>
  <c r="C209"/>
  <c r="C448" s="1"/>
  <c r="B209"/>
  <c r="B448" s="1"/>
  <c r="A209"/>
  <c r="A448" s="1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E208"/>
  <c r="E447" s="1"/>
  <c r="D208"/>
  <c r="D447" s="1"/>
  <c r="C208"/>
  <c r="C447" s="1"/>
  <c r="B208"/>
  <c r="B447" s="1"/>
  <c r="A208"/>
  <c r="A447" s="1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E207"/>
  <c r="B207"/>
  <c r="A207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E206"/>
  <c r="E446" s="1"/>
  <c r="D206"/>
  <c r="D446" s="1"/>
  <c r="C206"/>
  <c r="C446" s="1"/>
  <c r="B206"/>
  <c r="B446" s="1"/>
  <c r="A206"/>
  <c r="A446" s="1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E205"/>
  <c r="D205"/>
  <c r="D445" s="1"/>
  <c r="C205"/>
  <c r="C445" s="1"/>
  <c r="B205"/>
  <c r="B445" s="1"/>
  <c r="A205"/>
  <c r="A445" s="1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E204"/>
  <c r="E444" s="1"/>
  <c r="D204"/>
  <c r="D444" s="1"/>
  <c r="C204"/>
  <c r="C444" s="1"/>
  <c r="B204"/>
  <c r="B444" s="1"/>
  <c r="A204"/>
  <c r="A444" s="1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E203"/>
  <c r="E443" s="1"/>
  <c r="D203"/>
  <c r="D443" s="1"/>
  <c r="C203"/>
  <c r="C443" s="1"/>
  <c r="B203"/>
  <c r="B443" s="1"/>
  <c r="A203"/>
  <c r="A443" s="1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E202"/>
  <c r="E442" s="1"/>
  <c r="D202"/>
  <c r="D442" s="1"/>
  <c r="C202"/>
  <c r="C442" s="1"/>
  <c r="B202"/>
  <c r="B442" s="1"/>
  <c r="A202"/>
  <c r="A442" s="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E201"/>
  <c r="E441" s="1"/>
  <c r="D201"/>
  <c r="D441" s="1"/>
  <c r="C201"/>
  <c r="C441" s="1"/>
  <c r="B201"/>
  <c r="B441" s="1"/>
  <c r="A201"/>
  <c r="A441" s="1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E200"/>
  <c r="E440" s="1"/>
  <c r="D200"/>
  <c r="D440" s="1"/>
  <c r="C200"/>
  <c r="C440" s="1"/>
  <c r="B200"/>
  <c r="B440" s="1"/>
  <c r="A200"/>
  <c r="A440" s="1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E199"/>
  <c r="E439" s="1"/>
  <c r="D199"/>
  <c r="D439" s="1"/>
  <c r="C199"/>
  <c r="C439" s="1"/>
  <c r="B199"/>
  <c r="B439" s="1"/>
  <c r="A199"/>
  <c r="A439" s="1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E198"/>
  <c r="E438" s="1"/>
  <c r="D198"/>
  <c r="D438" s="1"/>
  <c r="C198"/>
  <c r="C438" s="1"/>
  <c r="B198"/>
  <c r="B438" s="1"/>
  <c r="A198"/>
  <c r="A438" s="1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E197"/>
  <c r="E437" s="1"/>
  <c r="D197"/>
  <c r="D437" s="1"/>
  <c r="C197"/>
  <c r="C437" s="1"/>
  <c r="B197"/>
  <c r="B437" s="1"/>
  <c r="A197"/>
  <c r="A437" s="1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E196"/>
  <c r="E436" s="1"/>
  <c r="D196"/>
  <c r="D436" s="1"/>
  <c r="C196"/>
  <c r="C436" s="1"/>
  <c r="B196"/>
  <c r="B436" s="1"/>
  <c r="A196"/>
  <c r="A436" s="1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E195"/>
  <c r="B195"/>
  <c r="A195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E194"/>
  <c r="E435" s="1"/>
  <c r="D194"/>
  <c r="D435" s="1"/>
  <c r="C194"/>
  <c r="C435" s="1"/>
  <c r="B194"/>
  <c r="B435" s="1"/>
  <c r="A194"/>
  <c r="A435" s="1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E193"/>
  <c r="E434" s="1"/>
  <c r="D193"/>
  <c r="D434" s="1"/>
  <c r="C193"/>
  <c r="C434" s="1"/>
  <c r="B193"/>
  <c r="B434" s="1"/>
  <c r="A193"/>
  <c r="A434" s="1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E192"/>
  <c r="E433" s="1"/>
  <c r="D192"/>
  <c r="D433" s="1"/>
  <c r="C192"/>
  <c r="C433" s="1"/>
  <c r="B192"/>
  <c r="B433" s="1"/>
  <c r="A192"/>
  <c r="A433" s="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E191"/>
  <c r="E432" s="1"/>
  <c r="D191"/>
  <c r="D432" s="1"/>
  <c r="C191"/>
  <c r="C432" s="1"/>
  <c r="B191"/>
  <c r="B432" s="1"/>
  <c r="A191"/>
  <c r="A432" s="1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E190"/>
  <c r="E431" s="1"/>
  <c r="D190"/>
  <c r="D431" s="1"/>
  <c r="C190"/>
  <c r="C431" s="1"/>
  <c r="B190"/>
  <c r="B431" s="1"/>
  <c r="A190"/>
  <c r="A431" s="1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E189"/>
  <c r="E430" s="1"/>
  <c r="D189"/>
  <c r="D430" s="1"/>
  <c r="C189"/>
  <c r="C430" s="1"/>
  <c r="B189"/>
  <c r="B430" s="1"/>
  <c r="A189"/>
  <c r="A430" s="1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E188"/>
  <c r="E429" s="1"/>
  <c r="D188"/>
  <c r="D429" s="1"/>
  <c r="C188"/>
  <c r="C429" s="1"/>
  <c r="B188"/>
  <c r="B429" s="1"/>
  <c r="A188"/>
  <c r="A429" s="1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E187"/>
  <c r="E428" s="1"/>
  <c r="D187"/>
  <c r="D428" s="1"/>
  <c r="C187"/>
  <c r="C428" s="1"/>
  <c r="B187"/>
  <c r="B428" s="1"/>
  <c r="A187"/>
  <c r="A428" s="1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E186"/>
  <c r="E427" s="1"/>
  <c r="D186"/>
  <c r="D427" s="1"/>
  <c r="C186"/>
  <c r="C427" s="1"/>
  <c r="B186"/>
  <c r="B427" s="1"/>
  <c r="A186"/>
  <c r="A427" s="1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E185"/>
  <c r="E426" s="1"/>
  <c r="D185"/>
  <c r="D426" s="1"/>
  <c r="C185"/>
  <c r="C426" s="1"/>
  <c r="B185"/>
  <c r="B426" s="1"/>
  <c r="A185"/>
  <c r="A426" s="1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E184"/>
  <c r="E425" s="1"/>
  <c r="D184"/>
  <c r="D425" s="1"/>
  <c r="C184"/>
  <c r="C425" s="1"/>
  <c r="B184"/>
  <c r="B425" s="1"/>
  <c r="A184"/>
  <c r="A425" s="1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E183"/>
  <c r="B183"/>
  <c r="A183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E182"/>
  <c r="E424" s="1"/>
  <c r="D182"/>
  <c r="D424" s="1"/>
  <c r="C182"/>
  <c r="C424" s="1"/>
  <c r="B182"/>
  <c r="B424" s="1"/>
  <c r="A182"/>
  <c r="A424" s="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E181"/>
  <c r="E423" s="1"/>
  <c r="D181"/>
  <c r="D423" s="1"/>
  <c r="C181"/>
  <c r="C423" s="1"/>
  <c r="B181"/>
  <c r="B423" s="1"/>
  <c r="A181"/>
  <c r="A423" s="1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E180"/>
  <c r="E422" s="1"/>
  <c r="D180"/>
  <c r="D422" s="1"/>
  <c r="C180"/>
  <c r="C422" s="1"/>
  <c r="B180"/>
  <c r="B422" s="1"/>
  <c r="A180"/>
  <c r="A422" s="1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E179"/>
  <c r="E421" s="1"/>
  <c r="D179"/>
  <c r="D421" s="1"/>
  <c r="C179"/>
  <c r="C421" s="1"/>
  <c r="B179"/>
  <c r="B421" s="1"/>
  <c r="A179"/>
  <c r="A421" s="1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E178"/>
  <c r="E420" s="1"/>
  <c r="D178"/>
  <c r="D420" s="1"/>
  <c r="C178"/>
  <c r="C420" s="1"/>
  <c r="B178"/>
  <c r="B420" s="1"/>
  <c r="A178"/>
  <c r="A420" s="1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E177"/>
  <c r="E419" s="1"/>
  <c r="D177"/>
  <c r="D419" s="1"/>
  <c r="C177"/>
  <c r="C419" s="1"/>
  <c r="B177"/>
  <c r="B419" s="1"/>
  <c r="A177"/>
  <c r="A419" s="1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E176"/>
  <c r="E418" s="1"/>
  <c r="D176"/>
  <c r="D418" s="1"/>
  <c r="C176"/>
  <c r="C418" s="1"/>
  <c r="B176"/>
  <c r="B418" s="1"/>
  <c r="A176"/>
  <c r="A418" s="1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E175"/>
  <c r="E417" s="1"/>
  <c r="D175"/>
  <c r="D417" s="1"/>
  <c r="C175"/>
  <c r="C417" s="1"/>
  <c r="B175"/>
  <c r="B417" s="1"/>
  <c r="A175"/>
  <c r="A417" s="1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E174"/>
  <c r="E416" s="1"/>
  <c r="D174"/>
  <c r="D416" s="1"/>
  <c r="C174"/>
  <c r="C416" s="1"/>
  <c r="B174"/>
  <c r="B416" s="1"/>
  <c r="A174"/>
  <c r="A416" s="1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E173"/>
  <c r="E415" s="1"/>
  <c r="D173"/>
  <c r="D415" s="1"/>
  <c r="C173"/>
  <c r="C415" s="1"/>
  <c r="B173"/>
  <c r="B415" s="1"/>
  <c r="A173"/>
  <c r="A415" s="1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E172"/>
  <c r="E414" s="1"/>
  <c r="D172"/>
  <c r="D414" s="1"/>
  <c r="C172"/>
  <c r="C414" s="1"/>
  <c r="B172"/>
  <c r="B414" s="1"/>
  <c r="A172"/>
  <c r="A414" s="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E171"/>
  <c r="B171"/>
  <c r="A171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E170"/>
  <c r="E413" s="1"/>
  <c r="D170"/>
  <c r="D413" s="1"/>
  <c r="C170"/>
  <c r="C413" s="1"/>
  <c r="B170"/>
  <c r="B413" s="1"/>
  <c r="A170"/>
  <c r="A413" s="1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E169"/>
  <c r="E412" s="1"/>
  <c r="D169"/>
  <c r="D412" s="1"/>
  <c r="C169"/>
  <c r="C412" s="1"/>
  <c r="B169"/>
  <c r="B412" s="1"/>
  <c r="A169"/>
  <c r="A412" s="1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E168"/>
  <c r="E411" s="1"/>
  <c r="D168"/>
  <c r="D411" s="1"/>
  <c r="C168"/>
  <c r="C411" s="1"/>
  <c r="B168"/>
  <c r="B411" s="1"/>
  <c r="A168"/>
  <c r="A411" s="1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E167"/>
  <c r="E410" s="1"/>
  <c r="D167"/>
  <c r="D410" s="1"/>
  <c r="C167"/>
  <c r="C410" s="1"/>
  <c r="B167"/>
  <c r="B410" s="1"/>
  <c r="A167"/>
  <c r="A410" s="1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E166"/>
  <c r="E409" s="1"/>
  <c r="D166"/>
  <c r="D409" s="1"/>
  <c r="C166"/>
  <c r="C409" s="1"/>
  <c r="B166"/>
  <c r="B409" s="1"/>
  <c r="A166"/>
  <c r="A409" s="1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E165"/>
  <c r="E408" s="1"/>
  <c r="D165"/>
  <c r="D408" s="1"/>
  <c r="C165"/>
  <c r="C408" s="1"/>
  <c r="B165"/>
  <c r="B408" s="1"/>
  <c r="A165"/>
  <c r="A408" s="1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E164"/>
  <c r="E407" s="1"/>
  <c r="D164"/>
  <c r="D407" s="1"/>
  <c r="C164"/>
  <c r="C407" s="1"/>
  <c r="B164"/>
  <c r="B407" s="1"/>
  <c r="A164"/>
  <c r="A407" s="1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E163"/>
  <c r="E406" s="1"/>
  <c r="D163"/>
  <c r="D406" s="1"/>
  <c r="C163"/>
  <c r="C406" s="1"/>
  <c r="B163"/>
  <c r="B406" s="1"/>
  <c r="A163"/>
  <c r="A406" s="1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E162"/>
  <c r="E405" s="1"/>
  <c r="D162"/>
  <c r="D405" s="1"/>
  <c r="C162"/>
  <c r="C405" s="1"/>
  <c r="B162"/>
  <c r="B405" s="1"/>
  <c r="A162"/>
  <c r="A405" s="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E161"/>
  <c r="E404" s="1"/>
  <c r="D161"/>
  <c r="D404" s="1"/>
  <c r="C161"/>
  <c r="C404" s="1"/>
  <c r="B161"/>
  <c r="B404" s="1"/>
  <c r="A161"/>
  <c r="A404" s="1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E160"/>
  <c r="E403" s="1"/>
  <c r="D160"/>
  <c r="D403" s="1"/>
  <c r="C160"/>
  <c r="C403" s="1"/>
  <c r="B160"/>
  <c r="B403" s="1"/>
  <c r="A160"/>
  <c r="A403" s="1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E159"/>
  <c r="B159"/>
  <c r="A159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E158"/>
  <c r="E402" s="1"/>
  <c r="D158"/>
  <c r="D402" s="1"/>
  <c r="C158"/>
  <c r="C402" s="1"/>
  <c r="B158"/>
  <c r="B402" s="1"/>
  <c r="A158"/>
  <c r="A402" s="1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E157"/>
  <c r="E401" s="1"/>
  <c r="D157"/>
  <c r="D401" s="1"/>
  <c r="C157"/>
  <c r="C401" s="1"/>
  <c r="B157"/>
  <c r="B401" s="1"/>
  <c r="A157"/>
  <c r="A401" s="1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E156"/>
  <c r="E400" s="1"/>
  <c r="D156"/>
  <c r="D400" s="1"/>
  <c r="C156"/>
  <c r="C400" s="1"/>
  <c r="B156"/>
  <c r="B400" s="1"/>
  <c r="A156"/>
  <c r="A400" s="1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E155"/>
  <c r="E399" s="1"/>
  <c r="D155"/>
  <c r="D399" s="1"/>
  <c r="C155"/>
  <c r="C399" s="1"/>
  <c r="B155"/>
  <c r="B399" s="1"/>
  <c r="A155"/>
  <c r="A399" s="1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E154"/>
  <c r="E398" s="1"/>
  <c r="D154"/>
  <c r="D398" s="1"/>
  <c r="C154"/>
  <c r="C398" s="1"/>
  <c r="B154"/>
  <c r="B398" s="1"/>
  <c r="A154"/>
  <c r="A398" s="1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E153"/>
  <c r="E397" s="1"/>
  <c r="D153"/>
  <c r="D397" s="1"/>
  <c r="C153"/>
  <c r="C397" s="1"/>
  <c r="B153"/>
  <c r="B397" s="1"/>
  <c r="A153"/>
  <c r="A397" s="1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E152"/>
  <c r="E396" s="1"/>
  <c r="D152"/>
  <c r="D396" s="1"/>
  <c r="C152"/>
  <c r="C396" s="1"/>
  <c r="B152"/>
  <c r="B396" s="1"/>
  <c r="A152"/>
  <c r="A396" s="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E151"/>
  <c r="E395" s="1"/>
  <c r="D151"/>
  <c r="D395" s="1"/>
  <c r="C151"/>
  <c r="C395" s="1"/>
  <c r="B151"/>
  <c r="B395" s="1"/>
  <c r="A151"/>
  <c r="A395" s="1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E150"/>
  <c r="E394" s="1"/>
  <c r="D150"/>
  <c r="D394" s="1"/>
  <c r="C150"/>
  <c r="C394" s="1"/>
  <c r="B150"/>
  <c r="B394" s="1"/>
  <c r="A150"/>
  <c r="A394" s="1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E149"/>
  <c r="E393" s="1"/>
  <c r="D149"/>
  <c r="D393" s="1"/>
  <c r="C149"/>
  <c r="C393" s="1"/>
  <c r="B149"/>
  <c r="B393" s="1"/>
  <c r="A149"/>
  <c r="A393" s="1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E148"/>
  <c r="E392" s="1"/>
  <c r="D148"/>
  <c r="D392" s="1"/>
  <c r="C148"/>
  <c r="C392" s="1"/>
  <c r="B148"/>
  <c r="B392" s="1"/>
  <c r="A148"/>
  <c r="A392" s="1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E147"/>
  <c r="B147"/>
  <c r="A147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E146"/>
  <c r="E391" s="1"/>
  <c r="D146"/>
  <c r="D391" s="1"/>
  <c r="C146"/>
  <c r="C391" s="1"/>
  <c r="B146"/>
  <c r="B391" s="1"/>
  <c r="A146"/>
  <c r="A391" s="1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E145"/>
  <c r="E390" s="1"/>
  <c r="D145"/>
  <c r="D390" s="1"/>
  <c r="C145"/>
  <c r="C390" s="1"/>
  <c r="B145"/>
  <c r="B390" s="1"/>
  <c r="A145"/>
  <c r="A390" s="1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E144"/>
  <c r="E389" s="1"/>
  <c r="D144"/>
  <c r="D389" s="1"/>
  <c r="C144"/>
  <c r="C389" s="1"/>
  <c r="B144"/>
  <c r="B389" s="1"/>
  <c r="A144"/>
  <c r="A389" s="1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E143"/>
  <c r="E388" s="1"/>
  <c r="D143"/>
  <c r="D388" s="1"/>
  <c r="C143"/>
  <c r="C388" s="1"/>
  <c r="B143"/>
  <c r="B388" s="1"/>
  <c r="A143"/>
  <c r="A388" s="1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E142"/>
  <c r="E387" s="1"/>
  <c r="D142"/>
  <c r="D387" s="1"/>
  <c r="C142"/>
  <c r="C387" s="1"/>
  <c r="B142"/>
  <c r="B387" s="1"/>
  <c r="A142"/>
  <c r="A387" s="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E141"/>
  <c r="E386" s="1"/>
  <c r="D141"/>
  <c r="D386" s="1"/>
  <c r="C141"/>
  <c r="C386" s="1"/>
  <c r="B141"/>
  <c r="B386" s="1"/>
  <c r="A141"/>
  <c r="A386" s="1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E140"/>
  <c r="E385" s="1"/>
  <c r="D140"/>
  <c r="D385" s="1"/>
  <c r="C140"/>
  <c r="C385" s="1"/>
  <c r="B140"/>
  <c r="B385" s="1"/>
  <c r="A140"/>
  <c r="A385" s="1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E139"/>
  <c r="E384" s="1"/>
  <c r="D139"/>
  <c r="D384" s="1"/>
  <c r="C139"/>
  <c r="C384" s="1"/>
  <c r="B139"/>
  <c r="B384" s="1"/>
  <c r="A139"/>
  <c r="A384" s="1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E138"/>
  <c r="E383" s="1"/>
  <c r="D138"/>
  <c r="D383" s="1"/>
  <c r="C138"/>
  <c r="C383" s="1"/>
  <c r="B138"/>
  <c r="B383" s="1"/>
  <c r="A138"/>
  <c r="A383" s="1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E137"/>
  <c r="E382" s="1"/>
  <c r="D137"/>
  <c r="D382" s="1"/>
  <c r="C137"/>
  <c r="C382" s="1"/>
  <c r="B137"/>
  <c r="B382" s="1"/>
  <c r="A137"/>
  <c r="A382" s="1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E136"/>
  <c r="E381" s="1"/>
  <c r="D136"/>
  <c r="D381" s="1"/>
  <c r="C136"/>
  <c r="C381" s="1"/>
  <c r="B136"/>
  <c r="B381" s="1"/>
  <c r="A136"/>
  <c r="A381" s="1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E135"/>
  <c r="B135"/>
  <c r="A135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E134"/>
  <c r="E380" s="1"/>
  <c r="D134"/>
  <c r="D380" s="1"/>
  <c r="C134"/>
  <c r="C380" s="1"/>
  <c r="B134"/>
  <c r="B380" s="1"/>
  <c r="A134"/>
  <c r="A380" s="1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E133"/>
  <c r="E379" s="1"/>
  <c r="D133"/>
  <c r="D379" s="1"/>
  <c r="C133"/>
  <c r="C379" s="1"/>
  <c r="B133"/>
  <c r="B379" s="1"/>
  <c r="A133"/>
  <c r="A379" s="1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E132"/>
  <c r="E378" s="1"/>
  <c r="D132"/>
  <c r="D378" s="1"/>
  <c r="C132"/>
  <c r="C378" s="1"/>
  <c r="B132"/>
  <c r="B378" s="1"/>
  <c r="A132"/>
  <c r="A378" s="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E131"/>
  <c r="E377" s="1"/>
  <c r="D131"/>
  <c r="D377" s="1"/>
  <c r="C131"/>
  <c r="C377" s="1"/>
  <c r="B131"/>
  <c r="B377" s="1"/>
  <c r="A131"/>
  <c r="A377" s="1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E130"/>
  <c r="E376" s="1"/>
  <c r="D130"/>
  <c r="D376" s="1"/>
  <c r="C130"/>
  <c r="C376" s="1"/>
  <c r="B130"/>
  <c r="B376" s="1"/>
  <c r="A130"/>
  <c r="A376" s="1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E129"/>
  <c r="E375" s="1"/>
  <c r="D129"/>
  <c r="D375" s="1"/>
  <c r="C129"/>
  <c r="C375" s="1"/>
  <c r="B129"/>
  <c r="B375" s="1"/>
  <c r="A129"/>
  <c r="A375" s="1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E128"/>
  <c r="E374" s="1"/>
  <c r="D128"/>
  <c r="D374" s="1"/>
  <c r="C128"/>
  <c r="C374" s="1"/>
  <c r="B128"/>
  <c r="B374" s="1"/>
  <c r="A128"/>
  <c r="A374" s="1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E127"/>
  <c r="E373" s="1"/>
  <c r="D127"/>
  <c r="D373" s="1"/>
  <c r="C127"/>
  <c r="C373" s="1"/>
  <c r="B127"/>
  <c r="B373" s="1"/>
  <c r="A127"/>
  <c r="A373" s="1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E126"/>
  <c r="E372" s="1"/>
  <c r="D126"/>
  <c r="D372" s="1"/>
  <c r="C126"/>
  <c r="C372" s="1"/>
  <c r="B126"/>
  <c r="B372" s="1"/>
  <c r="A126"/>
  <c r="A372" s="1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E125"/>
  <c r="E371" s="1"/>
  <c r="D125"/>
  <c r="D371" s="1"/>
  <c r="C125"/>
  <c r="C371" s="1"/>
  <c r="B125"/>
  <c r="B371" s="1"/>
  <c r="A125"/>
  <c r="A371" s="1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E124"/>
  <c r="E370" s="1"/>
  <c r="D124"/>
  <c r="D370" s="1"/>
  <c r="C124"/>
  <c r="C370" s="1"/>
  <c r="B124"/>
  <c r="B370" s="1"/>
  <c r="A124"/>
  <c r="A370" s="1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E123"/>
  <c r="B123"/>
  <c r="A123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E122"/>
  <c r="E369" s="1"/>
  <c r="D122"/>
  <c r="D369" s="1"/>
  <c r="C122"/>
  <c r="C369" s="1"/>
  <c r="B122"/>
  <c r="B369" s="1"/>
  <c r="A122"/>
  <c r="A369" s="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E121"/>
  <c r="E368" s="1"/>
  <c r="D121"/>
  <c r="D368" s="1"/>
  <c r="C121"/>
  <c r="C368" s="1"/>
  <c r="B121"/>
  <c r="B368" s="1"/>
  <c r="A121"/>
  <c r="A368" s="1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E120"/>
  <c r="E367" s="1"/>
  <c r="D120"/>
  <c r="D367" s="1"/>
  <c r="C120"/>
  <c r="C367" s="1"/>
  <c r="B120"/>
  <c r="B367" s="1"/>
  <c r="A120"/>
  <c r="A367" s="1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E119"/>
  <c r="E366" s="1"/>
  <c r="D119"/>
  <c r="D366" s="1"/>
  <c r="C119"/>
  <c r="C366" s="1"/>
  <c r="B119"/>
  <c r="B366" s="1"/>
  <c r="A119"/>
  <c r="A366" s="1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E118"/>
  <c r="E365" s="1"/>
  <c r="D118"/>
  <c r="D365" s="1"/>
  <c r="C118"/>
  <c r="C365" s="1"/>
  <c r="B118"/>
  <c r="B365" s="1"/>
  <c r="A118"/>
  <c r="A365" s="1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E117"/>
  <c r="E364" s="1"/>
  <c r="D117"/>
  <c r="D364" s="1"/>
  <c r="C117"/>
  <c r="C364" s="1"/>
  <c r="B117"/>
  <c r="B364" s="1"/>
  <c r="A117"/>
  <c r="A364" s="1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E116"/>
  <c r="E363" s="1"/>
  <c r="D116"/>
  <c r="D363" s="1"/>
  <c r="C116"/>
  <c r="C363" s="1"/>
  <c r="B116"/>
  <c r="B363" s="1"/>
  <c r="A116"/>
  <c r="A363" s="1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E115"/>
  <c r="E362" s="1"/>
  <c r="D115"/>
  <c r="D362" s="1"/>
  <c r="C115"/>
  <c r="C362" s="1"/>
  <c r="B115"/>
  <c r="B362" s="1"/>
  <c r="A115"/>
  <c r="A362" s="1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E114"/>
  <c r="E361" s="1"/>
  <c r="D114"/>
  <c r="D361" s="1"/>
  <c r="C114"/>
  <c r="C361" s="1"/>
  <c r="B114"/>
  <c r="B361" s="1"/>
  <c r="A114"/>
  <c r="A361" s="1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E113"/>
  <c r="E360" s="1"/>
  <c r="D113"/>
  <c r="D360" s="1"/>
  <c r="C113"/>
  <c r="C360" s="1"/>
  <c r="B113"/>
  <c r="B360" s="1"/>
  <c r="A113"/>
  <c r="A360" s="1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E112"/>
  <c r="E359" s="1"/>
  <c r="D112"/>
  <c r="D359" s="1"/>
  <c r="C112"/>
  <c r="C359" s="1"/>
  <c r="B112"/>
  <c r="B359" s="1"/>
  <c r="A112"/>
  <c r="A359" s="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E111"/>
  <c r="B111"/>
  <c r="A111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E110"/>
  <c r="E358" s="1"/>
  <c r="D110"/>
  <c r="D358" s="1"/>
  <c r="C110"/>
  <c r="C358" s="1"/>
  <c r="B110"/>
  <c r="B358" s="1"/>
  <c r="A110"/>
  <c r="A358" s="1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E109"/>
  <c r="E357" s="1"/>
  <c r="D109"/>
  <c r="D357" s="1"/>
  <c r="C109"/>
  <c r="C357" s="1"/>
  <c r="B109"/>
  <c r="B357" s="1"/>
  <c r="A109"/>
  <c r="A357" s="1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E108"/>
  <c r="E356" s="1"/>
  <c r="D108"/>
  <c r="D356" s="1"/>
  <c r="C108"/>
  <c r="C356" s="1"/>
  <c r="B108"/>
  <c r="B356" s="1"/>
  <c r="A108"/>
  <c r="A356" s="1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E107"/>
  <c r="E355" s="1"/>
  <c r="D107"/>
  <c r="D355" s="1"/>
  <c r="C107"/>
  <c r="C355" s="1"/>
  <c r="B107"/>
  <c r="B355" s="1"/>
  <c r="A107"/>
  <c r="A355" s="1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E106"/>
  <c r="E354" s="1"/>
  <c r="D106"/>
  <c r="D354" s="1"/>
  <c r="C106"/>
  <c r="C354" s="1"/>
  <c r="B106"/>
  <c r="B354" s="1"/>
  <c r="A106"/>
  <c r="A354" s="1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E105"/>
  <c r="E353" s="1"/>
  <c r="D105"/>
  <c r="D353" s="1"/>
  <c r="C105"/>
  <c r="C353" s="1"/>
  <c r="B105"/>
  <c r="B353" s="1"/>
  <c r="A105"/>
  <c r="A353" s="1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E104"/>
  <c r="E352" s="1"/>
  <c r="D104"/>
  <c r="D352" s="1"/>
  <c r="C104"/>
  <c r="C352" s="1"/>
  <c r="B104"/>
  <c r="B352" s="1"/>
  <c r="A104"/>
  <c r="A352" s="1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E103"/>
  <c r="E351" s="1"/>
  <c r="D103"/>
  <c r="D351" s="1"/>
  <c r="C103"/>
  <c r="C351" s="1"/>
  <c r="B103"/>
  <c r="B351" s="1"/>
  <c r="A103"/>
  <c r="A351" s="1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E102"/>
  <c r="E350" s="1"/>
  <c r="D102"/>
  <c r="D350" s="1"/>
  <c r="C102"/>
  <c r="C350" s="1"/>
  <c r="B102"/>
  <c r="B350" s="1"/>
  <c r="A102"/>
  <c r="A350" s="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E101"/>
  <c r="E349" s="1"/>
  <c r="D101"/>
  <c r="D349" s="1"/>
  <c r="C101"/>
  <c r="C349" s="1"/>
  <c r="B101"/>
  <c r="B349" s="1"/>
  <c r="A101"/>
  <c r="A349" s="1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E100"/>
  <c r="E348" s="1"/>
  <c r="D100"/>
  <c r="D348" s="1"/>
  <c r="C100"/>
  <c r="C348" s="1"/>
  <c r="B100"/>
  <c r="B348" s="1"/>
  <c r="A100"/>
  <c r="A348" s="1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E99"/>
  <c r="B99"/>
  <c r="A99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E98"/>
  <c r="E347" s="1"/>
  <c r="D98"/>
  <c r="D347" s="1"/>
  <c r="C98"/>
  <c r="C347" s="1"/>
  <c r="B98"/>
  <c r="B347" s="1"/>
  <c r="A98"/>
  <c r="A347" s="1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E97"/>
  <c r="E346" s="1"/>
  <c r="D97"/>
  <c r="D346" s="1"/>
  <c r="C97"/>
  <c r="C346" s="1"/>
  <c r="B97"/>
  <c r="B346" s="1"/>
  <c r="A97"/>
  <c r="A346" s="1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E96"/>
  <c r="E345" s="1"/>
  <c r="D96"/>
  <c r="D345" s="1"/>
  <c r="C96"/>
  <c r="C345" s="1"/>
  <c r="B96"/>
  <c r="B345" s="1"/>
  <c r="A96"/>
  <c r="A345" s="1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E95"/>
  <c r="E344" s="1"/>
  <c r="D95"/>
  <c r="D344" s="1"/>
  <c r="C95"/>
  <c r="C344" s="1"/>
  <c r="B95"/>
  <c r="B344" s="1"/>
  <c r="A95"/>
  <c r="A344" s="1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E94"/>
  <c r="E343" s="1"/>
  <c r="D94"/>
  <c r="D343" s="1"/>
  <c r="C94"/>
  <c r="C343" s="1"/>
  <c r="B94"/>
  <c r="B343" s="1"/>
  <c r="A94"/>
  <c r="A343" s="1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E93"/>
  <c r="E342" s="1"/>
  <c r="D93"/>
  <c r="D342" s="1"/>
  <c r="C93"/>
  <c r="C342" s="1"/>
  <c r="B93"/>
  <c r="B342" s="1"/>
  <c r="A93"/>
  <c r="A342" s="1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E92"/>
  <c r="E341" s="1"/>
  <c r="D92"/>
  <c r="D341" s="1"/>
  <c r="C92"/>
  <c r="C341" s="1"/>
  <c r="B92"/>
  <c r="B341" s="1"/>
  <c r="A92"/>
  <c r="A341" s="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E91"/>
  <c r="E340" s="1"/>
  <c r="D91"/>
  <c r="D340" s="1"/>
  <c r="C91"/>
  <c r="C340" s="1"/>
  <c r="B91"/>
  <c r="B340" s="1"/>
  <c r="A91"/>
  <c r="A340" s="1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E90"/>
  <c r="E339" s="1"/>
  <c r="D90"/>
  <c r="D339" s="1"/>
  <c r="C90"/>
  <c r="C339" s="1"/>
  <c r="B90"/>
  <c r="B339" s="1"/>
  <c r="A90"/>
  <c r="A339" s="1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E89"/>
  <c r="E338" s="1"/>
  <c r="D89"/>
  <c r="D338" s="1"/>
  <c r="C89"/>
  <c r="C338" s="1"/>
  <c r="B89"/>
  <c r="B338" s="1"/>
  <c r="A89"/>
  <c r="A338" s="1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E88"/>
  <c r="E337" s="1"/>
  <c r="D88"/>
  <c r="D337" s="1"/>
  <c r="C88"/>
  <c r="C337" s="1"/>
  <c r="B88"/>
  <c r="B337" s="1"/>
  <c r="A88"/>
  <c r="A337" s="1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E87"/>
  <c r="B87"/>
  <c r="A87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E86"/>
  <c r="E336" s="1"/>
  <c r="D86"/>
  <c r="D336" s="1"/>
  <c r="C86"/>
  <c r="C336" s="1"/>
  <c r="B86"/>
  <c r="B336" s="1"/>
  <c r="A86"/>
  <c r="A336" s="1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E85"/>
  <c r="E335" s="1"/>
  <c r="D85"/>
  <c r="D335" s="1"/>
  <c r="C85"/>
  <c r="C335" s="1"/>
  <c r="B85"/>
  <c r="B335" s="1"/>
  <c r="A85"/>
  <c r="A335" s="1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E84"/>
  <c r="E334" s="1"/>
  <c r="D84"/>
  <c r="D334" s="1"/>
  <c r="C84"/>
  <c r="C334" s="1"/>
  <c r="B84"/>
  <c r="B334" s="1"/>
  <c r="A84"/>
  <c r="A334" s="1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E83"/>
  <c r="E333" s="1"/>
  <c r="D83"/>
  <c r="D333" s="1"/>
  <c r="C83"/>
  <c r="C333" s="1"/>
  <c r="B83"/>
  <c r="B333" s="1"/>
  <c r="A83"/>
  <c r="A333" s="1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E82"/>
  <c r="E332" s="1"/>
  <c r="D82"/>
  <c r="D332" s="1"/>
  <c r="C82"/>
  <c r="C332" s="1"/>
  <c r="B82"/>
  <c r="B332" s="1"/>
  <c r="A82"/>
  <c r="A332" s="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E81"/>
  <c r="E331" s="1"/>
  <c r="D81"/>
  <c r="D331" s="1"/>
  <c r="C81"/>
  <c r="C331" s="1"/>
  <c r="B81"/>
  <c r="B331" s="1"/>
  <c r="A81"/>
  <c r="A331" s="1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E80"/>
  <c r="E330" s="1"/>
  <c r="D80"/>
  <c r="D330" s="1"/>
  <c r="C80"/>
  <c r="C330" s="1"/>
  <c r="B80"/>
  <c r="B330" s="1"/>
  <c r="A80"/>
  <c r="A330" s="1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E79"/>
  <c r="E329" s="1"/>
  <c r="D79"/>
  <c r="D329" s="1"/>
  <c r="C79"/>
  <c r="C329" s="1"/>
  <c r="B79"/>
  <c r="B329" s="1"/>
  <c r="A79"/>
  <c r="A329" s="1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E78"/>
  <c r="E328" s="1"/>
  <c r="D78"/>
  <c r="D328" s="1"/>
  <c r="C78"/>
  <c r="C328" s="1"/>
  <c r="B78"/>
  <c r="B328" s="1"/>
  <c r="A78"/>
  <c r="A328" s="1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E77"/>
  <c r="E327" s="1"/>
  <c r="D77"/>
  <c r="D327" s="1"/>
  <c r="C77"/>
  <c r="C327" s="1"/>
  <c r="B77"/>
  <c r="B327" s="1"/>
  <c r="A77"/>
  <c r="A327" s="1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E76"/>
  <c r="E326" s="1"/>
  <c r="D76"/>
  <c r="D326" s="1"/>
  <c r="C76"/>
  <c r="C326" s="1"/>
  <c r="B76"/>
  <c r="B326" s="1"/>
  <c r="A76"/>
  <c r="A326" s="1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E75"/>
  <c r="B75"/>
  <c r="A75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E74"/>
  <c r="E325" s="1"/>
  <c r="D74"/>
  <c r="D325" s="1"/>
  <c r="C74"/>
  <c r="C325" s="1"/>
  <c r="B74"/>
  <c r="B325" s="1"/>
  <c r="A74"/>
  <c r="A325" s="1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E73"/>
  <c r="E324" s="1"/>
  <c r="D73"/>
  <c r="D324" s="1"/>
  <c r="C73"/>
  <c r="C324" s="1"/>
  <c r="B73"/>
  <c r="B324" s="1"/>
  <c r="A73"/>
  <c r="A324" s="1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E72"/>
  <c r="E323" s="1"/>
  <c r="D72"/>
  <c r="D323" s="1"/>
  <c r="C72"/>
  <c r="C323" s="1"/>
  <c r="B72"/>
  <c r="B323" s="1"/>
  <c r="A72"/>
  <c r="A323" s="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E71"/>
  <c r="E322" s="1"/>
  <c r="D71"/>
  <c r="D322" s="1"/>
  <c r="C71"/>
  <c r="C322" s="1"/>
  <c r="B71"/>
  <c r="B322" s="1"/>
  <c r="A71"/>
  <c r="A322" s="1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E70"/>
  <c r="E321" s="1"/>
  <c r="D70"/>
  <c r="D321" s="1"/>
  <c r="C70"/>
  <c r="C321" s="1"/>
  <c r="B70"/>
  <c r="B321" s="1"/>
  <c r="A70"/>
  <c r="A321" s="1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E69"/>
  <c r="E320" s="1"/>
  <c r="D69"/>
  <c r="D320" s="1"/>
  <c r="C69"/>
  <c r="C320" s="1"/>
  <c r="B69"/>
  <c r="B320" s="1"/>
  <c r="A69"/>
  <c r="A320" s="1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E68"/>
  <c r="E319" s="1"/>
  <c r="D68"/>
  <c r="D319" s="1"/>
  <c r="C68"/>
  <c r="C319" s="1"/>
  <c r="B68"/>
  <c r="B319" s="1"/>
  <c r="A68"/>
  <c r="A319" s="1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E67"/>
  <c r="E318" s="1"/>
  <c r="D67"/>
  <c r="D318" s="1"/>
  <c r="C67"/>
  <c r="C318" s="1"/>
  <c r="B67"/>
  <c r="B318" s="1"/>
  <c r="A67"/>
  <c r="A318" s="1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E317" s="1"/>
  <c r="D66"/>
  <c r="D317" s="1"/>
  <c r="C66"/>
  <c r="C317" s="1"/>
  <c r="B66"/>
  <c r="B317" s="1"/>
  <c r="A66"/>
  <c r="A317" s="1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E65"/>
  <c r="E316" s="1"/>
  <c r="D65"/>
  <c r="D316" s="1"/>
  <c r="C65"/>
  <c r="C316" s="1"/>
  <c r="B65"/>
  <c r="B316" s="1"/>
  <c r="A65"/>
  <c r="A316" s="1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E64"/>
  <c r="E315" s="1"/>
  <c r="D64"/>
  <c r="D315" s="1"/>
  <c r="C64"/>
  <c r="C315" s="1"/>
  <c r="B64"/>
  <c r="B315" s="1"/>
  <c r="A64"/>
  <c r="A315" s="1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E63"/>
  <c r="B63"/>
  <c r="A63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E62"/>
  <c r="E314" s="1"/>
  <c r="D62"/>
  <c r="D314" s="1"/>
  <c r="C62"/>
  <c r="C314" s="1"/>
  <c r="B62"/>
  <c r="B314" s="1"/>
  <c r="A62"/>
  <c r="A314" s="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E61"/>
  <c r="E313" s="1"/>
  <c r="D61"/>
  <c r="D313" s="1"/>
  <c r="C61"/>
  <c r="C313" s="1"/>
  <c r="B61"/>
  <c r="B313" s="1"/>
  <c r="A61"/>
  <c r="A313" s="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E60"/>
  <c r="E312" s="1"/>
  <c r="D60"/>
  <c r="D312" s="1"/>
  <c r="C60"/>
  <c r="C312" s="1"/>
  <c r="B60"/>
  <c r="B312" s="1"/>
  <c r="A60"/>
  <c r="A312" s="1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E59"/>
  <c r="E311" s="1"/>
  <c r="D59"/>
  <c r="D311" s="1"/>
  <c r="C59"/>
  <c r="C311" s="1"/>
  <c r="B59"/>
  <c r="B311" s="1"/>
  <c r="A59"/>
  <c r="A311" s="1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E58"/>
  <c r="E310" s="1"/>
  <c r="D58"/>
  <c r="D310" s="1"/>
  <c r="C58"/>
  <c r="C310" s="1"/>
  <c r="B58"/>
  <c r="B310" s="1"/>
  <c r="A58"/>
  <c r="A310" s="1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E57"/>
  <c r="E309" s="1"/>
  <c r="D57"/>
  <c r="D309" s="1"/>
  <c r="C57"/>
  <c r="C309" s="1"/>
  <c r="B57"/>
  <c r="B309" s="1"/>
  <c r="A57"/>
  <c r="A309" s="1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E56"/>
  <c r="E308" s="1"/>
  <c r="D56"/>
  <c r="D308" s="1"/>
  <c r="C56"/>
  <c r="C308" s="1"/>
  <c r="B56"/>
  <c r="B308" s="1"/>
  <c r="A56"/>
  <c r="A308" s="1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E55"/>
  <c r="E307" s="1"/>
  <c r="D55"/>
  <c r="D307" s="1"/>
  <c r="C55"/>
  <c r="C307" s="1"/>
  <c r="B55"/>
  <c r="B307" s="1"/>
  <c r="A55"/>
  <c r="A307" s="1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E54"/>
  <c r="E306" s="1"/>
  <c r="D54"/>
  <c r="D306" s="1"/>
  <c r="C54"/>
  <c r="C306" s="1"/>
  <c r="B54"/>
  <c r="B306" s="1"/>
  <c r="A54"/>
  <c r="A306" s="1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E53"/>
  <c r="D53"/>
  <c r="D305" s="1"/>
  <c r="C53"/>
  <c r="C305" s="1"/>
  <c r="B53"/>
  <c r="B305" s="1"/>
  <c r="A53"/>
  <c r="A305" s="1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E52"/>
  <c r="E304" s="1"/>
  <c r="D52"/>
  <c r="D304" s="1"/>
  <c r="C52"/>
  <c r="C304" s="1"/>
  <c r="B52"/>
  <c r="B304" s="1"/>
  <c r="A52"/>
  <c r="A304" s="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E51"/>
  <c r="B51"/>
  <c r="A5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E50"/>
  <c r="E303" s="1"/>
  <c r="D50"/>
  <c r="D303" s="1"/>
  <c r="C50"/>
  <c r="C303" s="1"/>
  <c r="B50"/>
  <c r="B303" s="1"/>
  <c r="A50"/>
  <c r="A303" s="1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E49"/>
  <c r="E302" s="1"/>
  <c r="D49"/>
  <c r="D302" s="1"/>
  <c r="C49"/>
  <c r="C302" s="1"/>
  <c r="B49"/>
  <c r="B302" s="1"/>
  <c r="A49"/>
  <c r="A302" s="1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E301" s="1"/>
  <c r="D48"/>
  <c r="D301" s="1"/>
  <c r="C48"/>
  <c r="C301" s="1"/>
  <c r="B48"/>
  <c r="B301" s="1"/>
  <c r="A48"/>
  <c r="A301" s="1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E47"/>
  <c r="E300" s="1"/>
  <c r="D47"/>
  <c r="D300" s="1"/>
  <c r="C47"/>
  <c r="C300" s="1"/>
  <c r="B47"/>
  <c r="B300" s="1"/>
  <c r="A47"/>
  <c r="A300" s="1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E46"/>
  <c r="E299" s="1"/>
  <c r="D46"/>
  <c r="D299" s="1"/>
  <c r="C46"/>
  <c r="C299" s="1"/>
  <c r="B46"/>
  <c r="B299" s="1"/>
  <c r="A46"/>
  <c r="A299" s="1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E45"/>
  <c r="E298" s="1"/>
  <c r="D45"/>
  <c r="D298" s="1"/>
  <c r="C45"/>
  <c r="C298" s="1"/>
  <c r="B45"/>
  <c r="B298" s="1"/>
  <c r="A45"/>
  <c r="A298" s="1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E44"/>
  <c r="E297" s="1"/>
  <c r="D44"/>
  <c r="D297" s="1"/>
  <c r="C44"/>
  <c r="C297" s="1"/>
  <c r="B44"/>
  <c r="B297" s="1"/>
  <c r="A44"/>
  <c r="A297" s="1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E43"/>
  <c r="E296" s="1"/>
  <c r="D43"/>
  <c r="D296" s="1"/>
  <c r="C43"/>
  <c r="C296" s="1"/>
  <c r="B43"/>
  <c r="B296" s="1"/>
  <c r="A43"/>
  <c r="A296" s="1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E42"/>
  <c r="E295" s="1"/>
  <c r="D42"/>
  <c r="D295" s="1"/>
  <c r="C42"/>
  <c r="C295" s="1"/>
  <c r="B42"/>
  <c r="B295" s="1"/>
  <c r="A42"/>
  <c r="A295" s="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E41"/>
  <c r="E294" s="1"/>
  <c r="D41"/>
  <c r="D294" s="1"/>
  <c r="C41"/>
  <c r="C294" s="1"/>
  <c r="B41"/>
  <c r="B294" s="1"/>
  <c r="A41"/>
  <c r="A294" s="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E293" s="1"/>
  <c r="D40"/>
  <c r="D293" s="1"/>
  <c r="C40"/>
  <c r="C293" s="1"/>
  <c r="B40"/>
  <c r="B293" s="1"/>
  <c r="A40"/>
  <c r="A293" s="1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E39"/>
  <c r="B39"/>
  <c r="A39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E38"/>
  <c r="E292" s="1"/>
  <c r="D38"/>
  <c r="D292" s="1"/>
  <c r="C38"/>
  <c r="C292" s="1"/>
  <c r="B38"/>
  <c r="B292" s="1"/>
  <c r="A38"/>
  <c r="A292" s="1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E37"/>
  <c r="E291" s="1"/>
  <c r="D37"/>
  <c r="D291" s="1"/>
  <c r="C37"/>
  <c r="C291" s="1"/>
  <c r="B37"/>
  <c r="B291" s="1"/>
  <c r="A37"/>
  <c r="A291" s="1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E36"/>
  <c r="E290" s="1"/>
  <c r="D36"/>
  <c r="D290" s="1"/>
  <c r="C36"/>
  <c r="C290" s="1"/>
  <c r="B36"/>
  <c r="B290" s="1"/>
  <c r="A36"/>
  <c r="A290" s="1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E35"/>
  <c r="E289" s="1"/>
  <c r="D35"/>
  <c r="D289" s="1"/>
  <c r="C35"/>
  <c r="C289" s="1"/>
  <c r="B35"/>
  <c r="B289" s="1"/>
  <c r="A35"/>
  <c r="A289" s="1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E34"/>
  <c r="E288" s="1"/>
  <c r="D34"/>
  <c r="D288" s="1"/>
  <c r="C34"/>
  <c r="C288" s="1"/>
  <c r="B34"/>
  <c r="B288" s="1"/>
  <c r="A34"/>
  <c r="A288" s="1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E33"/>
  <c r="E287" s="1"/>
  <c r="D33"/>
  <c r="D287" s="1"/>
  <c r="C33"/>
  <c r="C287" s="1"/>
  <c r="B33"/>
  <c r="B287" s="1"/>
  <c r="A33"/>
  <c r="A287" s="1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E32"/>
  <c r="E286" s="1"/>
  <c r="D32"/>
  <c r="D286" s="1"/>
  <c r="C32"/>
  <c r="C286" s="1"/>
  <c r="B32"/>
  <c r="B286" s="1"/>
  <c r="A32"/>
  <c r="A286" s="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E31"/>
  <c r="E285" s="1"/>
  <c r="D31"/>
  <c r="D285" s="1"/>
  <c r="C31"/>
  <c r="C285" s="1"/>
  <c r="B31"/>
  <c r="B285" s="1"/>
  <c r="A31"/>
  <c r="A285" s="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E30"/>
  <c r="E284" s="1"/>
  <c r="D30"/>
  <c r="D284" s="1"/>
  <c r="C30"/>
  <c r="C284" s="1"/>
  <c r="B30"/>
  <c r="B284" s="1"/>
  <c r="A30"/>
  <c r="A284" s="1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E29"/>
  <c r="E283" s="1"/>
  <c r="D29"/>
  <c r="D283" s="1"/>
  <c r="C29"/>
  <c r="C283" s="1"/>
  <c r="B29"/>
  <c r="B283" s="1"/>
  <c r="A29"/>
  <c r="A283" s="1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E28"/>
  <c r="E282" s="1"/>
  <c r="D28"/>
  <c r="D282" s="1"/>
  <c r="C28"/>
  <c r="C282" s="1"/>
  <c r="B28"/>
  <c r="B282" s="1"/>
  <c r="A28"/>
  <c r="A282" s="1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E27"/>
  <c r="B27"/>
  <c r="A27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E26"/>
  <c r="E281" s="1"/>
  <c r="D26"/>
  <c r="D281" s="1"/>
  <c r="C26"/>
  <c r="C281" s="1"/>
  <c r="B26"/>
  <c r="B281" s="1"/>
  <c r="A26"/>
  <c r="A281" s="1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E25"/>
  <c r="E280" s="1"/>
  <c r="D25"/>
  <c r="D280" s="1"/>
  <c r="C25"/>
  <c r="C280" s="1"/>
  <c r="B25"/>
  <c r="B280" s="1"/>
  <c r="A25"/>
  <c r="A280" s="1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E24"/>
  <c r="E279" s="1"/>
  <c r="D24"/>
  <c r="D279" s="1"/>
  <c r="C24"/>
  <c r="C279" s="1"/>
  <c r="B24"/>
  <c r="B279" s="1"/>
  <c r="A24"/>
  <c r="A279" s="1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E23"/>
  <c r="E278" s="1"/>
  <c r="D23"/>
  <c r="D278" s="1"/>
  <c r="C23"/>
  <c r="C278" s="1"/>
  <c r="B23"/>
  <c r="B278" s="1"/>
  <c r="A23"/>
  <c r="A278" s="1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E22"/>
  <c r="E277" s="1"/>
  <c r="D22"/>
  <c r="D277" s="1"/>
  <c r="C22"/>
  <c r="C277" s="1"/>
  <c r="B22"/>
  <c r="B277" s="1"/>
  <c r="A22"/>
  <c r="A277" s="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E21"/>
  <c r="E276" s="1"/>
  <c r="D21"/>
  <c r="D276" s="1"/>
  <c r="C21"/>
  <c r="C276" s="1"/>
  <c r="B21"/>
  <c r="B276" s="1"/>
  <c r="A21"/>
  <c r="A276" s="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E20"/>
  <c r="E275" s="1"/>
  <c r="D20"/>
  <c r="D275" s="1"/>
  <c r="C20"/>
  <c r="C275" s="1"/>
  <c r="B20"/>
  <c r="B275" s="1"/>
  <c r="A20"/>
  <c r="A275" s="1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E19"/>
  <c r="E274" s="1"/>
  <c r="D19"/>
  <c r="D274" s="1"/>
  <c r="C19"/>
  <c r="C274" s="1"/>
  <c r="B19"/>
  <c r="B274" s="1"/>
  <c r="A19"/>
  <c r="A274" s="1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E18"/>
  <c r="E273" s="1"/>
  <c r="D18"/>
  <c r="D273" s="1"/>
  <c r="C18"/>
  <c r="C273" s="1"/>
  <c r="B18"/>
  <c r="B273" s="1"/>
  <c r="A18"/>
  <c r="A273" s="1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E17"/>
  <c r="E272" s="1"/>
  <c r="D17"/>
  <c r="D272" s="1"/>
  <c r="C17"/>
  <c r="C272" s="1"/>
  <c r="B17"/>
  <c r="B272" s="1"/>
  <c r="A17"/>
  <c r="A272" s="1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E16"/>
  <c r="E271" s="1"/>
  <c r="D16"/>
  <c r="D271" s="1"/>
  <c r="C16"/>
  <c r="C271" s="1"/>
  <c r="B16"/>
  <c r="B271" s="1"/>
  <c r="A16"/>
  <c r="A271" s="1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E15"/>
  <c r="B15"/>
  <c r="A15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E14"/>
  <c r="E270" s="1"/>
  <c r="D14"/>
  <c r="D270" s="1"/>
  <c r="C14"/>
  <c r="C270" s="1"/>
  <c r="B14"/>
  <c r="B270" s="1"/>
  <c r="A14"/>
  <c r="A270" s="1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E269" s="1"/>
  <c r="D13"/>
  <c r="D269" s="1"/>
  <c r="C13"/>
  <c r="C269" s="1"/>
  <c r="B13"/>
  <c r="B269" s="1"/>
  <c r="A13"/>
  <c r="A269" s="1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268" s="1"/>
  <c r="D12"/>
  <c r="D268" s="1"/>
  <c r="C12"/>
  <c r="C268" s="1"/>
  <c r="B12"/>
  <c r="B268" s="1"/>
  <c r="A12"/>
  <c r="A268" s="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267" s="1"/>
  <c r="D11"/>
  <c r="D267" s="1"/>
  <c r="C11"/>
  <c r="C267" s="1"/>
  <c r="B11"/>
  <c r="B267" s="1"/>
  <c r="A11"/>
  <c r="A267" s="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266" s="1"/>
  <c r="D10"/>
  <c r="D266" s="1"/>
  <c r="C10"/>
  <c r="C266" s="1"/>
  <c r="B10"/>
  <c r="B266" s="1"/>
  <c r="A10"/>
  <c r="A266" s="1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E265" s="1"/>
  <c r="D9"/>
  <c r="D265" s="1"/>
  <c r="C9"/>
  <c r="C265" s="1"/>
  <c r="B9"/>
  <c r="B265" s="1"/>
  <c r="A9"/>
  <c r="A265" s="1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E264" s="1"/>
  <c r="D8"/>
  <c r="D264" s="1"/>
  <c r="C8"/>
  <c r="C264" s="1"/>
  <c r="B8"/>
  <c r="B264" s="1"/>
  <c r="A8"/>
  <c r="A264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263" s="1"/>
  <c r="D7"/>
  <c r="D263" s="1"/>
  <c r="C7"/>
  <c r="C263" s="1"/>
  <c r="B7"/>
  <c r="B263" s="1"/>
  <c r="A7"/>
  <c r="A263" s="1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262" s="1"/>
  <c r="D6"/>
  <c r="D262" s="1"/>
  <c r="C6"/>
  <c r="C262" s="1"/>
  <c r="B6"/>
  <c r="B262" s="1"/>
  <c r="A6"/>
  <c r="A262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261" s="1"/>
  <c r="D5"/>
  <c r="D261" s="1"/>
  <c r="C5"/>
  <c r="C261" s="1"/>
  <c r="B5"/>
  <c r="B261" s="1"/>
  <c r="A5"/>
  <c r="A261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E260" s="1"/>
  <c r="D4"/>
  <c r="D260" s="1"/>
  <c r="C4"/>
  <c r="C260" s="1"/>
  <c r="B4"/>
  <c r="B260" s="1"/>
  <c r="A4"/>
  <c r="A260" s="1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B3"/>
  <c r="A3"/>
  <c r="E2"/>
  <c r="D2"/>
  <c r="C2"/>
  <c r="B2"/>
  <c r="A2"/>
  <c r="E242" i="2"/>
  <c r="D242"/>
  <c r="C242"/>
  <c r="A242"/>
  <c r="E241"/>
  <c r="D241"/>
  <c r="B241"/>
  <c r="E240"/>
  <c r="C240"/>
  <c r="D239"/>
  <c r="B239"/>
  <c r="A239"/>
  <c r="E238"/>
  <c r="B238"/>
  <c r="A238"/>
  <c r="D237"/>
  <c r="C237"/>
  <c r="B237"/>
  <c r="A237"/>
  <c r="D236"/>
  <c r="C236"/>
  <c r="B236"/>
  <c r="A236"/>
  <c r="E235"/>
  <c r="D235"/>
  <c r="C235"/>
  <c r="B235"/>
  <c r="E234"/>
  <c r="D234"/>
  <c r="C234"/>
  <c r="A234"/>
  <c r="E233"/>
  <c r="D233"/>
  <c r="B233"/>
  <c r="E232"/>
  <c r="C232"/>
  <c r="D231"/>
  <c r="C231"/>
  <c r="B231"/>
  <c r="E230"/>
  <c r="C230"/>
  <c r="D229"/>
  <c r="B229"/>
  <c r="A229"/>
  <c r="E228"/>
  <c r="B228"/>
  <c r="A228"/>
  <c r="D227"/>
  <c r="C227"/>
  <c r="B227"/>
  <c r="A227"/>
  <c r="D226"/>
  <c r="C226"/>
  <c r="B226"/>
  <c r="A226"/>
  <c r="E225"/>
  <c r="D225"/>
  <c r="C225"/>
  <c r="B225"/>
  <c r="E224"/>
  <c r="D224"/>
  <c r="C224"/>
  <c r="A224"/>
  <c r="E223"/>
  <c r="D223"/>
  <c r="B223"/>
  <c r="E222"/>
  <c r="C222"/>
  <c r="D221"/>
  <c r="B221"/>
  <c r="A221"/>
  <c r="E220"/>
  <c r="B220"/>
  <c r="A220"/>
  <c r="D219"/>
  <c r="C219"/>
  <c r="A219"/>
  <c r="E218"/>
  <c r="C218"/>
  <c r="B218"/>
  <c r="A218"/>
  <c r="C217"/>
  <c r="B217"/>
  <c r="A217"/>
  <c r="E216"/>
  <c r="D216"/>
  <c r="C216"/>
  <c r="B216"/>
  <c r="A216"/>
  <c r="E215"/>
  <c r="D215"/>
  <c r="C215"/>
  <c r="B215"/>
  <c r="E214"/>
  <c r="D214"/>
  <c r="C214"/>
  <c r="A214"/>
  <c r="E213"/>
  <c r="D213"/>
  <c r="B213"/>
  <c r="E212"/>
  <c r="C212"/>
  <c r="A212"/>
  <c r="D211"/>
  <c r="A211"/>
  <c r="E210"/>
  <c r="C210"/>
  <c r="B210"/>
  <c r="A210"/>
  <c r="C209"/>
  <c r="B209"/>
  <c r="A209"/>
  <c r="E208"/>
  <c r="D208"/>
  <c r="C208"/>
  <c r="B208"/>
  <c r="A208"/>
  <c r="E207"/>
  <c r="D207"/>
  <c r="C207"/>
  <c r="B207"/>
  <c r="A207"/>
  <c r="E206"/>
  <c r="D206"/>
  <c r="C206"/>
  <c r="B206"/>
  <c r="A206"/>
  <c r="D205"/>
  <c r="C205"/>
  <c r="B205"/>
  <c r="A205"/>
  <c r="E204"/>
  <c r="D204"/>
  <c r="C204"/>
  <c r="A204"/>
  <c r="E203"/>
  <c r="D203"/>
  <c r="C203"/>
  <c r="B203"/>
  <c r="E202"/>
  <c r="C202"/>
  <c r="B202"/>
  <c r="E201"/>
  <c r="D201"/>
  <c r="A201"/>
  <c r="E200"/>
  <c r="D200"/>
  <c r="B200"/>
  <c r="A200"/>
  <c r="C199"/>
  <c r="B199"/>
  <c r="A199"/>
  <c r="D198"/>
  <c r="C198"/>
  <c r="B198"/>
  <c r="A198"/>
  <c r="E197"/>
  <c r="D197"/>
  <c r="C197"/>
  <c r="B197"/>
  <c r="A197"/>
  <c r="E196"/>
  <c r="D196"/>
  <c r="C196"/>
  <c r="B196"/>
  <c r="A196"/>
  <c r="E195"/>
  <c r="D195"/>
  <c r="C195"/>
  <c r="B195"/>
  <c r="A195"/>
  <c r="E194"/>
  <c r="D194"/>
  <c r="C194"/>
  <c r="B194"/>
  <c r="A194"/>
  <c r="E193"/>
  <c r="D193"/>
  <c r="C193"/>
  <c r="B193"/>
  <c r="A193"/>
  <c r="E192"/>
  <c r="D192"/>
  <c r="C192"/>
  <c r="B192"/>
  <c r="A192"/>
  <c r="E191"/>
  <c r="D191"/>
  <c r="C191"/>
  <c r="B191"/>
  <c r="A191"/>
  <c r="E190"/>
  <c r="D190"/>
  <c r="C190"/>
  <c r="B190"/>
  <c r="A190"/>
  <c r="E189"/>
  <c r="D189"/>
  <c r="C189"/>
  <c r="B189"/>
  <c r="A189"/>
  <c r="E188"/>
  <c r="D188"/>
  <c r="C188"/>
  <c r="B188"/>
  <c r="A188"/>
  <c r="E187"/>
  <c r="D187"/>
  <c r="C187"/>
  <c r="B187"/>
  <c r="A187"/>
  <c r="E186"/>
  <c r="D186"/>
  <c r="C186"/>
  <c r="B186"/>
  <c r="A186"/>
  <c r="E185"/>
  <c r="D185"/>
  <c r="C185"/>
  <c r="B185"/>
  <c r="A185"/>
  <c r="E184"/>
  <c r="D184"/>
  <c r="C184"/>
  <c r="B184"/>
  <c r="A184"/>
  <c r="E183"/>
  <c r="D183"/>
  <c r="C183"/>
  <c r="B183"/>
  <c r="A183"/>
  <c r="E182"/>
  <c r="D182"/>
  <c r="C182"/>
  <c r="B182"/>
  <c r="A182"/>
  <c r="E181"/>
  <c r="D181"/>
  <c r="C181"/>
  <c r="B181"/>
  <c r="A181"/>
  <c r="E180"/>
  <c r="D180"/>
  <c r="C180"/>
  <c r="B180"/>
  <c r="A180"/>
  <c r="E179"/>
  <c r="D179"/>
  <c r="C179"/>
  <c r="B179"/>
  <c r="A179"/>
  <c r="E178"/>
  <c r="D178"/>
  <c r="C178"/>
  <c r="B178"/>
  <c r="A178"/>
  <c r="E177"/>
  <c r="D177"/>
  <c r="C177"/>
  <c r="B177"/>
  <c r="A177"/>
  <c r="E176"/>
  <c r="D176"/>
  <c r="C176"/>
  <c r="B176"/>
  <c r="A176"/>
  <c r="E175"/>
  <c r="D175"/>
  <c r="C175"/>
  <c r="B175"/>
  <c r="A175"/>
  <c r="E174"/>
  <c r="D174"/>
  <c r="C174"/>
  <c r="B174"/>
  <c r="A174"/>
  <c r="E173"/>
  <c r="D173"/>
  <c r="C173"/>
  <c r="B173"/>
  <c r="A173"/>
  <c r="E172"/>
  <c r="D172"/>
  <c r="C172"/>
  <c r="B172"/>
  <c r="A172"/>
  <c r="E171"/>
  <c r="D171"/>
  <c r="C171"/>
  <c r="B171"/>
  <c r="A171"/>
  <c r="E170"/>
  <c r="D170"/>
  <c r="C170"/>
  <c r="B170"/>
  <c r="A170"/>
  <c r="E169"/>
  <c r="D169"/>
  <c r="C169"/>
  <c r="B169"/>
  <c r="A169"/>
  <c r="E168"/>
  <c r="D168"/>
  <c r="C168"/>
  <c r="B168"/>
  <c r="A168"/>
  <c r="E167"/>
  <c r="D167"/>
  <c r="C167"/>
  <c r="B167"/>
  <c r="A167"/>
  <c r="E166"/>
  <c r="D166"/>
  <c r="C166"/>
  <c r="B166"/>
  <c r="A166"/>
  <c r="E165"/>
  <c r="D165"/>
  <c r="C165"/>
  <c r="B165"/>
  <c r="A165"/>
  <c r="E164"/>
  <c r="D164"/>
  <c r="C164"/>
  <c r="B164"/>
  <c r="A164"/>
  <c r="E163"/>
  <c r="D163"/>
  <c r="C163"/>
  <c r="B163"/>
  <c r="A163"/>
  <c r="E162"/>
  <c r="D162"/>
  <c r="C162"/>
  <c r="B162"/>
  <c r="A162"/>
  <c r="E161"/>
  <c r="D161"/>
  <c r="C161"/>
  <c r="B161"/>
  <c r="A161"/>
  <c r="E160"/>
  <c r="D160"/>
  <c r="C160"/>
  <c r="B160"/>
  <c r="A160"/>
  <c r="E159"/>
  <c r="D159"/>
  <c r="C159"/>
  <c r="B159"/>
  <c r="A159"/>
  <c r="E158"/>
  <c r="D158"/>
  <c r="C158"/>
  <c r="B158"/>
  <c r="A158"/>
  <c r="E157"/>
  <c r="D157"/>
  <c r="C157"/>
  <c r="B157"/>
  <c r="A157"/>
  <c r="E156"/>
  <c r="D156"/>
  <c r="C156"/>
  <c r="B156"/>
  <c r="A156"/>
  <c r="E155"/>
  <c r="D155"/>
  <c r="C155"/>
  <c r="B155"/>
  <c r="A155"/>
  <c r="E154"/>
  <c r="D154"/>
  <c r="C154"/>
  <c r="B154"/>
  <c r="A154"/>
  <c r="E153"/>
  <c r="D153"/>
  <c r="C153"/>
  <c r="B153"/>
  <c r="A153"/>
  <c r="E152"/>
  <c r="D152"/>
  <c r="C152"/>
  <c r="B152"/>
  <c r="A152"/>
  <c r="E151"/>
  <c r="D151"/>
  <c r="C151"/>
  <c r="B151"/>
  <c r="A151"/>
  <c r="E150"/>
  <c r="D150"/>
  <c r="C150"/>
  <c r="B150"/>
  <c r="A150"/>
  <c r="E149"/>
  <c r="D149"/>
  <c r="C149"/>
  <c r="B149"/>
  <c r="A149"/>
  <c r="E148"/>
  <c r="D148"/>
  <c r="C148"/>
  <c r="B148"/>
  <c r="A148"/>
  <c r="E147"/>
  <c r="D147"/>
  <c r="C147"/>
  <c r="B147"/>
  <c r="A147"/>
  <c r="E146"/>
  <c r="D146"/>
  <c r="C146"/>
  <c r="B146"/>
  <c r="A146"/>
  <c r="E145"/>
  <c r="D145"/>
  <c r="C145"/>
  <c r="B145"/>
  <c r="A145"/>
  <c r="E144"/>
  <c r="D144"/>
  <c r="C144"/>
  <c r="B144"/>
  <c r="A144"/>
  <c r="E143"/>
  <c r="D143"/>
  <c r="C143"/>
  <c r="B143"/>
  <c r="A143"/>
  <c r="E142"/>
  <c r="D142"/>
  <c r="C142"/>
  <c r="B142"/>
  <c r="A142"/>
  <c r="E141"/>
  <c r="D141"/>
  <c r="C141"/>
  <c r="B141"/>
  <c r="A141"/>
  <c r="E140"/>
  <c r="D140"/>
  <c r="C140"/>
  <c r="B140"/>
  <c r="A140"/>
  <c r="E139"/>
  <c r="D139"/>
  <c r="C139"/>
  <c r="B139"/>
  <c r="A139"/>
  <c r="E138"/>
  <c r="D138"/>
  <c r="C138"/>
  <c r="B138"/>
  <c r="A138"/>
  <c r="E137"/>
  <c r="D137"/>
  <c r="C137"/>
  <c r="B137"/>
  <c r="A137"/>
  <c r="E136"/>
  <c r="D136"/>
  <c r="C136"/>
  <c r="B136"/>
  <c r="A136"/>
  <c r="E135"/>
  <c r="D135"/>
  <c r="C135"/>
  <c r="B135"/>
  <c r="A135"/>
  <c r="E134"/>
  <c r="D134"/>
  <c r="C134"/>
  <c r="B134"/>
  <c r="A134"/>
  <c r="E133"/>
  <c r="D133"/>
  <c r="C133"/>
  <c r="B133"/>
  <c r="A133"/>
  <c r="E132"/>
  <c r="D132"/>
  <c r="C132"/>
  <c r="B132"/>
  <c r="A132"/>
  <c r="E131"/>
  <c r="D131"/>
  <c r="C131"/>
  <c r="B131"/>
  <c r="A131"/>
  <c r="E130"/>
  <c r="D130"/>
  <c r="C130"/>
  <c r="B130"/>
  <c r="A130"/>
  <c r="E129"/>
  <c r="D129"/>
  <c r="C129"/>
  <c r="B129"/>
  <c r="A129"/>
  <c r="E128"/>
  <c r="D128"/>
  <c r="C128"/>
  <c r="B128"/>
  <c r="A128"/>
  <c r="E127"/>
  <c r="D127"/>
  <c r="C127"/>
  <c r="B127"/>
  <c r="A127"/>
  <c r="E126"/>
  <c r="D126"/>
  <c r="C126"/>
  <c r="B126"/>
  <c r="A126"/>
  <c r="E125"/>
  <c r="D125"/>
  <c r="C125"/>
  <c r="B125"/>
  <c r="A125"/>
  <c r="E124"/>
  <c r="D124"/>
  <c r="C124"/>
  <c r="B124"/>
  <c r="A124"/>
  <c r="E123"/>
  <c r="D123"/>
  <c r="C123"/>
  <c r="B123"/>
  <c r="A123"/>
  <c r="E122"/>
  <c r="D122"/>
  <c r="C122"/>
  <c r="B122"/>
  <c r="A122"/>
  <c r="E121"/>
  <c r="D121"/>
  <c r="C121"/>
  <c r="B121"/>
  <c r="A121"/>
  <c r="E120"/>
  <c r="D120"/>
  <c r="C120"/>
  <c r="B120"/>
  <c r="A120"/>
  <c r="E119"/>
  <c r="D119"/>
  <c r="C119"/>
  <c r="B119"/>
  <c r="A119"/>
  <c r="E118"/>
  <c r="D118"/>
  <c r="C118"/>
  <c r="B118"/>
  <c r="A118"/>
  <c r="E117"/>
  <c r="D117"/>
  <c r="C117"/>
  <c r="B117"/>
  <c r="A117"/>
  <c r="E116"/>
  <c r="D116"/>
  <c r="C116"/>
  <c r="B116"/>
  <c r="A116"/>
  <c r="E115"/>
  <c r="D115"/>
  <c r="C115"/>
  <c r="B115"/>
  <c r="A115"/>
  <c r="E114"/>
  <c r="D114"/>
  <c r="C114"/>
  <c r="B114"/>
  <c r="A114"/>
  <c r="E113"/>
  <c r="D113"/>
  <c r="C113"/>
  <c r="B113"/>
  <c r="A113"/>
  <c r="E112"/>
  <c r="D112"/>
  <c r="C112"/>
  <c r="B112"/>
  <c r="A112"/>
  <c r="E111"/>
  <c r="D111"/>
  <c r="C111"/>
  <c r="B111"/>
  <c r="A111"/>
  <c r="E110"/>
  <c r="D110"/>
  <c r="C110"/>
  <c r="B110"/>
  <c r="A110"/>
  <c r="E109"/>
  <c r="D109"/>
  <c r="C109"/>
  <c r="B109"/>
  <c r="A109"/>
  <c r="E108"/>
  <c r="D108"/>
  <c r="C108"/>
  <c r="B108"/>
  <c r="A108"/>
  <c r="E107"/>
  <c r="D107"/>
  <c r="C107"/>
  <c r="B107"/>
  <c r="A107"/>
  <c r="E106"/>
  <c r="D106"/>
  <c r="C106"/>
  <c r="B106"/>
  <c r="A106"/>
  <c r="E105"/>
  <c r="D105"/>
  <c r="C105"/>
  <c r="B105"/>
  <c r="A105"/>
  <c r="E104"/>
  <c r="D104"/>
  <c r="C104"/>
  <c r="B104"/>
  <c r="A104"/>
  <c r="E103"/>
  <c r="D103"/>
  <c r="C103"/>
  <c r="B103"/>
  <c r="A103"/>
  <c r="E102"/>
  <c r="D102"/>
  <c r="C102"/>
  <c r="B102"/>
  <c r="A102"/>
  <c r="E101"/>
  <c r="D101"/>
  <c r="C101"/>
  <c r="B101"/>
  <c r="A101"/>
  <c r="E100"/>
  <c r="D100"/>
  <c r="C100"/>
  <c r="B100"/>
  <c r="A100"/>
  <c r="E99"/>
  <c r="D99"/>
  <c r="C99"/>
  <c r="B99"/>
  <c r="A99"/>
  <c r="E98"/>
  <c r="D98"/>
  <c r="C98"/>
  <c r="B98"/>
  <c r="A98"/>
  <c r="E97"/>
  <c r="D97"/>
  <c r="C97"/>
  <c r="B97"/>
  <c r="A97"/>
  <c r="E96"/>
  <c r="D96"/>
  <c r="C96"/>
  <c r="B96"/>
  <c r="A96"/>
  <c r="E95"/>
  <c r="D95"/>
  <c r="C95"/>
  <c r="B95"/>
  <c r="A95"/>
  <c r="E94"/>
  <c r="D94"/>
  <c r="C94"/>
  <c r="B94"/>
  <c r="A94"/>
  <c r="E93"/>
  <c r="D93"/>
  <c r="C93"/>
  <c r="B93"/>
  <c r="A93"/>
  <c r="E92"/>
  <c r="D92"/>
  <c r="C92"/>
  <c r="B92"/>
  <c r="A92"/>
  <c r="E91"/>
  <c r="D91"/>
  <c r="C91"/>
  <c r="B91"/>
  <c r="A91"/>
  <c r="E90"/>
  <c r="D90"/>
  <c r="C90"/>
  <c r="B90"/>
  <c r="A90"/>
  <c r="E89"/>
  <c r="D89"/>
  <c r="C89"/>
  <c r="B89"/>
  <c r="A89"/>
  <c r="E88"/>
  <c r="D88"/>
  <c r="C88"/>
  <c r="B88"/>
  <c r="A88"/>
  <c r="E87"/>
  <c r="D87"/>
  <c r="C87"/>
  <c r="B87"/>
  <c r="A87"/>
  <c r="E86"/>
  <c r="D86"/>
  <c r="C86"/>
  <c r="B86"/>
  <c r="A86"/>
  <c r="E85"/>
  <c r="D85"/>
  <c r="C85"/>
  <c r="B85"/>
  <c r="A85"/>
  <c r="E84"/>
  <c r="D84"/>
  <c r="C84"/>
  <c r="B84"/>
  <c r="A84"/>
  <c r="E83"/>
  <c r="D83"/>
  <c r="C83"/>
  <c r="B83"/>
  <c r="A83"/>
  <c r="E82"/>
  <c r="D82"/>
  <c r="C82"/>
  <c r="B82"/>
  <c r="A82"/>
  <c r="E81"/>
  <c r="D81"/>
  <c r="C81"/>
  <c r="B81"/>
  <c r="A81"/>
  <c r="E80"/>
  <c r="D80"/>
  <c r="C80"/>
  <c r="B80"/>
  <c r="A80"/>
  <c r="E79"/>
  <c r="D79"/>
  <c r="C79"/>
  <c r="B79"/>
  <c r="A79"/>
  <c r="E78"/>
  <c r="D78"/>
  <c r="C78"/>
  <c r="B78"/>
  <c r="A78"/>
  <c r="E77"/>
  <c r="D77"/>
  <c r="C77"/>
  <c r="B77"/>
  <c r="A77"/>
  <c r="E76"/>
  <c r="D76"/>
  <c r="C76"/>
  <c r="B76"/>
  <c r="A76"/>
  <c r="E75"/>
  <c r="D75"/>
  <c r="C75"/>
  <c r="B75"/>
  <c r="A75"/>
  <c r="E74"/>
  <c r="D74"/>
  <c r="C74"/>
  <c r="B74"/>
  <c r="A74"/>
  <c r="E73"/>
  <c r="D73"/>
  <c r="C73"/>
  <c r="B73"/>
  <c r="A73"/>
  <c r="E72"/>
  <c r="D72"/>
  <c r="C72"/>
  <c r="B72"/>
  <c r="A72"/>
  <c r="E71"/>
  <c r="D71"/>
  <c r="C71"/>
  <c r="B71"/>
  <c r="A71"/>
  <c r="E70"/>
  <c r="D70"/>
  <c r="C70"/>
  <c r="B70"/>
  <c r="A70"/>
  <c r="E69"/>
  <c r="D69"/>
  <c r="C69"/>
  <c r="B69"/>
  <c r="A69"/>
  <c r="E68"/>
  <c r="D68"/>
  <c r="C68"/>
  <c r="B68"/>
  <c r="A68"/>
  <c r="E67"/>
  <c r="D67"/>
  <c r="C67"/>
  <c r="B67"/>
  <c r="A67"/>
  <c r="E66"/>
  <c r="D66"/>
  <c r="C66"/>
  <c r="B66"/>
  <c r="A66"/>
  <c r="E65"/>
  <c r="D65"/>
  <c r="C65"/>
  <c r="B65"/>
  <c r="A65"/>
  <c r="E64"/>
  <c r="D64"/>
  <c r="C64"/>
  <c r="B64"/>
  <c r="A64"/>
  <c r="E63"/>
  <c r="D63"/>
  <c r="C63"/>
  <c r="B63"/>
  <c r="A63"/>
  <c r="E62"/>
  <c r="D62"/>
  <c r="C62"/>
  <c r="B62"/>
  <c r="A62"/>
  <c r="E61"/>
  <c r="D61"/>
  <c r="C61"/>
  <c r="B61"/>
  <c r="A61"/>
  <c r="E60"/>
  <c r="D60"/>
  <c r="C60"/>
  <c r="B60"/>
  <c r="A60"/>
  <c r="E59"/>
  <c r="D59"/>
  <c r="C59"/>
  <c r="B59"/>
  <c r="A59"/>
  <c r="E58"/>
  <c r="D58"/>
  <c r="C58"/>
  <c r="B58"/>
  <c r="A58"/>
  <c r="E57"/>
  <c r="D57"/>
  <c r="C57"/>
  <c r="B57"/>
  <c r="A57"/>
  <c r="E56"/>
  <c r="D56"/>
  <c r="C56"/>
  <c r="B56"/>
  <c r="A56"/>
  <c r="E55"/>
  <c r="D55"/>
  <c r="C55"/>
  <c r="B55"/>
  <c r="A55"/>
  <c r="E54"/>
  <c r="D54"/>
  <c r="C54"/>
  <c r="B54"/>
  <c r="A54"/>
  <c r="D53"/>
  <c r="C53"/>
  <c r="B53"/>
  <c r="A53"/>
  <c r="E52"/>
  <c r="D52"/>
  <c r="C52"/>
  <c r="B52"/>
  <c r="A52"/>
  <c r="E51"/>
  <c r="D51"/>
  <c r="C51"/>
  <c r="B51"/>
  <c r="A51"/>
  <c r="E50"/>
  <c r="D50"/>
  <c r="C50"/>
  <c r="B50"/>
  <c r="A50"/>
  <c r="E49"/>
  <c r="D49"/>
  <c r="C49"/>
  <c r="B49"/>
  <c r="A49"/>
  <c r="E48"/>
  <c r="D48"/>
  <c r="C48"/>
  <c r="B48"/>
  <c r="A48"/>
  <c r="E47"/>
  <c r="D47"/>
  <c r="C47"/>
  <c r="B47"/>
  <c r="A47"/>
  <c r="E46"/>
  <c r="D46"/>
  <c r="C46"/>
  <c r="B46"/>
  <c r="A46"/>
  <c r="E45"/>
  <c r="D45"/>
  <c r="C45"/>
  <c r="B45"/>
  <c r="A45"/>
  <c r="E44"/>
  <c r="D44"/>
  <c r="C44"/>
  <c r="B44"/>
  <c r="A44"/>
  <c r="E43"/>
  <c r="D43"/>
  <c r="C43"/>
  <c r="B43"/>
  <c r="A43"/>
  <c r="E42"/>
  <c r="D42"/>
  <c r="C42"/>
  <c r="B42"/>
  <c r="A42"/>
  <c r="E41"/>
  <c r="D41"/>
  <c r="C41"/>
  <c r="B41"/>
  <c r="A41"/>
  <c r="E40"/>
  <c r="D40"/>
  <c r="C40"/>
  <c r="B40"/>
  <c r="A40"/>
  <c r="E39"/>
  <c r="D39"/>
  <c r="C39"/>
  <c r="B39"/>
  <c r="A39"/>
  <c r="E38"/>
  <c r="D38"/>
  <c r="C38"/>
  <c r="B38"/>
  <c r="A38"/>
  <c r="E37"/>
  <c r="D37"/>
  <c r="C37"/>
  <c r="B37"/>
  <c r="A37"/>
  <c r="E36"/>
  <c r="D36"/>
  <c r="C36"/>
  <c r="B36"/>
  <c r="A36"/>
  <c r="E35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E2"/>
  <c r="D2"/>
  <c r="C2"/>
  <c r="B2"/>
  <c r="A2"/>
  <c r="A252" i="3"/>
  <c r="C504"/>
  <c r="C500"/>
  <c r="C496"/>
  <c r="C492"/>
  <c r="C502"/>
  <c r="C494"/>
  <c r="F479"/>
  <c r="E209" i="2" l="1"/>
  <c r="A213"/>
  <c r="B232"/>
  <c r="B240"/>
  <c r="D202"/>
  <c r="B204"/>
  <c r="C220"/>
  <c r="A222"/>
  <c r="E226"/>
  <c r="C228"/>
  <c r="A230"/>
  <c r="D210"/>
  <c r="B212"/>
  <c r="D218"/>
  <c r="E221"/>
  <c r="C223"/>
  <c r="A225"/>
  <c r="E229"/>
  <c r="A233"/>
  <c r="E237"/>
  <c r="C239"/>
  <c r="A241"/>
  <c r="E198"/>
  <c r="C200"/>
  <c r="A202"/>
  <c r="E211"/>
  <c r="C213"/>
  <c r="A215"/>
  <c r="C221"/>
  <c r="A223"/>
  <c r="E227"/>
  <c r="C229"/>
  <c r="D232"/>
  <c r="B234"/>
  <c r="D240"/>
  <c r="B242"/>
  <c r="C211"/>
  <c r="B224"/>
  <c r="E199"/>
  <c r="C201"/>
  <c r="A203"/>
  <c r="D209"/>
  <c r="B211"/>
  <c r="D217"/>
  <c r="A232"/>
  <c r="E236"/>
  <c r="C238"/>
  <c r="A240"/>
  <c r="E217"/>
  <c r="D222"/>
  <c r="D230"/>
  <c r="D238"/>
  <c r="D199"/>
  <c r="B201"/>
  <c r="D212"/>
  <c r="B214"/>
  <c r="D220"/>
  <c r="B222"/>
  <c r="D228"/>
  <c r="B230"/>
  <c r="C233"/>
  <c r="A235"/>
  <c r="E239"/>
  <c r="C241"/>
  <c r="B494" i="3"/>
  <c r="B502"/>
  <c r="B492"/>
  <c r="B496"/>
  <c r="B500"/>
  <c r="B504"/>
  <c r="E305"/>
  <c r="E53" i="2"/>
  <c r="E445" i="3"/>
  <c r="E205" i="2"/>
  <c r="C256" i="3"/>
  <c r="F278"/>
  <c r="F310"/>
  <c r="F342"/>
  <c r="F374"/>
  <c r="F406"/>
  <c r="F438"/>
  <c r="F470"/>
  <c r="F281"/>
  <c r="F313"/>
  <c r="F345"/>
  <c r="F377"/>
  <c r="F409"/>
  <c r="F441"/>
  <c r="F473"/>
  <c r="F284"/>
  <c r="F316"/>
  <c r="F348"/>
  <c r="F380"/>
  <c r="F412"/>
  <c r="F444"/>
  <c r="F476"/>
  <c r="F287"/>
  <c r="F319"/>
  <c r="F351"/>
  <c r="F383"/>
  <c r="F415"/>
  <c r="F447"/>
  <c r="F379"/>
  <c r="F443"/>
  <c r="F475"/>
  <c r="F270"/>
  <c r="F302"/>
  <c r="F334"/>
  <c r="F398"/>
  <c r="F462"/>
  <c r="F305"/>
  <c r="F369"/>
  <c r="F433"/>
  <c r="F276"/>
  <c r="F340"/>
  <c r="F404"/>
  <c r="F468"/>
  <c r="F311"/>
  <c r="F375"/>
  <c r="F439"/>
  <c r="F332"/>
  <c r="F428"/>
  <c r="F303"/>
  <c r="F399"/>
  <c r="F325"/>
  <c r="F453"/>
  <c r="F328"/>
  <c r="F456"/>
  <c r="F331"/>
  <c r="F427"/>
  <c r="F318"/>
  <c r="F382"/>
  <c r="F478"/>
  <c r="F417"/>
  <c r="F292"/>
  <c r="F356"/>
  <c r="F452"/>
  <c r="F327"/>
  <c r="F423"/>
  <c r="F378"/>
  <c r="F474"/>
  <c r="F349"/>
  <c r="F445"/>
  <c r="F320"/>
  <c r="F416"/>
  <c r="F291"/>
  <c r="F355"/>
  <c r="F274"/>
  <c r="F306"/>
  <c r="F338"/>
  <c r="F370"/>
  <c r="F402"/>
  <c r="F434"/>
  <c r="F466"/>
  <c r="F277"/>
  <c r="F309"/>
  <c r="F341"/>
  <c r="F373"/>
  <c r="F405"/>
  <c r="F437"/>
  <c r="F469"/>
  <c r="F280"/>
  <c r="F312"/>
  <c r="F344"/>
  <c r="F376"/>
  <c r="F408"/>
  <c r="F440"/>
  <c r="F472"/>
  <c r="F283"/>
  <c r="F315"/>
  <c r="F347"/>
  <c r="F411"/>
  <c r="F366"/>
  <c r="F430"/>
  <c r="F273"/>
  <c r="F337"/>
  <c r="F401"/>
  <c r="F465"/>
  <c r="F308"/>
  <c r="F372"/>
  <c r="F436"/>
  <c r="F279"/>
  <c r="F343"/>
  <c r="F407"/>
  <c r="F471"/>
  <c r="F364"/>
  <c r="F460"/>
  <c r="F335"/>
  <c r="F431"/>
  <c r="F450"/>
  <c r="F357"/>
  <c r="F421"/>
  <c r="F296"/>
  <c r="F392"/>
  <c r="F267"/>
  <c r="F395"/>
  <c r="F414"/>
  <c r="F321"/>
  <c r="F385"/>
  <c r="F260"/>
  <c r="F420"/>
  <c r="F295"/>
  <c r="F391"/>
  <c r="F442"/>
  <c r="F317"/>
  <c r="F413"/>
  <c r="F288"/>
  <c r="F384"/>
  <c r="F419"/>
  <c r="F266"/>
  <c r="F298"/>
  <c r="F330"/>
  <c r="F362"/>
  <c r="F394"/>
  <c r="F426"/>
  <c r="F458"/>
  <c r="F269"/>
  <c r="F301"/>
  <c r="F333"/>
  <c r="F365"/>
  <c r="F397"/>
  <c r="F429"/>
  <c r="F461"/>
  <c r="F272"/>
  <c r="F304"/>
  <c r="F336"/>
  <c r="F368"/>
  <c r="F400"/>
  <c r="F432"/>
  <c r="F464"/>
  <c r="F275"/>
  <c r="F307"/>
  <c r="F339"/>
  <c r="F371"/>
  <c r="F403"/>
  <c r="F435"/>
  <c r="F467"/>
  <c r="F262"/>
  <c r="F294"/>
  <c r="F326"/>
  <c r="F358"/>
  <c r="F390"/>
  <c r="F422"/>
  <c r="F454"/>
  <c r="F265"/>
  <c r="F297"/>
  <c r="F329"/>
  <c r="F361"/>
  <c r="F393"/>
  <c r="F425"/>
  <c r="F457"/>
  <c r="F268"/>
  <c r="F300"/>
  <c r="F396"/>
  <c r="F271"/>
  <c r="F367"/>
  <c r="F463"/>
  <c r="F290"/>
  <c r="F322"/>
  <c r="F354"/>
  <c r="F386"/>
  <c r="F418"/>
  <c r="F261"/>
  <c r="F293"/>
  <c r="F389"/>
  <c r="F264"/>
  <c r="F360"/>
  <c r="F424"/>
  <c r="F299"/>
  <c r="F363"/>
  <c r="F459"/>
  <c r="F286"/>
  <c r="F350"/>
  <c r="F446"/>
  <c r="F289"/>
  <c r="F353"/>
  <c r="F449"/>
  <c r="F324"/>
  <c r="F388"/>
  <c r="F263"/>
  <c r="F359"/>
  <c r="F455"/>
  <c r="F282"/>
  <c r="F314"/>
  <c r="F346"/>
  <c r="F410"/>
  <c r="F285"/>
  <c r="F381"/>
  <c r="F477"/>
  <c r="F352"/>
  <c r="F448"/>
  <c r="F323"/>
  <c r="F387"/>
  <c r="F451"/>
  <c r="BJ498" l="1"/>
  <c r="BJ499" s="1"/>
  <c r="BB498"/>
  <c r="BB499" s="1"/>
  <c r="AT498"/>
  <c r="AT499" s="1"/>
  <c r="AL498"/>
  <c r="AL499" s="1"/>
  <c r="AD498"/>
  <c r="AD499" s="1"/>
  <c r="V498"/>
  <c r="V499" s="1"/>
  <c r="N498"/>
  <c r="N499" s="1"/>
  <c r="F498"/>
  <c r="F499" s="1"/>
  <c r="BC498"/>
  <c r="BC499" s="1"/>
  <c r="AU498"/>
  <c r="AU499" s="1"/>
  <c r="AM498"/>
  <c r="AM499" s="1"/>
  <c r="AE498"/>
  <c r="AE499" s="1"/>
  <c r="W498"/>
  <c r="W499" s="1"/>
  <c r="O498"/>
  <c r="O499" s="1"/>
  <c r="G498"/>
  <c r="G499" s="1"/>
  <c r="BD498"/>
  <c r="BD499" s="1"/>
  <c r="AV498"/>
  <c r="AV499" s="1"/>
  <c r="AN498"/>
  <c r="AN499" s="1"/>
  <c r="AF498"/>
  <c r="AF499" s="1"/>
  <c r="X498"/>
  <c r="X499" s="1"/>
  <c r="P498"/>
  <c r="P499" s="1"/>
  <c r="H498"/>
  <c r="H499" s="1"/>
  <c r="BE498"/>
  <c r="BE499" s="1"/>
  <c r="AW498"/>
  <c r="AW499" s="1"/>
  <c r="AO498"/>
  <c r="AO499" s="1"/>
  <c r="AG498"/>
  <c r="AG499" s="1"/>
  <c r="Y498"/>
  <c r="Y499" s="1"/>
  <c r="Q498"/>
  <c r="Q499" s="1"/>
  <c r="I498"/>
  <c r="I499" s="1"/>
  <c r="BF498"/>
  <c r="BF499" s="1"/>
  <c r="AX498"/>
  <c r="AX499" s="1"/>
  <c r="AP498"/>
  <c r="AP499" s="1"/>
  <c r="AH498"/>
  <c r="AH499" s="1"/>
  <c r="Z498"/>
  <c r="Z499" s="1"/>
  <c r="R498"/>
  <c r="R499" s="1"/>
  <c r="J498"/>
  <c r="J499" s="1"/>
  <c r="B498"/>
  <c r="B499" s="1"/>
  <c r="BG498"/>
  <c r="BG499" s="1"/>
  <c r="AY498"/>
  <c r="AY499" s="1"/>
  <c r="AQ498"/>
  <c r="AQ499" s="1"/>
  <c r="AI498"/>
  <c r="AI499" s="1"/>
  <c r="AA498"/>
  <c r="AA499" s="1"/>
  <c r="S498"/>
  <c r="S499" s="1"/>
  <c r="K498"/>
  <c r="K499" s="1"/>
  <c r="C498"/>
  <c r="C499" s="1"/>
  <c r="BH498"/>
  <c r="BH499" s="1"/>
  <c r="AZ498"/>
  <c r="AZ499" s="1"/>
  <c r="AR498"/>
  <c r="AR499" s="1"/>
  <c r="AJ498"/>
  <c r="AJ499" s="1"/>
  <c r="AB498"/>
  <c r="AB499" s="1"/>
  <c r="T498"/>
  <c r="T499" s="1"/>
  <c r="L498"/>
  <c r="L499" s="1"/>
  <c r="D498"/>
  <c r="D499" s="1"/>
  <c r="BI498"/>
  <c r="BI499" s="1"/>
  <c r="BA498"/>
  <c r="BA499" s="1"/>
  <c r="AS498"/>
  <c r="AS499" s="1"/>
  <c r="AK498"/>
  <c r="AK499" s="1"/>
  <c r="AC498"/>
  <c r="AC499" s="1"/>
  <c r="U498"/>
  <c r="U499" s="1"/>
  <c r="M498"/>
  <c r="M499" s="1"/>
  <c r="E498"/>
  <c r="E499" s="1"/>
  <c r="BJ506"/>
  <c r="BJ507" s="1"/>
  <c r="BB506"/>
  <c r="BB507" s="1"/>
  <c r="AT506"/>
  <c r="AT507" s="1"/>
  <c r="AL506"/>
  <c r="AL507" s="1"/>
  <c r="AD506"/>
  <c r="AD507" s="1"/>
  <c r="V506"/>
  <c r="V507" s="1"/>
  <c r="N506"/>
  <c r="N507" s="1"/>
  <c r="F506"/>
  <c r="F507" s="1"/>
  <c r="BC506"/>
  <c r="BC507" s="1"/>
  <c r="AU506"/>
  <c r="AU507" s="1"/>
  <c r="AM506"/>
  <c r="AM507" s="1"/>
  <c r="AE506"/>
  <c r="AE507" s="1"/>
  <c r="W506"/>
  <c r="W507" s="1"/>
  <c r="O506"/>
  <c r="O507" s="1"/>
  <c r="G506"/>
  <c r="G507" s="1"/>
  <c r="BD506"/>
  <c r="BD507" s="1"/>
  <c r="AV506"/>
  <c r="AV507" s="1"/>
  <c r="AN506"/>
  <c r="AN507" s="1"/>
  <c r="AF506"/>
  <c r="AF507" s="1"/>
  <c r="X506"/>
  <c r="X507" s="1"/>
  <c r="P506"/>
  <c r="P507" s="1"/>
  <c r="H506"/>
  <c r="H507" s="1"/>
  <c r="BE506"/>
  <c r="BE507" s="1"/>
  <c r="AW506"/>
  <c r="AW507" s="1"/>
  <c r="AO506"/>
  <c r="AO507" s="1"/>
  <c r="AG506"/>
  <c r="AG507" s="1"/>
  <c r="Y506"/>
  <c r="Y507" s="1"/>
  <c r="Q506"/>
  <c r="Q507" s="1"/>
  <c r="I506"/>
  <c r="I507" s="1"/>
  <c r="BF506"/>
  <c r="BF507" s="1"/>
  <c r="AX506"/>
  <c r="AX507" s="1"/>
  <c r="AP506"/>
  <c r="AP507" s="1"/>
  <c r="AH506"/>
  <c r="AH507" s="1"/>
  <c r="Z506"/>
  <c r="Z507" s="1"/>
  <c r="R506"/>
  <c r="R507" s="1"/>
  <c r="J506"/>
  <c r="J507" s="1"/>
  <c r="B506"/>
  <c r="B507" s="1"/>
  <c r="BG506"/>
  <c r="BG507" s="1"/>
  <c r="AY506"/>
  <c r="AY507" s="1"/>
  <c r="AQ506"/>
  <c r="AQ507" s="1"/>
  <c r="AI506"/>
  <c r="AI507" s="1"/>
  <c r="AA506"/>
  <c r="AA507" s="1"/>
  <c r="S506"/>
  <c r="S507" s="1"/>
  <c r="K506"/>
  <c r="K507" s="1"/>
  <c r="C506"/>
  <c r="C507" s="1"/>
  <c r="BH506"/>
  <c r="BH507" s="1"/>
  <c r="AZ506"/>
  <c r="AZ507" s="1"/>
  <c r="AR506"/>
  <c r="AR507" s="1"/>
  <c r="AJ506"/>
  <c r="AJ507" s="1"/>
  <c r="AB506"/>
  <c r="AB507" s="1"/>
  <c r="T506"/>
  <c r="T507" s="1"/>
  <c r="L506"/>
  <c r="L507" s="1"/>
  <c r="D506"/>
  <c r="D507" s="1"/>
  <c r="BI506"/>
  <c r="BI507" s="1"/>
  <c r="BA506"/>
  <c r="BA507" s="1"/>
  <c r="AS506"/>
  <c r="AS507" s="1"/>
  <c r="AK506"/>
  <c r="AK507" s="1"/>
  <c r="AC506"/>
  <c r="AC507" s="1"/>
  <c r="U506"/>
  <c r="U507" s="1"/>
  <c r="M506"/>
  <c r="M507" s="1"/>
  <c r="E506"/>
  <c r="E507" s="1"/>
  <c r="DS2" l="1"/>
  <c r="BK2"/>
  <c r="BS2"/>
  <c r="K2"/>
  <c r="DL2"/>
  <c r="BD2"/>
  <c r="DI2"/>
  <c r="BA2"/>
  <c r="Q2"/>
  <c r="BY2"/>
  <c r="DB2"/>
  <c r="AT2"/>
  <c r="DO2"/>
  <c r="BG2"/>
  <c r="I2"/>
  <c r="BQ2"/>
  <c r="CT2"/>
  <c r="AL2"/>
  <c r="DG2"/>
  <c r="AY2"/>
  <c r="CN2"/>
  <c r="AF2"/>
  <c r="CK2"/>
  <c r="AC2"/>
  <c r="AX2"/>
  <c r="DF2"/>
  <c r="CF2"/>
  <c r="X2"/>
  <c r="CE2"/>
  <c r="W2"/>
  <c r="CD2"/>
  <c r="V2"/>
  <c r="CC2"/>
  <c r="U2"/>
  <c r="AB2"/>
  <c r="CJ2"/>
  <c r="CQ2"/>
  <c r="AI2"/>
  <c r="AP2"/>
  <c r="CX2"/>
  <c r="AW2"/>
  <c r="DE2"/>
  <c r="R2"/>
  <c r="BZ2"/>
  <c r="BC2"/>
  <c r="DK2"/>
  <c r="BH2"/>
  <c r="DP2"/>
  <c r="DC2"/>
  <c r="AU2"/>
  <c r="DA2"/>
  <c r="AS2"/>
  <c r="CV2"/>
  <c r="AN2"/>
  <c r="CS2"/>
  <c r="AK2"/>
  <c r="BF2"/>
  <c r="DN2"/>
  <c r="CL2"/>
  <c r="AD2"/>
  <c r="AQ2"/>
  <c r="CY2"/>
  <c r="BX2"/>
  <c r="P2"/>
  <c r="O2"/>
  <c r="BW2"/>
  <c r="BV2"/>
  <c r="N2"/>
  <c r="BU2"/>
  <c r="M2"/>
  <c r="T2"/>
  <c r="CB2"/>
  <c r="AA2"/>
  <c r="CI2"/>
  <c r="AH2"/>
  <c r="CP2"/>
  <c r="AO2"/>
  <c r="CW2"/>
  <c r="DT2"/>
  <c r="BL2"/>
  <c r="DR2"/>
  <c r="BJ2"/>
  <c r="DQ2"/>
  <c r="BI2"/>
  <c r="Y2"/>
  <c r="CG2"/>
  <c r="DJ2"/>
  <c r="BB2"/>
  <c r="J2"/>
  <c r="BR2"/>
  <c r="DD2"/>
  <c r="AV2"/>
  <c r="AZ2"/>
  <c r="DH2"/>
  <c r="CU2"/>
  <c r="AM2"/>
  <c r="AR2"/>
  <c r="CZ2"/>
  <c r="BM2"/>
  <c r="DU2"/>
  <c r="AE2"/>
  <c r="CM2"/>
  <c r="AJ2"/>
  <c r="CR2"/>
  <c r="BE2"/>
  <c r="DM2"/>
  <c r="BP2"/>
  <c r="H2"/>
  <c r="BO2"/>
  <c r="G2"/>
  <c r="BN2"/>
  <c r="F2"/>
  <c r="L2"/>
  <c r="BT2"/>
  <c r="S2"/>
  <c r="CA2"/>
  <c r="Z2"/>
  <c r="CH2"/>
  <c r="AG2"/>
  <c r="CO2"/>
  <c r="BA10"/>
  <c r="BA100"/>
  <c r="BA131"/>
  <c r="BA36"/>
  <c r="BA90"/>
  <c r="BA108"/>
  <c r="BA6"/>
  <c r="BA13"/>
  <c r="BA53"/>
  <c r="BA54"/>
  <c r="BA56"/>
  <c r="BA14"/>
  <c r="BA17"/>
  <c r="BA57"/>
  <c r="BA76"/>
  <c r="BA18"/>
  <c r="BA28"/>
  <c r="BA46"/>
  <c r="BA9"/>
  <c r="BA43"/>
  <c r="BA44"/>
  <c r="BA47"/>
  <c r="BA4"/>
  <c r="BA23"/>
  <c r="BA33"/>
  <c r="BA34"/>
  <c r="BA37"/>
  <c r="BA165"/>
  <c r="BA16"/>
  <c r="BA24"/>
  <c r="BA25"/>
  <c r="BA64"/>
  <c r="BA7"/>
  <c r="BA61"/>
  <c r="BA84"/>
  <c r="BA5"/>
  <c r="BA12"/>
  <c r="BA19"/>
  <c r="BA68"/>
  <c r="BA141"/>
  <c r="BA187"/>
  <c r="BA8"/>
  <c r="BA26"/>
  <c r="BA29"/>
  <c r="BA35"/>
  <c r="BA45"/>
  <c r="BA55"/>
  <c r="BA59"/>
  <c r="BA78"/>
  <c r="BA22"/>
  <c r="BA32"/>
  <c r="BA42"/>
  <c r="BA50"/>
  <c r="BA52"/>
  <c r="BA72"/>
  <c r="BA83"/>
  <c r="BA86"/>
  <c r="BA118"/>
  <c r="BA137"/>
  <c r="BA190"/>
  <c r="BA20"/>
  <c r="BA30"/>
  <c r="BA38"/>
  <c r="BA40"/>
  <c r="BA48"/>
  <c r="BA58"/>
  <c r="BA74"/>
  <c r="BA81"/>
  <c r="BA104"/>
  <c r="BA105"/>
  <c r="BA174"/>
  <c r="BA65"/>
  <c r="BA69"/>
  <c r="BA73"/>
  <c r="BA79"/>
  <c r="BA96"/>
  <c r="BA11"/>
  <c r="BA21"/>
  <c r="BA31"/>
  <c r="BA41"/>
  <c r="BA49"/>
  <c r="BA62"/>
  <c r="BA66"/>
  <c r="BA109"/>
  <c r="BA145"/>
  <c r="BA154"/>
  <c r="BA200"/>
  <c r="BA228"/>
  <c r="BA71"/>
  <c r="BA94"/>
  <c r="BA95"/>
  <c r="BA119"/>
  <c r="BA170"/>
  <c r="BA82"/>
  <c r="BA114"/>
  <c r="BA115"/>
  <c r="BA124"/>
  <c r="BA161"/>
  <c r="BA186"/>
  <c r="BA89"/>
  <c r="BA126"/>
  <c r="BA136"/>
  <c r="BA169"/>
  <c r="BA194"/>
  <c r="BA106"/>
  <c r="BA116"/>
  <c r="BA151"/>
  <c r="BA67"/>
  <c r="BA77"/>
  <c r="BA85"/>
  <c r="BA91"/>
  <c r="BA101"/>
  <c r="BA122"/>
  <c r="BA162"/>
  <c r="BA60"/>
  <c r="BA70"/>
  <c r="BA80"/>
  <c r="BA88"/>
  <c r="BA98"/>
  <c r="BA134"/>
  <c r="BA144"/>
  <c r="BA179"/>
  <c r="BA224"/>
  <c r="BA93"/>
  <c r="BA103"/>
  <c r="BA113"/>
  <c r="BA121"/>
  <c r="BA132"/>
  <c r="BA152"/>
  <c r="BA172"/>
  <c r="BA97"/>
  <c r="BA107"/>
  <c r="BA117"/>
  <c r="BA127"/>
  <c r="BA155"/>
  <c r="BA175"/>
  <c r="BA197"/>
  <c r="BA206"/>
  <c r="BA92"/>
  <c r="BA102"/>
  <c r="BA110"/>
  <c r="BA112"/>
  <c r="BA120"/>
  <c r="BA142"/>
  <c r="BA164"/>
  <c r="BA220"/>
  <c r="BA129"/>
  <c r="BA139"/>
  <c r="BA149"/>
  <c r="BA157"/>
  <c r="BA167"/>
  <c r="BA177"/>
  <c r="BA198"/>
  <c r="BA130"/>
  <c r="BA140"/>
  <c r="BA150"/>
  <c r="BA158"/>
  <c r="BA160"/>
  <c r="BA168"/>
  <c r="BA178"/>
  <c r="BA215"/>
  <c r="BA125"/>
  <c r="BA133"/>
  <c r="BA143"/>
  <c r="BA153"/>
  <c r="BA163"/>
  <c r="BA173"/>
  <c r="BA180"/>
  <c r="BA188"/>
  <c r="BA205"/>
  <c r="BA128"/>
  <c r="BA138"/>
  <c r="BA146"/>
  <c r="BA148"/>
  <c r="BA156"/>
  <c r="BA166"/>
  <c r="BA176"/>
  <c r="BA196"/>
  <c r="BA204"/>
  <c r="BA185"/>
  <c r="BA193"/>
  <c r="BA203"/>
  <c r="BA208"/>
  <c r="BA216"/>
  <c r="BA181"/>
  <c r="BA191"/>
  <c r="BA201"/>
  <c r="BA210"/>
  <c r="BA218"/>
  <c r="BA225"/>
  <c r="BA189"/>
  <c r="BA199"/>
  <c r="BA226"/>
  <c r="BA182"/>
  <c r="BA184"/>
  <c r="BA192"/>
  <c r="BA202"/>
  <c r="BA214"/>
  <c r="BA212"/>
  <c r="BA222"/>
  <c r="BA230"/>
  <c r="BA232"/>
  <c r="BA240"/>
  <c r="BA235"/>
  <c r="BA238"/>
  <c r="BA213"/>
  <c r="BA223"/>
  <c r="BA233"/>
  <c r="BA241"/>
  <c r="BA236"/>
  <c r="BA211"/>
  <c r="BA221"/>
  <c r="BA229"/>
  <c r="BA239"/>
  <c r="BA234"/>
  <c r="BA242"/>
  <c r="BA209"/>
  <c r="BA217"/>
  <c r="BA227"/>
  <c r="BA237"/>
  <c r="AC127"/>
  <c r="AC86"/>
  <c r="AC91"/>
  <c r="AC12"/>
  <c r="AC196"/>
  <c r="AC56"/>
  <c r="AC73"/>
  <c r="AC204"/>
  <c r="AC9"/>
  <c r="AC17"/>
  <c r="AC43"/>
  <c r="AC47"/>
  <c r="AC4"/>
  <c r="AC18"/>
  <c r="AC115"/>
  <c r="AC131"/>
  <c r="AC214"/>
  <c r="AC24"/>
  <c r="AC46"/>
  <c r="AC53"/>
  <c r="AC57"/>
  <c r="AC74"/>
  <c r="AC116"/>
  <c r="AC14"/>
  <c r="AC19"/>
  <c r="AC36"/>
  <c r="AC6"/>
  <c r="AC23"/>
  <c r="AC33"/>
  <c r="AC37"/>
  <c r="AC82"/>
  <c r="AC89"/>
  <c r="AC165"/>
  <c r="AC7"/>
  <c r="AC25"/>
  <c r="AC28"/>
  <c r="AC34"/>
  <c r="AC44"/>
  <c r="AC54"/>
  <c r="AC64"/>
  <c r="AC5"/>
  <c r="AC13"/>
  <c r="AC26"/>
  <c r="AC29"/>
  <c r="AC35"/>
  <c r="AC45"/>
  <c r="AC55"/>
  <c r="AC68"/>
  <c r="AC79"/>
  <c r="AC8"/>
  <c r="AC10"/>
  <c r="AC16"/>
  <c r="AC61"/>
  <c r="AC119"/>
  <c r="AC22"/>
  <c r="AC32"/>
  <c r="AC42"/>
  <c r="AC50"/>
  <c r="AC52"/>
  <c r="AC94"/>
  <c r="AC95"/>
  <c r="AC104"/>
  <c r="AC105"/>
  <c r="AC126"/>
  <c r="AC20"/>
  <c r="AC30"/>
  <c r="AC38"/>
  <c r="AC40"/>
  <c r="AC48"/>
  <c r="AC58"/>
  <c r="AC71"/>
  <c r="AC124"/>
  <c r="AC65"/>
  <c r="AC66"/>
  <c r="AC69"/>
  <c r="AC78"/>
  <c r="AC197"/>
  <c r="AC11"/>
  <c r="AC21"/>
  <c r="AC31"/>
  <c r="AC41"/>
  <c r="AC49"/>
  <c r="AC59"/>
  <c r="AC62"/>
  <c r="AC81"/>
  <c r="AC114"/>
  <c r="AC76"/>
  <c r="AC84"/>
  <c r="AC106"/>
  <c r="AC154"/>
  <c r="AC96"/>
  <c r="AC100"/>
  <c r="AC136"/>
  <c r="AC141"/>
  <c r="AC164"/>
  <c r="AC200"/>
  <c r="AC218"/>
  <c r="AC72"/>
  <c r="AC83"/>
  <c r="AC88"/>
  <c r="AC109"/>
  <c r="AC174"/>
  <c r="AC101"/>
  <c r="AC122"/>
  <c r="AC142"/>
  <c r="AC151"/>
  <c r="AC162"/>
  <c r="AC67"/>
  <c r="AC77"/>
  <c r="AC85"/>
  <c r="AC90"/>
  <c r="AC98"/>
  <c r="AC134"/>
  <c r="AC187"/>
  <c r="AC60"/>
  <c r="AC70"/>
  <c r="AC80"/>
  <c r="AC108"/>
  <c r="AC118"/>
  <c r="AC144"/>
  <c r="AC170"/>
  <c r="AC179"/>
  <c r="AC93"/>
  <c r="AC103"/>
  <c r="AC113"/>
  <c r="AC121"/>
  <c r="AC155"/>
  <c r="AC175"/>
  <c r="AC190"/>
  <c r="AC97"/>
  <c r="AC107"/>
  <c r="AC117"/>
  <c r="AC132"/>
  <c r="AC152"/>
  <c r="AC172"/>
  <c r="AC180"/>
  <c r="AC92"/>
  <c r="AC102"/>
  <c r="AC110"/>
  <c r="AC112"/>
  <c r="AC120"/>
  <c r="AC137"/>
  <c r="AC145"/>
  <c r="AC161"/>
  <c r="AC169"/>
  <c r="AC210"/>
  <c r="AC129"/>
  <c r="AC139"/>
  <c r="AC149"/>
  <c r="AC157"/>
  <c r="AC167"/>
  <c r="AC177"/>
  <c r="AC188"/>
  <c r="AC130"/>
  <c r="AC140"/>
  <c r="AC150"/>
  <c r="AC158"/>
  <c r="AC160"/>
  <c r="AC168"/>
  <c r="AC178"/>
  <c r="AC125"/>
  <c r="AC133"/>
  <c r="AC143"/>
  <c r="AC153"/>
  <c r="AC163"/>
  <c r="AC173"/>
  <c r="AC198"/>
  <c r="AC225"/>
  <c r="AC128"/>
  <c r="AC138"/>
  <c r="AC146"/>
  <c r="AC148"/>
  <c r="AC156"/>
  <c r="AC166"/>
  <c r="AC176"/>
  <c r="AC186"/>
  <c r="AC194"/>
  <c r="AC185"/>
  <c r="AC193"/>
  <c r="AC203"/>
  <c r="AC205"/>
  <c r="AC226"/>
  <c r="AC181"/>
  <c r="AC191"/>
  <c r="AC201"/>
  <c r="AC206"/>
  <c r="AC215"/>
  <c r="AC220"/>
  <c r="AC228"/>
  <c r="AC189"/>
  <c r="AC199"/>
  <c r="AC208"/>
  <c r="AC216"/>
  <c r="AC182"/>
  <c r="AC184"/>
  <c r="AC192"/>
  <c r="AC202"/>
  <c r="AC224"/>
  <c r="AC212"/>
  <c r="AC222"/>
  <c r="AC230"/>
  <c r="AC232"/>
  <c r="AC240"/>
  <c r="AC235"/>
  <c r="AC238"/>
  <c r="AC213"/>
  <c r="AC223"/>
  <c r="AC233"/>
  <c r="AC241"/>
  <c r="AC236"/>
  <c r="AC211"/>
  <c r="AC221"/>
  <c r="AC229"/>
  <c r="AC239"/>
  <c r="AC234"/>
  <c r="AC242"/>
  <c r="AC209"/>
  <c r="AC217"/>
  <c r="AC227"/>
  <c r="AC237"/>
  <c r="V62"/>
  <c r="V4"/>
  <c r="V5"/>
  <c r="V20"/>
  <c r="V42"/>
  <c r="V50"/>
  <c r="V66"/>
  <c r="V21"/>
  <c r="V18"/>
  <c r="V90"/>
  <c r="V12"/>
  <c r="V19"/>
  <c r="V26"/>
  <c r="V59"/>
  <c r="V71"/>
  <c r="V10"/>
  <c r="V17"/>
  <c r="V29"/>
  <c r="V6"/>
  <c r="V7"/>
  <c r="V32"/>
  <c r="V40"/>
  <c r="V22"/>
  <c r="V28"/>
  <c r="V30"/>
  <c r="V49"/>
  <c r="V74"/>
  <c r="V155"/>
  <c r="V9"/>
  <c r="V52"/>
  <c r="V61"/>
  <c r="V68"/>
  <c r="V13"/>
  <c r="V31"/>
  <c r="V36"/>
  <c r="V41"/>
  <c r="V46"/>
  <c r="V56"/>
  <c r="V113"/>
  <c r="V165"/>
  <c r="V8"/>
  <c r="V37"/>
  <c r="V47"/>
  <c r="V57"/>
  <c r="V77"/>
  <c r="V101"/>
  <c r="V107"/>
  <c r="V11"/>
  <c r="V38"/>
  <c r="V48"/>
  <c r="V58"/>
  <c r="V72"/>
  <c r="V125"/>
  <c r="V25"/>
  <c r="V35"/>
  <c r="V45"/>
  <c r="V55"/>
  <c r="V69"/>
  <c r="V81"/>
  <c r="V89"/>
  <c r="V118"/>
  <c r="V122"/>
  <c r="V144"/>
  <c r="V23"/>
  <c r="V33"/>
  <c r="V43"/>
  <c r="V53"/>
  <c r="V64"/>
  <c r="V79"/>
  <c r="V82"/>
  <c r="V97"/>
  <c r="V98"/>
  <c r="V136"/>
  <c r="V14"/>
  <c r="V16"/>
  <c r="V24"/>
  <c r="V34"/>
  <c r="V44"/>
  <c r="V54"/>
  <c r="V85"/>
  <c r="V67"/>
  <c r="V78"/>
  <c r="V86"/>
  <c r="V108"/>
  <c r="V134"/>
  <c r="V103"/>
  <c r="V154"/>
  <c r="V175"/>
  <c r="V76"/>
  <c r="V84"/>
  <c r="V93"/>
  <c r="V94"/>
  <c r="V117"/>
  <c r="V139"/>
  <c r="V167"/>
  <c r="V193"/>
  <c r="V91"/>
  <c r="V104"/>
  <c r="V109"/>
  <c r="V114"/>
  <c r="V119"/>
  <c r="V174"/>
  <c r="V191"/>
  <c r="V229"/>
  <c r="V60"/>
  <c r="V70"/>
  <c r="V80"/>
  <c r="V124"/>
  <c r="V127"/>
  <c r="V223"/>
  <c r="V65"/>
  <c r="V73"/>
  <c r="V83"/>
  <c r="V100"/>
  <c r="V121"/>
  <c r="V140"/>
  <c r="V88"/>
  <c r="V96"/>
  <c r="V106"/>
  <c r="V116"/>
  <c r="V137"/>
  <c r="V145"/>
  <c r="V160"/>
  <c r="V168"/>
  <c r="V185"/>
  <c r="V221"/>
  <c r="V92"/>
  <c r="V102"/>
  <c r="V110"/>
  <c r="V112"/>
  <c r="V120"/>
  <c r="V129"/>
  <c r="V149"/>
  <c r="V157"/>
  <c r="V164"/>
  <c r="V177"/>
  <c r="V95"/>
  <c r="V105"/>
  <c r="V115"/>
  <c r="V126"/>
  <c r="V130"/>
  <c r="V150"/>
  <c r="V158"/>
  <c r="V178"/>
  <c r="V200"/>
  <c r="V201"/>
  <c r="V132"/>
  <c r="V142"/>
  <c r="V152"/>
  <c r="V162"/>
  <c r="V170"/>
  <c r="V172"/>
  <c r="V180"/>
  <c r="V199"/>
  <c r="V133"/>
  <c r="V143"/>
  <c r="V153"/>
  <c r="V163"/>
  <c r="V173"/>
  <c r="V181"/>
  <c r="V203"/>
  <c r="V210"/>
  <c r="V213"/>
  <c r="V218"/>
  <c r="V128"/>
  <c r="V138"/>
  <c r="V146"/>
  <c r="V148"/>
  <c r="V156"/>
  <c r="V166"/>
  <c r="V176"/>
  <c r="V189"/>
  <c r="V131"/>
  <c r="V141"/>
  <c r="V151"/>
  <c r="V161"/>
  <c r="V169"/>
  <c r="V179"/>
  <c r="V190"/>
  <c r="V188"/>
  <c r="V198"/>
  <c r="V209"/>
  <c r="V217"/>
  <c r="V186"/>
  <c r="V194"/>
  <c r="V196"/>
  <c r="V204"/>
  <c r="V211"/>
  <c r="V182"/>
  <c r="V184"/>
  <c r="V192"/>
  <c r="V202"/>
  <c r="V227"/>
  <c r="V187"/>
  <c r="V197"/>
  <c r="V205"/>
  <c r="V220"/>
  <c r="V228"/>
  <c r="V215"/>
  <c r="V225"/>
  <c r="V235"/>
  <c r="V238"/>
  <c r="V233"/>
  <c r="V241"/>
  <c r="V206"/>
  <c r="V208"/>
  <c r="V216"/>
  <c r="V226"/>
  <c r="V236"/>
  <c r="V239"/>
  <c r="V214"/>
  <c r="V224"/>
  <c r="V234"/>
  <c r="V242"/>
  <c r="V237"/>
  <c r="V212"/>
  <c r="V222"/>
  <c r="V230"/>
  <c r="V232"/>
  <c r="V240"/>
  <c r="AK72"/>
  <c r="AK23"/>
  <c r="AK6"/>
  <c r="AK94"/>
  <c r="AK144"/>
  <c r="AK174"/>
  <c r="AK26"/>
  <c r="AK53"/>
  <c r="AK14"/>
  <c r="AK200"/>
  <c r="AK10"/>
  <c r="AK55"/>
  <c r="AK68"/>
  <c r="AK4"/>
  <c r="AK43"/>
  <c r="AK45"/>
  <c r="AK46"/>
  <c r="AK47"/>
  <c r="AK64"/>
  <c r="AK81"/>
  <c r="AK91"/>
  <c r="AK19"/>
  <c r="AK24"/>
  <c r="AK56"/>
  <c r="AK62"/>
  <c r="AK66"/>
  <c r="AK95"/>
  <c r="AK145"/>
  <c r="AK57"/>
  <c r="AK33"/>
  <c r="AK35"/>
  <c r="AK36"/>
  <c r="AK37"/>
  <c r="AK109"/>
  <c r="AK9"/>
  <c r="AK17"/>
  <c r="AK16"/>
  <c r="AK29"/>
  <c r="AK7"/>
  <c r="AK12"/>
  <c r="AK154"/>
  <c r="AK228"/>
  <c r="AK5"/>
  <c r="AK18"/>
  <c r="AK215"/>
  <c r="AK8"/>
  <c r="AK13"/>
  <c r="AK25"/>
  <c r="AK28"/>
  <c r="AK34"/>
  <c r="AK44"/>
  <c r="AK54"/>
  <c r="AK69"/>
  <c r="AK74"/>
  <c r="AK22"/>
  <c r="AK32"/>
  <c r="AK42"/>
  <c r="AK50"/>
  <c r="AK52"/>
  <c r="AK61"/>
  <c r="AK76"/>
  <c r="AK83"/>
  <c r="AK134"/>
  <c r="AK151"/>
  <c r="AK20"/>
  <c r="AK30"/>
  <c r="AK38"/>
  <c r="AK40"/>
  <c r="AK48"/>
  <c r="AK58"/>
  <c r="AK90"/>
  <c r="AK136"/>
  <c r="AK179"/>
  <c r="AK114"/>
  <c r="AK118"/>
  <c r="AK11"/>
  <c r="AK21"/>
  <c r="AK31"/>
  <c r="AK41"/>
  <c r="AK49"/>
  <c r="AK59"/>
  <c r="AK71"/>
  <c r="AK82"/>
  <c r="AK101"/>
  <c r="AK119"/>
  <c r="AK65"/>
  <c r="AK73"/>
  <c r="AK79"/>
  <c r="AK127"/>
  <c r="AK84"/>
  <c r="AK88"/>
  <c r="AK108"/>
  <c r="AK162"/>
  <c r="AK78"/>
  <c r="AK86"/>
  <c r="AK98"/>
  <c r="AK104"/>
  <c r="AK122"/>
  <c r="AK105"/>
  <c r="AK115"/>
  <c r="AK124"/>
  <c r="AK137"/>
  <c r="AK161"/>
  <c r="AK170"/>
  <c r="AK187"/>
  <c r="AK194"/>
  <c r="AK67"/>
  <c r="AK77"/>
  <c r="AK85"/>
  <c r="AK89"/>
  <c r="AK96"/>
  <c r="AK100"/>
  <c r="AK131"/>
  <c r="AK60"/>
  <c r="AK70"/>
  <c r="AK80"/>
  <c r="AK106"/>
  <c r="AK116"/>
  <c r="AK141"/>
  <c r="AK165"/>
  <c r="AK169"/>
  <c r="AK205"/>
  <c r="AK93"/>
  <c r="AK103"/>
  <c r="AK113"/>
  <c r="AK121"/>
  <c r="AK132"/>
  <c r="AK152"/>
  <c r="AK172"/>
  <c r="AK180"/>
  <c r="AK197"/>
  <c r="AK220"/>
  <c r="AK97"/>
  <c r="AK107"/>
  <c r="AK117"/>
  <c r="AK126"/>
  <c r="AK155"/>
  <c r="AK175"/>
  <c r="AK92"/>
  <c r="AK102"/>
  <c r="AK110"/>
  <c r="AK112"/>
  <c r="AK120"/>
  <c r="AK142"/>
  <c r="AK164"/>
  <c r="AK186"/>
  <c r="AK190"/>
  <c r="AK129"/>
  <c r="AK139"/>
  <c r="AK149"/>
  <c r="AK157"/>
  <c r="AK167"/>
  <c r="AK177"/>
  <c r="AK198"/>
  <c r="AK130"/>
  <c r="AK140"/>
  <c r="AK150"/>
  <c r="AK158"/>
  <c r="AK160"/>
  <c r="AK168"/>
  <c r="AK178"/>
  <c r="AK224"/>
  <c r="AK125"/>
  <c r="AK133"/>
  <c r="AK143"/>
  <c r="AK153"/>
  <c r="AK163"/>
  <c r="AK173"/>
  <c r="AK188"/>
  <c r="AK128"/>
  <c r="AK138"/>
  <c r="AK146"/>
  <c r="AK148"/>
  <c r="AK156"/>
  <c r="AK166"/>
  <c r="AK176"/>
  <c r="AK196"/>
  <c r="AK204"/>
  <c r="AK185"/>
  <c r="AK193"/>
  <c r="AK203"/>
  <c r="AK208"/>
  <c r="AK216"/>
  <c r="AK181"/>
  <c r="AK191"/>
  <c r="AK201"/>
  <c r="AK210"/>
  <c r="AK218"/>
  <c r="AK225"/>
  <c r="AK189"/>
  <c r="AK199"/>
  <c r="AK226"/>
  <c r="AK182"/>
  <c r="AK184"/>
  <c r="AK192"/>
  <c r="AK202"/>
  <c r="AK206"/>
  <c r="AK214"/>
  <c r="AK212"/>
  <c r="AK222"/>
  <c r="AK230"/>
  <c r="AK232"/>
  <c r="AK240"/>
  <c r="AK235"/>
  <c r="AK238"/>
  <c r="AK213"/>
  <c r="AK223"/>
  <c r="AK233"/>
  <c r="AK241"/>
  <c r="AK236"/>
  <c r="AK211"/>
  <c r="AK221"/>
  <c r="AK229"/>
  <c r="AK239"/>
  <c r="AK234"/>
  <c r="AK242"/>
  <c r="AK209"/>
  <c r="AK217"/>
  <c r="AK227"/>
  <c r="AK237"/>
  <c r="P58"/>
  <c r="P127"/>
  <c r="P173"/>
  <c r="P17"/>
  <c r="P10"/>
  <c r="P20"/>
  <c r="P76"/>
  <c r="P119"/>
  <c r="P24"/>
  <c r="P7"/>
  <c r="P56"/>
  <c r="P36"/>
  <c r="P57"/>
  <c r="P64"/>
  <c r="P46"/>
  <c r="P47"/>
  <c r="P48"/>
  <c r="P4"/>
  <c r="P16"/>
  <c r="P37"/>
  <c r="P38"/>
  <c r="P60"/>
  <c r="P77"/>
  <c r="P85"/>
  <c r="P120"/>
  <c r="P166"/>
  <c r="P5"/>
  <c r="P19"/>
  <c r="P189"/>
  <c r="P198"/>
  <c r="P13"/>
  <c r="P18"/>
  <c r="P70"/>
  <c r="P8"/>
  <c r="P11"/>
  <c r="P14"/>
  <c r="P25"/>
  <c r="P28"/>
  <c r="P34"/>
  <c r="P44"/>
  <c r="P54"/>
  <c r="P74"/>
  <c r="P97"/>
  <c r="P6"/>
  <c r="P26"/>
  <c r="P29"/>
  <c r="P35"/>
  <c r="P45"/>
  <c r="P55"/>
  <c r="P9"/>
  <c r="P30"/>
  <c r="P40"/>
  <c r="P73"/>
  <c r="P23"/>
  <c r="P33"/>
  <c r="P43"/>
  <c r="P53"/>
  <c r="P80"/>
  <c r="P90"/>
  <c r="P163"/>
  <c r="P21"/>
  <c r="P31"/>
  <c r="P41"/>
  <c r="P49"/>
  <c r="P59"/>
  <c r="P115"/>
  <c r="P116"/>
  <c r="P132"/>
  <c r="P142"/>
  <c r="P153"/>
  <c r="P66"/>
  <c r="P67"/>
  <c r="P72"/>
  <c r="P84"/>
  <c r="P95"/>
  <c r="P128"/>
  <c r="P12"/>
  <c r="P22"/>
  <c r="P32"/>
  <c r="P42"/>
  <c r="P50"/>
  <c r="P52"/>
  <c r="P65"/>
  <c r="P79"/>
  <c r="P88"/>
  <c r="P96"/>
  <c r="P175"/>
  <c r="P62"/>
  <c r="P69"/>
  <c r="P83"/>
  <c r="P137"/>
  <c r="P109"/>
  <c r="P110"/>
  <c r="P145"/>
  <c r="P82"/>
  <c r="P91"/>
  <c r="P105"/>
  <c r="P106"/>
  <c r="P155"/>
  <c r="P197"/>
  <c r="P89"/>
  <c r="P92"/>
  <c r="P101"/>
  <c r="P107"/>
  <c r="P117"/>
  <c r="P148"/>
  <c r="P152"/>
  <c r="P165"/>
  <c r="P68"/>
  <c r="P78"/>
  <c r="P86"/>
  <c r="P102"/>
  <c r="P112"/>
  <c r="P133"/>
  <c r="P156"/>
  <c r="P172"/>
  <c r="P181"/>
  <c r="P188"/>
  <c r="P61"/>
  <c r="P71"/>
  <c r="P81"/>
  <c r="P176"/>
  <c r="P180"/>
  <c r="P191"/>
  <c r="P94"/>
  <c r="P104"/>
  <c r="P114"/>
  <c r="P122"/>
  <c r="P124"/>
  <c r="P143"/>
  <c r="P98"/>
  <c r="P100"/>
  <c r="P108"/>
  <c r="P118"/>
  <c r="P138"/>
  <c r="P146"/>
  <c r="P226"/>
  <c r="P227"/>
  <c r="P93"/>
  <c r="P103"/>
  <c r="P113"/>
  <c r="P121"/>
  <c r="P125"/>
  <c r="P162"/>
  <c r="P170"/>
  <c r="P205"/>
  <c r="P130"/>
  <c r="P140"/>
  <c r="P150"/>
  <c r="P158"/>
  <c r="P160"/>
  <c r="P168"/>
  <c r="P178"/>
  <c r="P221"/>
  <c r="P229"/>
  <c r="P131"/>
  <c r="P141"/>
  <c r="P151"/>
  <c r="P161"/>
  <c r="P169"/>
  <c r="P179"/>
  <c r="P199"/>
  <c r="P126"/>
  <c r="P134"/>
  <c r="P136"/>
  <c r="P144"/>
  <c r="P154"/>
  <c r="P164"/>
  <c r="P174"/>
  <c r="P129"/>
  <c r="P139"/>
  <c r="P149"/>
  <c r="P157"/>
  <c r="P167"/>
  <c r="P177"/>
  <c r="P187"/>
  <c r="P201"/>
  <c r="P209"/>
  <c r="P215"/>
  <c r="P217"/>
  <c r="P186"/>
  <c r="P194"/>
  <c r="P196"/>
  <c r="P204"/>
  <c r="P182"/>
  <c r="P184"/>
  <c r="P192"/>
  <c r="P202"/>
  <c r="P206"/>
  <c r="P208"/>
  <c r="P216"/>
  <c r="P190"/>
  <c r="P200"/>
  <c r="P185"/>
  <c r="P193"/>
  <c r="P203"/>
  <c r="P211"/>
  <c r="P225"/>
  <c r="P213"/>
  <c r="P223"/>
  <c r="P233"/>
  <c r="P241"/>
  <c r="P236"/>
  <c r="P239"/>
  <c r="P214"/>
  <c r="P224"/>
  <c r="P234"/>
  <c r="P242"/>
  <c r="P237"/>
  <c r="P212"/>
  <c r="P222"/>
  <c r="P230"/>
  <c r="P232"/>
  <c r="P240"/>
  <c r="P235"/>
  <c r="P210"/>
  <c r="P218"/>
  <c r="P220"/>
  <c r="P228"/>
  <c r="P238"/>
  <c r="BL36"/>
  <c r="BL72"/>
  <c r="BL11"/>
  <c r="BL26"/>
  <c r="BL38"/>
  <c r="BL30"/>
  <c r="BL40"/>
  <c r="BL7"/>
  <c r="BL16"/>
  <c r="BL120"/>
  <c r="BL5"/>
  <c r="BL10"/>
  <c r="BL35"/>
  <c r="BL79"/>
  <c r="BL85"/>
  <c r="BL176"/>
  <c r="BL14"/>
  <c r="BL29"/>
  <c r="BL4"/>
  <c r="BL55"/>
  <c r="BL56"/>
  <c r="BL58"/>
  <c r="BL17"/>
  <c r="BL45"/>
  <c r="BL46"/>
  <c r="BL48"/>
  <c r="BL65"/>
  <c r="BL119"/>
  <c r="BL8"/>
  <c r="BL24"/>
  <c r="BL37"/>
  <c r="BL47"/>
  <c r="BL57"/>
  <c r="BL145"/>
  <c r="BL6"/>
  <c r="BL18"/>
  <c r="BL19"/>
  <c r="BL25"/>
  <c r="BL28"/>
  <c r="BL34"/>
  <c r="BL44"/>
  <c r="BL54"/>
  <c r="BL64"/>
  <c r="BL173"/>
  <c r="BL9"/>
  <c r="BL13"/>
  <c r="BL20"/>
  <c r="BL74"/>
  <c r="BL90"/>
  <c r="BL23"/>
  <c r="BL33"/>
  <c r="BL43"/>
  <c r="BL53"/>
  <c r="BL59"/>
  <c r="BL82"/>
  <c r="BL21"/>
  <c r="BL31"/>
  <c r="BL41"/>
  <c r="BL49"/>
  <c r="BL60"/>
  <c r="BL77"/>
  <c r="BL155"/>
  <c r="BL197"/>
  <c r="BL69"/>
  <c r="BL70"/>
  <c r="BL83"/>
  <c r="BL89"/>
  <c r="BL112"/>
  <c r="BL142"/>
  <c r="BL153"/>
  <c r="BL189"/>
  <c r="BL12"/>
  <c r="BL22"/>
  <c r="BL32"/>
  <c r="BL42"/>
  <c r="BL50"/>
  <c r="BL52"/>
  <c r="BL62"/>
  <c r="BL66"/>
  <c r="BL67"/>
  <c r="BL109"/>
  <c r="BL110"/>
  <c r="BL86"/>
  <c r="BL102"/>
  <c r="BL132"/>
  <c r="BL166"/>
  <c r="BL175"/>
  <c r="BL198"/>
  <c r="BL73"/>
  <c r="BL76"/>
  <c r="BL80"/>
  <c r="BL84"/>
  <c r="BL95"/>
  <c r="BL128"/>
  <c r="BL215"/>
  <c r="BL96"/>
  <c r="BL105"/>
  <c r="BL115"/>
  <c r="BL137"/>
  <c r="BL163"/>
  <c r="BL68"/>
  <c r="BL78"/>
  <c r="BL91"/>
  <c r="BL97"/>
  <c r="BL106"/>
  <c r="BL116"/>
  <c r="BL125"/>
  <c r="BL127"/>
  <c r="BL148"/>
  <c r="BL152"/>
  <c r="BL165"/>
  <c r="BL188"/>
  <c r="BL209"/>
  <c r="BL61"/>
  <c r="BL71"/>
  <c r="BL81"/>
  <c r="BL88"/>
  <c r="BL92"/>
  <c r="BL101"/>
  <c r="BL107"/>
  <c r="BL117"/>
  <c r="BL133"/>
  <c r="BL156"/>
  <c r="BL172"/>
  <c r="BL191"/>
  <c r="BL94"/>
  <c r="BL104"/>
  <c r="BL114"/>
  <c r="BL122"/>
  <c r="BL124"/>
  <c r="BL143"/>
  <c r="BL98"/>
  <c r="BL100"/>
  <c r="BL108"/>
  <c r="BL118"/>
  <c r="BL138"/>
  <c r="BL146"/>
  <c r="BL217"/>
  <c r="BL93"/>
  <c r="BL103"/>
  <c r="BL113"/>
  <c r="BL121"/>
  <c r="BL162"/>
  <c r="BL170"/>
  <c r="BL181"/>
  <c r="BL130"/>
  <c r="BL140"/>
  <c r="BL150"/>
  <c r="BL158"/>
  <c r="BL160"/>
  <c r="BL168"/>
  <c r="BL178"/>
  <c r="BL131"/>
  <c r="BL141"/>
  <c r="BL151"/>
  <c r="BL161"/>
  <c r="BL169"/>
  <c r="BL179"/>
  <c r="BL199"/>
  <c r="BL226"/>
  <c r="BL227"/>
  <c r="BL126"/>
  <c r="BL134"/>
  <c r="BL136"/>
  <c r="BL144"/>
  <c r="BL154"/>
  <c r="BL164"/>
  <c r="BL174"/>
  <c r="BL221"/>
  <c r="BL229"/>
  <c r="BL129"/>
  <c r="BL139"/>
  <c r="BL149"/>
  <c r="BL157"/>
  <c r="BL167"/>
  <c r="BL177"/>
  <c r="BL187"/>
  <c r="BL201"/>
  <c r="BL186"/>
  <c r="BL194"/>
  <c r="BL196"/>
  <c r="BL204"/>
  <c r="BL182"/>
  <c r="BL184"/>
  <c r="BL192"/>
  <c r="BL202"/>
  <c r="BL205"/>
  <c r="BL208"/>
  <c r="BL216"/>
  <c r="BL180"/>
  <c r="BL190"/>
  <c r="BL200"/>
  <c r="BL185"/>
  <c r="BL193"/>
  <c r="BL203"/>
  <c r="BL206"/>
  <c r="BL211"/>
  <c r="BL225"/>
  <c r="BL213"/>
  <c r="BL223"/>
  <c r="BL233"/>
  <c r="BL241"/>
  <c r="BL236"/>
  <c r="BL239"/>
  <c r="BL214"/>
  <c r="BL224"/>
  <c r="BL234"/>
  <c r="BL242"/>
  <c r="BL237"/>
  <c r="BL212"/>
  <c r="BL222"/>
  <c r="BL230"/>
  <c r="BL232"/>
  <c r="BL240"/>
  <c r="BL235"/>
  <c r="BL210"/>
  <c r="BL218"/>
  <c r="BL220"/>
  <c r="BL228"/>
  <c r="BL238"/>
  <c r="BB79"/>
  <c r="BB13"/>
  <c r="BB74"/>
  <c r="BB46"/>
  <c r="BB56"/>
  <c r="BB57"/>
  <c r="BB50"/>
  <c r="BB52"/>
  <c r="BB20"/>
  <c r="BB38"/>
  <c r="BB19"/>
  <c r="BB7"/>
  <c r="BB9"/>
  <c r="BB10"/>
  <c r="BB69"/>
  <c r="BB4"/>
  <c r="BB37"/>
  <c r="BB58"/>
  <c r="BB139"/>
  <c r="BB31"/>
  <c r="BB41"/>
  <c r="BB42"/>
  <c r="BB47"/>
  <c r="BB48"/>
  <c r="BB32"/>
  <c r="BB12"/>
  <c r="BB36"/>
  <c r="BB89"/>
  <c r="BB5"/>
  <c r="BB11"/>
  <c r="BB61"/>
  <c r="BB62"/>
  <c r="BB81"/>
  <c r="BB114"/>
  <c r="BB167"/>
  <c r="BB6"/>
  <c r="BB17"/>
  <c r="BB28"/>
  <c r="BB49"/>
  <c r="BB85"/>
  <c r="BB8"/>
  <c r="BB21"/>
  <c r="BB26"/>
  <c r="BB29"/>
  <c r="BB72"/>
  <c r="BB18"/>
  <c r="BB22"/>
  <c r="BB30"/>
  <c r="BB40"/>
  <c r="BB77"/>
  <c r="BB193"/>
  <c r="BB25"/>
  <c r="BB35"/>
  <c r="BB45"/>
  <c r="BB55"/>
  <c r="BB59"/>
  <c r="BB119"/>
  <c r="BB121"/>
  <c r="BB125"/>
  <c r="BB136"/>
  <c r="BB175"/>
  <c r="BB23"/>
  <c r="BB33"/>
  <c r="BB43"/>
  <c r="BB53"/>
  <c r="BB68"/>
  <c r="BB71"/>
  <c r="BB94"/>
  <c r="BB66"/>
  <c r="BB109"/>
  <c r="BB124"/>
  <c r="BB126"/>
  <c r="BB154"/>
  <c r="BB191"/>
  <c r="BB223"/>
  <c r="BB14"/>
  <c r="BB16"/>
  <c r="BB24"/>
  <c r="BB34"/>
  <c r="BB44"/>
  <c r="BB54"/>
  <c r="BB64"/>
  <c r="BB82"/>
  <c r="BB67"/>
  <c r="BB78"/>
  <c r="BB86"/>
  <c r="BB90"/>
  <c r="BB100"/>
  <c r="BB165"/>
  <c r="BB174"/>
  <c r="BB76"/>
  <c r="BB84"/>
  <c r="BB104"/>
  <c r="BB127"/>
  <c r="BB229"/>
  <c r="BB91"/>
  <c r="BB97"/>
  <c r="BB101"/>
  <c r="BB122"/>
  <c r="BB140"/>
  <c r="BB60"/>
  <c r="BB70"/>
  <c r="BB80"/>
  <c r="BB93"/>
  <c r="BB98"/>
  <c r="BB107"/>
  <c r="BB117"/>
  <c r="BB134"/>
  <c r="BB144"/>
  <c r="BB65"/>
  <c r="BB73"/>
  <c r="BB83"/>
  <c r="BB103"/>
  <c r="BB108"/>
  <c r="BB113"/>
  <c r="BB118"/>
  <c r="BB155"/>
  <c r="BB88"/>
  <c r="BB96"/>
  <c r="BB106"/>
  <c r="BB116"/>
  <c r="BB137"/>
  <c r="BB145"/>
  <c r="BB160"/>
  <c r="BB168"/>
  <c r="BB185"/>
  <c r="BB92"/>
  <c r="BB102"/>
  <c r="BB110"/>
  <c r="BB112"/>
  <c r="BB120"/>
  <c r="BB129"/>
  <c r="BB149"/>
  <c r="BB157"/>
  <c r="BB164"/>
  <c r="BB177"/>
  <c r="BB221"/>
  <c r="BB95"/>
  <c r="BB105"/>
  <c r="BB115"/>
  <c r="BB130"/>
  <c r="BB150"/>
  <c r="BB158"/>
  <c r="BB178"/>
  <c r="BB200"/>
  <c r="BB201"/>
  <c r="BB132"/>
  <c r="BB142"/>
  <c r="BB152"/>
  <c r="BB162"/>
  <c r="BB170"/>
  <c r="BB172"/>
  <c r="BB199"/>
  <c r="BB133"/>
  <c r="BB143"/>
  <c r="BB153"/>
  <c r="BB163"/>
  <c r="BB173"/>
  <c r="BB180"/>
  <c r="BB181"/>
  <c r="BB203"/>
  <c r="BB210"/>
  <c r="BB213"/>
  <c r="BB218"/>
  <c r="BB128"/>
  <c r="BB138"/>
  <c r="BB146"/>
  <c r="BB148"/>
  <c r="BB156"/>
  <c r="BB166"/>
  <c r="BB176"/>
  <c r="BB189"/>
  <c r="BB131"/>
  <c r="BB141"/>
  <c r="BB151"/>
  <c r="BB161"/>
  <c r="BB169"/>
  <c r="BB179"/>
  <c r="BB190"/>
  <c r="BB188"/>
  <c r="BB198"/>
  <c r="BB205"/>
  <c r="BB209"/>
  <c r="BB217"/>
  <c r="BB186"/>
  <c r="BB194"/>
  <c r="BB196"/>
  <c r="BB204"/>
  <c r="BB211"/>
  <c r="BB182"/>
  <c r="BB184"/>
  <c r="BB192"/>
  <c r="BB202"/>
  <c r="BB227"/>
  <c r="BB187"/>
  <c r="BB197"/>
  <c r="BB220"/>
  <c r="BB228"/>
  <c r="BB215"/>
  <c r="BB225"/>
  <c r="BB235"/>
  <c r="BB238"/>
  <c r="BB233"/>
  <c r="BB241"/>
  <c r="BB206"/>
  <c r="BB208"/>
  <c r="BB216"/>
  <c r="BB226"/>
  <c r="BB236"/>
  <c r="BB239"/>
  <c r="BB214"/>
  <c r="BB224"/>
  <c r="BB234"/>
  <c r="BB242"/>
  <c r="BB237"/>
  <c r="BB212"/>
  <c r="BB222"/>
  <c r="BB230"/>
  <c r="BB232"/>
  <c r="BB240"/>
  <c r="AM45"/>
  <c r="AM62"/>
  <c r="AM7"/>
  <c r="AM41"/>
  <c r="AM32"/>
  <c r="AM64"/>
  <c r="AM14"/>
  <c r="AM185"/>
  <c r="AM8"/>
  <c r="AM42"/>
  <c r="AM49"/>
  <c r="AM52"/>
  <c r="AM61"/>
  <c r="AM11"/>
  <c r="AM31"/>
  <c r="AM114"/>
  <c r="AM55"/>
  <c r="AM35"/>
  <c r="AM113"/>
  <c r="AM13"/>
  <c r="AM9"/>
  <c r="AM12"/>
  <c r="AM17"/>
  <c r="AM22"/>
  <c r="AM23"/>
  <c r="AM4"/>
  <c r="AM59"/>
  <c r="AM5"/>
  <c r="AM18"/>
  <c r="AM24"/>
  <c r="AM33"/>
  <c r="AM43"/>
  <c r="AM53"/>
  <c r="AM71"/>
  <c r="AM88"/>
  <c r="AM140"/>
  <c r="AM149"/>
  <c r="AM168"/>
  <c r="AM170"/>
  <c r="AM10"/>
  <c r="AM25"/>
  <c r="AM34"/>
  <c r="AM44"/>
  <c r="AM50"/>
  <c r="AM54"/>
  <c r="AM74"/>
  <c r="AM6"/>
  <c r="AM16"/>
  <c r="AM21"/>
  <c r="AM20"/>
  <c r="AM30"/>
  <c r="AM38"/>
  <c r="AM40"/>
  <c r="AM48"/>
  <c r="AM58"/>
  <c r="AM81"/>
  <c r="AM124"/>
  <c r="AM132"/>
  <c r="AM203"/>
  <c r="AM26"/>
  <c r="AM28"/>
  <c r="AM36"/>
  <c r="AM46"/>
  <c r="AM56"/>
  <c r="AM79"/>
  <c r="AM177"/>
  <c r="AM70"/>
  <c r="AM82"/>
  <c r="AM89"/>
  <c r="AM120"/>
  <c r="AM157"/>
  <c r="AM19"/>
  <c r="AM29"/>
  <c r="AM37"/>
  <c r="AM47"/>
  <c r="AM57"/>
  <c r="AM60"/>
  <c r="AM66"/>
  <c r="AM67"/>
  <c r="AM69"/>
  <c r="AM102"/>
  <c r="AM104"/>
  <c r="AM162"/>
  <c r="AM76"/>
  <c r="AM80"/>
  <c r="AM84"/>
  <c r="AM112"/>
  <c r="AM77"/>
  <c r="AM85"/>
  <c r="AM103"/>
  <c r="AM110"/>
  <c r="AM160"/>
  <c r="AM222"/>
  <c r="AM226"/>
  <c r="AM72"/>
  <c r="AM94"/>
  <c r="AM121"/>
  <c r="AM180"/>
  <c r="AM96"/>
  <c r="AM129"/>
  <c r="AM167"/>
  <c r="AM208"/>
  <c r="AM65"/>
  <c r="AM73"/>
  <c r="AM83"/>
  <c r="AM97"/>
  <c r="AM106"/>
  <c r="AM116"/>
  <c r="AM122"/>
  <c r="AM152"/>
  <c r="AM163"/>
  <c r="AM68"/>
  <c r="AM78"/>
  <c r="AM86"/>
  <c r="AM92"/>
  <c r="AM93"/>
  <c r="AM107"/>
  <c r="AM117"/>
  <c r="AM126"/>
  <c r="AM172"/>
  <c r="AM91"/>
  <c r="AM101"/>
  <c r="AM109"/>
  <c r="AM119"/>
  <c r="AM133"/>
  <c r="AM139"/>
  <c r="AM153"/>
  <c r="AM173"/>
  <c r="AM198"/>
  <c r="AM202"/>
  <c r="AM216"/>
  <c r="AM230"/>
  <c r="AM95"/>
  <c r="AM105"/>
  <c r="AM115"/>
  <c r="AM125"/>
  <c r="AM130"/>
  <c r="AM142"/>
  <c r="AM150"/>
  <c r="AM158"/>
  <c r="AM178"/>
  <c r="AM184"/>
  <c r="AM193"/>
  <c r="AM223"/>
  <c r="AM90"/>
  <c r="AM98"/>
  <c r="AM100"/>
  <c r="AM108"/>
  <c r="AM118"/>
  <c r="AM143"/>
  <c r="AM192"/>
  <c r="AM127"/>
  <c r="AM137"/>
  <c r="AM145"/>
  <c r="AM155"/>
  <c r="AM165"/>
  <c r="AM175"/>
  <c r="AM186"/>
  <c r="AM194"/>
  <c r="AM128"/>
  <c r="AM138"/>
  <c r="AM146"/>
  <c r="AM148"/>
  <c r="AM156"/>
  <c r="AM166"/>
  <c r="AM176"/>
  <c r="AM182"/>
  <c r="AM188"/>
  <c r="AM131"/>
  <c r="AM141"/>
  <c r="AM151"/>
  <c r="AM161"/>
  <c r="AM169"/>
  <c r="AM179"/>
  <c r="AM196"/>
  <c r="AM204"/>
  <c r="AM134"/>
  <c r="AM136"/>
  <c r="AM144"/>
  <c r="AM154"/>
  <c r="AM164"/>
  <c r="AM174"/>
  <c r="AM181"/>
  <c r="AM191"/>
  <c r="AM201"/>
  <c r="AM224"/>
  <c r="AM189"/>
  <c r="AM199"/>
  <c r="AM212"/>
  <c r="AM213"/>
  <c r="AM187"/>
  <c r="AM197"/>
  <c r="AM206"/>
  <c r="AM214"/>
  <c r="AM190"/>
  <c r="AM200"/>
  <c r="AM210"/>
  <c r="AM218"/>
  <c r="AM220"/>
  <c r="AM228"/>
  <c r="AM238"/>
  <c r="AM233"/>
  <c r="AM241"/>
  <c r="AM236"/>
  <c r="AM211"/>
  <c r="AM221"/>
  <c r="AM229"/>
  <c r="AM239"/>
  <c r="AM234"/>
  <c r="AM242"/>
  <c r="AM209"/>
  <c r="AM217"/>
  <c r="AM227"/>
  <c r="AM237"/>
  <c r="AM232"/>
  <c r="AM240"/>
  <c r="AM205"/>
  <c r="AM215"/>
  <c r="AM225"/>
  <c r="AM235"/>
  <c r="F93"/>
  <c r="F208"/>
  <c r="F214"/>
  <c r="F89"/>
  <c r="F189"/>
  <c r="F70"/>
  <c r="F188"/>
  <c r="F44"/>
  <c r="F116"/>
  <c r="F212"/>
  <c r="F134"/>
  <c r="F230"/>
  <c r="F237"/>
  <c r="F130"/>
  <c r="F190"/>
  <c r="F115"/>
  <c r="F229"/>
  <c r="F141"/>
  <c r="F97"/>
  <c r="F100"/>
  <c r="F161"/>
  <c r="F132"/>
  <c r="F95"/>
  <c r="F85"/>
  <c r="F80"/>
  <c r="F194"/>
  <c r="F106"/>
  <c r="F105"/>
  <c r="F26"/>
  <c r="F49"/>
  <c r="F67"/>
  <c r="F22"/>
  <c r="F56"/>
  <c r="F146"/>
  <c r="F121"/>
  <c r="F218"/>
  <c r="F113"/>
  <c r="F209"/>
  <c r="F30"/>
  <c r="F21"/>
  <c r="F77"/>
  <c r="F25"/>
  <c r="F227"/>
  <c r="F42"/>
  <c r="F86"/>
  <c r="F145"/>
  <c r="F8"/>
  <c r="F104"/>
  <c r="F198"/>
  <c r="F236"/>
  <c r="F33"/>
  <c r="F238"/>
  <c r="F192"/>
  <c r="F82"/>
  <c r="F81"/>
  <c r="F213"/>
  <c r="F174"/>
  <c r="F193"/>
  <c r="F232"/>
  <c r="F29"/>
  <c r="F157"/>
  <c r="F234"/>
  <c r="F43"/>
  <c r="F178"/>
  <c r="F177"/>
  <c r="F13"/>
  <c r="F52"/>
  <c r="F90"/>
  <c r="F110"/>
  <c r="F149"/>
  <c r="F225"/>
  <c r="F144"/>
  <c r="F102"/>
  <c r="F112"/>
  <c r="F240"/>
  <c r="F131"/>
  <c r="F224"/>
  <c r="F175"/>
  <c r="F127"/>
  <c r="F24"/>
  <c r="F170"/>
  <c r="F226"/>
  <c r="F152"/>
  <c r="F167"/>
  <c r="F58"/>
  <c r="F173"/>
  <c r="F241"/>
  <c r="F92"/>
  <c r="F196"/>
  <c r="F172"/>
  <c r="F153"/>
  <c r="F9"/>
  <c r="F210"/>
  <c r="F23"/>
  <c r="F138"/>
  <c r="F155"/>
  <c r="F19"/>
  <c r="F168"/>
  <c r="F151"/>
  <c r="F118"/>
  <c r="F215"/>
  <c r="F182"/>
  <c r="F72"/>
  <c r="F65"/>
  <c r="F91"/>
  <c r="F181"/>
  <c r="F60"/>
  <c r="F222"/>
  <c r="F45"/>
  <c r="F160"/>
  <c r="F71"/>
  <c r="F28"/>
  <c r="F233"/>
  <c r="F14"/>
  <c r="F186"/>
  <c r="F228"/>
  <c r="F117"/>
  <c r="F10"/>
  <c r="F125"/>
  <c r="F36"/>
  <c r="F206"/>
  <c r="F163"/>
  <c r="F201"/>
  <c r="F239"/>
  <c r="F203"/>
  <c r="F122"/>
  <c r="F199"/>
  <c r="F217"/>
  <c r="F108"/>
  <c r="F69"/>
  <c r="F158"/>
  <c r="F197"/>
  <c r="F235"/>
  <c r="F88"/>
  <c r="F164"/>
  <c r="F179"/>
  <c r="F4"/>
  <c r="F139"/>
  <c r="F220"/>
  <c r="F17"/>
  <c r="F55"/>
  <c r="F76"/>
  <c r="F114"/>
  <c r="F120"/>
  <c r="F40"/>
  <c r="F32"/>
  <c r="F7"/>
  <c r="F136"/>
  <c r="F169"/>
  <c r="F59"/>
  <c r="F101"/>
  <c r="F165"/>
  <c r="F211"/>
  <c r="F150"/>
  <c r="F6"/>
  <c r="F176"/>
  <c r="F73"/>
  <c r="F96"/>
  <c r="F154"/>
  <c r="F74"/>
  <c r="F54"/>
  <c r="F119"/>
  <c r="F66"/>
  <c r="F191"/>
  <c r="F47"/>
  <c r="F46"/>
  <c r="F142"/>
  <c r="F61"/>
  <c r="F84"/>
  <c r="F137"/>
  <c r="F57"/>
  <c r="F126"/>
  <c r="F202"/>
  <c r="F156"/>
  <c r="F12"/>
  <c r="F62"/>
  <c r="F103"/>
  <c r="F50"/>
  <c r="F107"/>
  <c r="F98"/>
  <c r="F11"/>
  <c r="F83"/>
  <c r="F180"/>
  <c r="F35"/>
  <c r="F68"/>
  <c r="F187"/>
  <c r="F37"/>
  <c r="F64"/>
  <c r="F148"/>
  <c r="F48"/>
  <c r="F184"/>
  <c r="F216"/>
  <c r="F128"/>
  <c r="F166"/>
  <c r="F204"/>
  <c r="F133"/>
  <c r="F53"/>
  <c r="F129"/>
  <c r="F78"/>
  <c r="F38"/>
  <c r="F205"/>
  <c r="F124"/>
  <c r="F162"/>
  <c r="F200"/>
  <c r="F18"/>
  <c r="F94"/>
  <c r="F109"/>
  <c r="F140"/>
  <c r="F34"/>
  <c r="F185"/>
  <c r="F223"/>
  <c r="F20"/>
  <c r="F41"/>
  <c r="F79"/>
  <c r="F16"/>
  <c r="F5"/>
  <c r="F221"/>
  <c r="F143"/>
  <c r="F31"/>
  <c r="F242"/>
  <c r="BH106"/>
  <c r="BH7"/>
  <c r="BH11"/>
  <c r="BH34"/>
  <c r="BH30"/>
  <c r="BH12"/>
  <c r="BH42"/>
  <c r="BH44"/>
  <c r="BH19"/>
  <c r="BH32"/>
  <c r="BH40"/>
  <c r="BH52"/>
  <c r="BH8"/>
  <c r="BH9"/>
  <c r="BH13"/>
  <c r="BH22"/>
  <c r="BH54"/>
  <c r="BH71"/>
  <c r="BH6"/>
  <c r="BH23"/>
  <c r="BH78"/>
  <c r="BH151"/>
  <c r="BH14"/>
  <c r="BH20"/>
  <c r="BH21"/>
  <c r="BH50"/>
  <c r="BH74"/>
  <c r="BH49"/>
  <c r="BH4"/>
  <c r="BH10"/>
  <c r="BH16"/>
  <c r="BH31"/>
  <c r="BH41"/>
  <c r="BH59"/>
  <c r="BH68"/>
  <c r="BH60"/>
  <c r="BH76"/>
  <c r="BH92"/>
  <c r="BH211"/>
  <c r="BH5"/>
  <c r="BH17"/>
  <c r="BH24"/>
  <c r="BH33"/>
  <c r="BH38"/>
  <c r="BH43"/>
  <c r="BH48"/>
  <c r="BH53"/>
  <c r="BH58"/>
  <c r="BH79"/>
  <c r="BH80"/>
  <c r="BH116"/>
  <c r="BH29"/>
  <c r="BH37"/>
  <c r="BH47"/>
  <c r="BH57"/>
  <c r="BH61"/>
  <c r="BH65"/>
  <c r="BH66"/>
  <c r="BH73"/>
  <c r="BH84"/>
  <c r="BH88"/>
  <c r="BH93"/>
  <c r="BH101"/>
  <c r="BH102"/>
  <c r="BH103"/>
  <c r="BH169"/>
  <c r="BH25"/>
  <c r="BH35"/>
  <c r="BH45"/>
  <c r="BH55"/>
  <c r="BH166"/>
  <c r="BH215"/>
  <c r="BH18"/>
  <c r="BH26"/>
  <c r="BH28"/>
  <c r="BH36"/>
  <c r="BH46"/>
  <c r="BH56"/>
  <c r="BH83"/>
  <c r="BH113"/>
  <c r="BH69"/>
  <c r="BH70"/>
  <c r="BH91"/>
  <c r="BH112"/>
  <c r="BH131"/>
  <c r="BH142"/>
  <c r="BH149"/>
  <c r="BH177"/>
  <c r="BH202"/>
  <c r="BH81"/>
  <c r="BH157"/>
  <c r="BH86"/>
  <c r="BH96"/>
  <c r="BH201"/>
  <c r="BH62"/>
  <c r="BH64"/>
  <c r="BH72"/>
  <c r="BH82"/>
  <c r="BH95"/>
  <c r="BH109"/>
  <c r="BH110"/>
  <c r="BH119"/>
  <c r="BH120"/>
  <c r="BH129"/>
  <c r="BH139"/>
  <c r="BH161"/>
  <c r="BH179"/>
  <c r="BH67"/>
  <c r="BH77"/>
  <c r="BH85"/>
  <c r="BH105"/>
  <c r="BH115"/>
  <c r="BH121"/>
  <c r="BH90"/>
  <c r="BH98"/>
  <c r="BH100"/>
  <c r="BH108"/>
  <c r="BH118"/>
  <c r="BH128"/>
  <c r="BH141"/>
  <c r="BH148"/>
  <c r="BH156"/>
  <c r="BH162"/>
  <c r="BH170"/>
  <c r="BH176"/>
  <c r="BH187"/>
  <c r="BH212"/>
  <c r="BH94"/>
  <c r="BH104"/>
  <c r="BH114"/>
  <c r="BH122"/>
  <c r="BH124"/>
  <c r="BH125"/>
  <c r="BH167"/>
  <c r="BH89"/>
  <c r="BH97"/>
  <c r="BH107"/>
  <c r="BH117"/>
  <c r="BH132"/>
  <c r="BH138"/>
  <c r="BH146"/>
  <c r="BH152"/>
  <c r="BH172"/>
  <c r="BH126"/>
  <c r="BH134"/>
  <c r="BH136"/>
  <c r="BH144"/>
  <c r="BH154"/>
  <c r="BH164"/>
  <c r="BH174"/>
  <c r="BH181"/>
  <c r="BH182"/>
  <c r="BH203"/>
  <c r="BH127"/>
  <c r="BH137"/>
  <c r="BH145"/>
  <c r="BH155"/>
  <c r="BH165"/>
  <c r="BH175"/>
  <c r="BH184"/>
  <c r="BH191"/>
  <c r="BH192"/>
  <c r="BH197"/>
  <c r="BH130"/>
  <c r="BH140"/>
  <c r="BH150"/>
  <c r="BH158"/>
  <c r="BH160"/>
  <c r="BH168"/>
  <c r="BH178"/>
  <c r="BH185"/>
  <c r="BH193"/>
  <c r="BH133"/>
  <c r="BH143"/>
  <c r="BH153"/>
  <c r="BH163"/>
  <c r="BH173"/>
  <c r="BH221"/>
  <c r="BH222"/>
  <c r="BH225"/>
  <c r="BH229"/>
  <c r="BH230"/>
  <c r="BH180"/>
  <c r="BH190"/>
  <c r="BH200"/>
  <c r="BH213"/>
  <c r="BH188"/>
  <c r="BH198"/>
  <c r="BH186"/>
  <c r="BH194"/>
  <c r="BH196"/>
  <c r="BH204"/>
  <c r="BH223"/>
  <c r="BH189"/>
  <c r="BH199"/>
  <c r="BH205"/>
  <c r="BH209"/>
  <c r="BH217"/>
  <c r="BH227"/>
  <c r="BH237"/>
  <c r="BH232"/>
  <c r="BH240"/>
  <c r="BH235"/>
  <c r="BH210"/>
  <c r="BH218"/>
  <c r="BH220"/>
  <c r="BH228"/>
  <c r="BH238"/>
  <c r="BH233"/>
  <c r="BH241"/>
  <c r="BH206"/>
  <c r="BH208"/>
  <c r="BH216"/>
  <c r="BH226"/>
  <c r="BH236"/>
  <c r="BH239"/>
  <c r="BH214"/>
  <c r="BH224"/>
  <c r="BH234"/>
  <c r="BH242"/>
  <c r="T54"/>
  <c r="T6"/>
  <c r="T33"/>
  <c r="T43"/>
  <c r="T152"/>
  <c r="T24"/>
  <c r="T34"/>
  <c r="T92"/>
  <c r="T38"/>
  <c r="T41"/>
  <c r="T44"/>
  <c r="T68"/>
  <c r="T139"/>
  <c r="T142"/>
  <c r="T9"/>
  <c r="T14"/>
  <c r="T31"/>
  <c r="T7"/>
  <c r="T8"/>
  <c r="T20"/>
  <c r="T21"/>
  <c r="T50"/>
  <c r="T58"/>
  <c r="T59"/>
  <c r="T11"/>
  <c r="T12"/>
  <c r="T17"/>
  <c r="T48"/>
  <c r="T49"/>
  <c r="T53"/>
  <c r="T113"/>
  <c r="T221"/>
  <c r="T4"/>
  <c r="T22"/>
  <c r="T30"/>
  <c r="T40"/>
  <c r="T84"/>
  <c r="T116"/>
  <c r="T13"/>
  <c r="T23"/>
  <c r="T32"/>
  <c r="T42"/>
  <c r="T52"/>
  <c r="T121"/>
  <c r="T131"/>
  <c r="T5"/>
  <c r="T10"/>
  <c r="T16"/>
  <c r="T19"/>
  <c r="T88"/>
  <c r="T106"/>
  <c r="T166"/>
  <c r="T29"/>
  <c r="T37"/>
  <c r="T47"/>
  <c r="T57"/>
  <c r="T70"/>
  <c r="T71"/>
  <c r="T83"/>
  <c r="T115"/>
  <c r="T146"/>
  <c r="T25"/>
  <c r="T35"/>
  <c r="T45"/>
  <c r="T55"/>
  <c r="T60"/>
  <c r="T65"/>
  <c r="T69"/>
  <c r="T76"/>
  <c r="T93"/>
  <c r="T101"/>
  <c r="T102"/>
  <c r="T103"/>
  <c r="T151"/>
  <c r="T179"/>
  <c r="T18"/>
  <c r="T26"/>
  <c r="T28"/>
  <c r="T36"/>
  <c r="T46"/>
  <c r="T56"/>
  <c r="T61"/>
  <c r="T66"/>
  <c r="T74"/>
  <c r="T81"/>
  <c r="T112"/>
  <c r="T125"/>
  <c r="T78"/>
  <c r="T86"/>
  <c r="T105"/>
  <c r="T132"/>
  <c r="T161"/>
  <c r="T73"/>
  <c r="T79"/>
  <c r="T80"/>
  <c r="T96"/>
  <c r="T192"/>
  <c r="T169"/>
  <c r="T172"/>
  <c r="T62"/>
  <c r="T64"/>
  <c r="T72"/>
  <c r="T82"/>
  <c r="T138"/>
  <c r="T180"/>
  <c r="T191"/>
  <c r="T229"/>
  <c r="T67"/>
  <c r="T77"/>
  <c r="T85"/>
  <c r="T91"/>
  <c r="T95"/>
  <c r="T109"/>
  <c r="T110"/>
  <c r="T119"/>
  <c r="T120"/>
  <c r="T184"/>
  <c r="T230"/>
  <c r="T90"/>
  <c r="T98"/>
  <c r="T100"/>
  <c r="T108"/>
  <c r="T118"/>
  <c r="T167"/>
  <c r="T222"/>
  <c r="T94"/>
  <c r="T104"/>
  <c r="T114"/>
  <c r="T122"/>
  <c r="T124"/>
  <c r="T128"/>
  <c r="T141"/>
  <c r="T148"/>
  <c r="T156"/>
  <c r="T162"/>
  <c r="T170"/>
  <c r="T176"/>
  <c r="T205"/>
  <c r="T89"/>
  <c r="T97"/>
  <c r="T107"/>
  <c r="T117"/>
  <c r="T129"/>
  <c r="T149"/>
  <c r="T157"/>
  <c r="T177"/>
  <c r="T197"/>
  <c r="T225"/>
  <c r="T126"/>
  <c r="T134"/>
  <c r="T136"/>
  <c r="T144"/>
  <c r="T154"/>
  <c r="T164"/>
  <c r="T174"/>
  <c r="T185"/>
  <c r="T193"/>
  <c r="T127"/>
  <c r="T137"/>
  <c r="T145"/>
  <c r="T155"/>
  <c r="T165"/>
  <c r="T175"/>
  <c r="T187"/>
  <c r="T201"/>
  <c r="T202"/>
  <c r="T130"/>
  <c r="T140"/>
  <c r="T150"/>
  <c r="T158"/>
  <c r="T160"/>
  <c r="T168"/>
  <c r="T178"/>
  <c r="T181"/>
  <c r="T182"/>
  <c r="T203"/>
  <c r="T211"/>
  <c r="T212"/>
  <c r="T215"/>
  <c r="T133"/>
  <c r="T143"/>
  <c r="T153"/>
  <c r="T163"/>
  <c r="T173"/>
  <c r="T190"/>
  <c r="T200"/>
  <c r="T223"/>
  <c r="T188"/>
  <c r="T198"/>
  <c r="T186"/>
  <c r="T194"/>
  <c r="T196"/>
  <c r="T204"/>
  <c r="T213"/>
  <c r="T189"/>
  <c r="T199"/>
  <c r="T209"/>
  <c r="T217"/>
  <c r="T227"/>
  <c r="T237"/>
  <c r="T232"/>
  <c r="T240"/>
  <c r="T235"/>
  <c r="T210"/>
  <c r="T218"/>
  <c r="T220"/>
  <c r="T228"/>
  <c r="T238"/>
  <c r="T233"/>
  <c r="T241"/>
  <c r="T206"/>
  <c r="T208"/>
  <c r="T216"/>
  <c r="T226"/>
  <c r="T236"/>
  <c r="T239"/>
  <c r="T214"/>
  <c r="T224"/>
  <c r="T234"/>
  <c r="T242"/>
  <c r="AJ65"/>
  <c r="AJ69"/>
  <c r="AJ41"/>
  <c r="AJ78"/>
  <c r="AJ31"/>
  <c r="AJ10"/>
  <c r="AJ54"/>
  <c r="AJ93"/>
  <c r="AJ6"/>
  <c r="AJ14"/>
  <c r="AJ44"/>
  <c r="AJ106"/>
  <c r="AJ60"/>
  <c r="AJ16"/>
  <c r="AJ84"/>
  <c r="AJ7"/>
  <c r="AJ8"/>
  <c r="AJ13"/>
  <c r="AJ19"/>
  <c r="AJ34"/>
  <c r="AJ40"/>
  <c r="AJ88"/>
  <c r="AJ112"/>
  <c r="AJ12"/>
  <c r="AJ22"/>
  <c r="AJ30"/>
  <c r="AJ71"/>
  <c r="AJ76"/>
  <c r="AJ180"/>
  <c r="AJ9"/>
  <c r="AJ11"/>
  <c r="AJ20"/>
  <c r="AJ21"/>
  <c r="AJ50"/>
  <c r="AJ4"/>
  <c r="AJ17"/>
  <c r="AJ23"/>
  <c r="AJ32"/>
  <c r="AJ42"/>
  <c r="AJ52"/>
  <c r="AJ61"/>
  <c r="AJ68"/>
  <c r="AJ80"/>
  <c r="AJ101"/>
  <c r="AJ103"/>
  <c r="AJ24"/>
  <c r="AJ33"/>
  <c r="AJ38"/>
  <c r="AJ43"/>
  <c r="AJ48"/>
  <c r="AJ53"/>
  <c r="AJ58"/>
  <c r="AJ125"/>
  <c r="AJ5"/>
  <c r="AJ49"/>
  <c r="AJ59"/>
  <c r="AJ138"/>
  <c r="AJ29"/>
  <c r="AJ37"/>
  <c r="AJ47"/>
  <c r="AJ57"/>
  <c r="AJ66"/>
  <c r="AJ86"/>
  <c r="AJ91"/>
  <c r="AJ142"/>
  <c r="AJ25"/>
  <c r="AJ35"/>
  <c r="AJ45"/>
  <c r="AJ55"/>
  <c r="AJ81"/>
  <c r="AJ74"/>
  <c r="AJ79"/>
  <c r="AJ172"/>
  <c r="AJ18"/>
  <c r="AJ26"/>
  <c r="AJ28"/>
  <c r="AJ36"/>
  <c r="AJ46"/>
  <c r="AJ56"/>
  <c r="AJ70"/>
  <c r="AJ73"/>
  <c r="AJ166"/>
  <c r="AJ83"/>
  <c r="AJ92"/>
  <c r="AJ113"/>
  <c r="AJ116"/>
  <c r="AJ132"/>
  <c r="AJ169"/>
  <c r="AJ191"/>
  <c r="AJ192"/>
  <c r="AJ197"/>
  <c r="AJ102"/>
  <c r="AJ151"/>
  <c r="AJ95"/>
  <c r="AJ109"/>
  <c r="AJ110"/>
  <c r="AJ119"/>
  <c r="AJ120"/>
  <c r="AJ146"/>
  <c r="AJ179"/>
  <c r="AJ62"/>
  <c r="AJ64"/>
  <c r="AJ72"/>
  <c r="AJ82"/>
  <c r="AJ105"/>
  <c r="AJ115"/>
  <c r="AJ121"/>
  <c r="AJ139"/>
  <c r="AJ161"/>
  <c r="AJ67"/>
  <c r="AJ77"/>
  <c r="AJ85"/>
  <c r="AJ96"/>
  <c r="AJ131"/>
  <c r="AJ152"/>
  <c r="AJ90"/>
  <c r="AJ98"/>
  <c r="AJ100"/>
  <c r="AJ108"/>
  <c r="AJ118"/>
  <c r="AJ167"/>
  <c r="AJ94"/>
  <c r="AJ104"/>
  <c r="AJ114"/>
  <c r="AJ122"/>
  <c r="AJ124"/>
  <c r="AJ128"/>
  <c r="AJ141"/>
  <c r="AJ148"/>
  <c r="AJ156"/>
  <c r="AJ162"/>
  <c r="AJ170"/>
  <c r="AJ176"/>
  <c r="AJ89"/>
  <c r="AJ97"/>
  <c r="AJ107"/>
  <c r="AJ117"/>
  <c r="AJ129"/>
  <c r="AJ149"/>
  <c r="AJ157"/>
  <c r="AJ177"/>
  <c r="AJ184"/>
  <c r="AJ126"/>
  <c r="AJ134"/>
  <c r="AJ136"/>
  <c r="AJ144"/>
  <c r="AJ154"/>
  <c r="AJ164"/>
  <c r="AJ174"/>
  <c r="AJ185"/>
  <c r="AJ193"/>
  <c r="AJ211"/>
  <c r="AJ212"/>
  <c r="AJ215"/>
  <c r="AJ127"/>
  <c r="AJ137"/>
  <c r="AJ145"/>
  <c r="AJ155"/>
  <c r="AJ165"/>
  <c r="AJ175"/>
  <c r="AJ187"/>
  <c r="AJ201"/>
  <c r="AJ202"/>
  <c r="AJ221"/>
  <c r="AJ222"/>
  <c r="AJ225"/>
  <c r="AJ229"/>
  <c r="AJ230"/>
  <c r="AJ130"/>
  <c r="AJ140"/>
  <c r="AJ150"/>
  <c r="AJ158"/>
  <c r="AJ160"/>
  <c r="AJ168"/>
  <c r="AJ178"/>
  <c r="AJ181"/>
  <c r="AJ182"/>
  <c r="AJ203"/>
  <c r="AJ133"/>
  <c r="AJ143"/>
  <c r="AJ153"/>
  <c r="AJ163"/>
  <c r="AJ173"/>
  <c r="AJ190"/>
  <c r="AJ200"/>
  <c r="AJ223"/>
  <c r="AJ188"/>
  <c r="AJ198"/>
  <c r="AJ186"/>
  <c r="AJ194"/>
  <c r="AJ196"/>
  <c r="AJ204"/>
  <c r="AJ205"/>
  <c r="AJ213"/>
  <c r="AJ189"/>
  <c r="AJ199"/>
  <c r="AJ209"/>
  <c r="AJ217"/>
  <c r="AJ227"/>
  <c r="AJ237"/>
  <c r="AJ232"/>
  <c r="AJ240"/>
  <c r="AJ235"/>
  <c r="AJ210"/>
  <c r="AJ218"/>
  <c r="AJ220"/>
  <c r="AJ228"/>
  <c r="AJ238"/>
  <c r="AJ233"/>
  <c r="AJ241"/>
  <c r="AJ206"/>
  <c r="AJ208"/>
  <c r="AJ216"/>
  <c r="AJ226"/>
  <c r="AJ236"/>
  <c r="AJ239"/>
  <c r="AJ214"/>
  <c r="AJ224"/>
  <c r="AJ234"/>
  <c r="AJ242"/>
  <c r="AG6"/>
  <c r="AG29"/>
  <c r="AG20"/>
  <c r="AG21"/>
  <c r="AG33"/>
  <c r="AG192"/>
  <c r="AG14"/>
  <c r="AG58"/>
  <c r="AG59"/>
  <c r="AG85"/>
  <c r="AG43"/>
  <c r="AG7"/>
  <c r="AG48"/>
  <c r="AG49"/>
  <c r="AG50"/>
  <c r="AG5"/>
  <c r="AG11"/>
  <c r="AG53"/>
  <c r="AG19"/>
  <c r="AG62"/>
  <c r="AG67"/>
  <c r="AG102"/>
  <c r="AG10"/>
  <c r="AG38"/>
  <c r="AG41"/>
  <c r="AG13"/>
  <c r="AG18"/>
  <c r="AG31"/>
  <c r="AG68"/>
  <c r="AG160"/>
  <c r="AG206"/>
  <c r="AG8"/>
  <c r="AG12"/>
  <c r="AG60"/>
  <c r="AG16"/>
  <c r="AG22"/>
  <c r="AG30"/>
  <c r="AG40"/>
  <c r="AG78"/>
  <c r="AG122"/>
  <c r="AG151"/>
  <c r="AG9"/>
  <c r="AG23"/>
  <c r="AG32"/>
  <c r="AG42"/>
  <c r="AG52"/>
  <c r="AG145"/>
  <c r="AG4"/>
  <c r="AG37"/>
  <c r="AG47"/>
  <c r="AG57"/>
  <c r="AG26"/>
  <c r="AG28"/>
  <c r="AG36"/>
  <c r="AG46"/>
  <c r="AG56"/>
  <c r="AG69"/>
  <c r="AG70"/>
  <c r="AG73"/>
  <c r="AG77"/>
  <c r="AG80"/>
  <c r="AG141"/>
  <c r="AG196"/>
  <c r="AG24"/>
  <c r="AG34"/>
  <c r="AG44"/>
  <c r="AG54"/>
  <c r="AG64"/>
  <c r="AG65"/>
  <c r="AG72"/>
  <c r="AG83"/>
  <c r="AG86"/>
  <c r="AG128"/>
  <c r="AG112"/>
  <c r="AG168"/>
  <c r="AG17"/>
  <c r="AG25"/>
  <c r="AG35"/>
  <c r="AG45"/>
  <c r="AG55"/>
  <c r="AG115"/>
  <c r="AG156"/>
  <c r="AG82"/>
  <c r="AG98"/>
  <c r="AG100"/>
  <c r="AG101"/>
  <c r="AG138"/>
  <c r="AG166"/>
  <c r="AG178"/>
  <c r="AG79"/>
  <c r="AG90"/>
  <c r="AG92"/>
  <c r="AG130"/>
  <c r="AG158"/>
  <c r="AG176"/>
  <c r="AG105"/>
  <c r="AG131"/>
  <c r="AG91"/>
  <c r="AG94"/>
  <c r="AG108"/>
  <c r="AG118"/>
  <c r="AG184"/>
  <c r="AG61"/>
  <c r="AG71"/>
  <c r="AG81"/>
  <c r="AG104"/>
  <c r="AG109"/>
  <c r="AG114"/>
  <c r="AG119"/>
  <c r="AG137"/>
  <c r="AG179"/>
  <c r="AG66"/>
  <c r="AG74"/>
  <c r="AG76"/>
  <c r="AG84"/>
  <c r="AG95"/>
  <c r="AG110"/>
  <c r="AG120"/>
  <c r="AG124"/>
  <c r="AG146"/>
  <c r="AG148"/>
  <c r="AG150"/>
  <c r="AG89"/>
  <c r="AG97"/>
  <c r="AG107"/>
  <c r="AG117"/>
  <c r="AG127"/>
  <c r="AG165"/>
  <c r="AG204"/>
  <c r="AG93"/>
  <c r="AG103"/>
  <c r="AG113"/>
  <c r="AG121"/>
  <c r="AG140"/>
  <c r="AG161"/>
  <c r="AG169"/>
  <c r="AG182"/>
  <c r="AG88"/>
  <c r="AG96"/>
  <c r="AG106"/>
  <c r="AG116"/>
  <c r="AG155"/>
  <c r="AG175"/>
  <c r="AG125"/>
  <c r="AG133"/>
  <c r="AG143"/>
  <c r="AG153"/>
  <c r="AG163"/>
  <c r="AG173"/>
  <c r="AG190"/>
  <c r="AG191"/>
  <c r="AG214"/>
  <c r="AG126"/>
  <c r="AG134"/>
  <c r="AG136"/>
  <c r="AG144"/>
  <c r="AG154"/>
  <c r="AG164"/>
  <c r="AG174"/>
  <c r="AG186"/>
  <c r="AG194"/>
  <c r="AG129"/>
  <c r="AG139"/>
  <c r="AG149"/>
  <c r="AG157"/>
  <c r="AG167"/>
  <c r="AG177"/>
  <c r="AG200"/>
  <c r="AG201"/>
  <c r="AG222"/>
  <c r="AG224"/>
  <c r="AG230"/>
  <c r="AG132"/>
  <c r="AG142"/>
  <c r="AG152"/>
  <c r="AG162"/>
  <c r="AG170"/>
  <c r="AG172"/>
  <c r="AG180"/>
  <c r="AG181"/>
  <c r="AG202"/>
  <c r="AG189"/>
  <c r="AG199"/>
  <c r="AG220"/>
  <c r="AG221"/>
  <c r="AG228"/>
  <c r="AG229"/>
  <c r="AG187"/>
  <c r="AG197"/>
  <c r="AG185"/>
  <c r="AG193"/>
  <c r="AG203"/>
  <c r="AG210"/>
  <c r="AG211"/>
  <c r="AG218"/>
  <c r="AG188"/>
  <c r="AG198"/>
  <c r="AG212"/>
  <c r="AG208"/>
  <c r="AG216"/>
  <c r="AG226"/>
  <c r="AG236"/>
  <c r="AG239"/>
  <c r="AG234"/>
  <c r="AG242"/>
  <c r="AG209"/>
  <c r="AG217"/>
  <c r="AG227"/>
  <c r="AG237"/>
  <c r="AG232"/>
  <c r="AG240"/>
  <c r="AG205"/>
  <c r="AG215"/>
  <c r="AG225"/>
  <c r="AG235"/>
  <c r="AG238"/>
  <c r="AG213"/>
  <c r="AG223"/>
  <c r="AG233"/>
  <c r="AG241"/>
  <c r="K60"/>
  <c r="K5"/>
  <c r="K30"/>
  <c r="K41"/>
  <c r="K29"/>
  <c r="K56"/>
  <c r="K61"/>
  <c r="K14"/>
  <c r="K77"/>
  <c r="K20"/>
  <c r="K21"/>
  <c r="K4"/>
  <c r="K6"/>
  <c r="K55"/>
  <c r="K57"/>
  <c r="K70"/>
  <c r="K81"/>
  <c r="K8"/>
  <c r="K11"/>
  <c r="K12"/>
  <c r="K17"/>
  <c r="K45"/>
  <c r="K46"/>
  <c r="K47"/>
  <c r="K98"/>
  <c r="K35"/>
  <c r="K36"/>
  <c r="K37"/>
  <c r="K40"/>
  <c r="K26"/>
  <c r="K31"/>
  <c r="K67"/>
  <c r="K9"/>
  <c r="K18"/>
  <c r="K68"/>
  <c r="K76"/>
  <c r="K7"/>
  <c r="K38"/>
  <c r="K48"/>
  <c r="K58"/>
  <c r="K66"/>
  <c r="K84"/>
  <c r="K85"/>
  <c r="K108"/>
  <c r="K112"/>
  <c r="K154"/>
  <c r="K10"/>
  <c r="K16"/>
  <c r="K19"/>
  <c r="K25"/>
  <c r="K28"/>
  <c r="K49"/>
  <c r="K59"/>
  <c r="K134"/>
  <c r="K24"/>
  <c r="K34"/>
  <c r="K44"/>
  <c r="K54"/>
  <c r="K65"/>
  <c r="K157"/>
  <c r="K182"/>
  <c r="K22"/>
  <c r="K32"/>
  <c r="K42"/>
  <c r="K50"/>
  <c r="K52"/>
  <c r="K74"/>
  <c r="K80"/>
  <c r="K90"/>
  <c r="K218"/>
  <c r="K73"/>
  <c r="K83"/>
  <c r="K86"/>
  <c r="K93"/>
  <c r="K102"/>
  <c r="K103"/>
  <c r="K138"/>
  <c r="K210"/>
  <c r="K13"/>
  <c r="K23"/>
  <c r="K33"/>
  <c r="K43"/>
  <c r="K53"/>
  <c r="K78"/>
  <c r="K106"/>
  <c r="K107"/>
  <c r="K128"/>
  <c r="K176"/>
  <c r="K71"/>
  <c r="K89"/>
  <c r="K117"/>
  <c r="K118"/>
  <c r="K174"/>
  <c r="K92"/>
  <c r="K113"/>
  <c r="K116"/>
  <c r="K149"/>
  <c r="K177"/>
  <c r="K189"/>
  <c r="K164"/>
  <c r="K220"/>
  <c r="K110"/>
  <c r="K120"/>
  <c r="K146"/>
  <c r="K69"/>
  <c r="K79"/>
  <c r="K91"/>
  <c r="K100"/>
  <c r="K121"/>
  <c r="K129"/>
  <c r="K139"/>
  <c r="K148"/>
  <c r="K62"/>
  <c r="K64"/>
  <c r="K72"/>
  <c r="K82"/>
  <c r="K88"/>
  <c r="K96"/>
  <c r="K97"/>
  <c r="K125"/>
  <c r="K143"/>
  <c r="K156"/>
  <c r="K95"/>
  <c r="K105"/>
  <c r="K115"/>
  <c r="K163"/>
  <c r="K200"/>
  <c r="K101"/>
  <c r="K109"/>
  <c r="K119"/>
  <c r="K126"/>
  <c r="K136"/>
  <c r="K144"/>
  <c r="K166"/>
  <c r="K188"/>
  <c r="K94"/>
  <c r="K104"/>
  <c r="K114"/>
  <c r="K122"/>
  <c r="K124"/>
  <c r="K133"/>
  <c r="K153"/>
  <c r="K167"/>
  <c r="K173"/>
  <c r="K226"/>
  <c r="K228"/>
  <c r="K131"/>
  <c r="K141"/>
  <c r="K151"/>
  <c r="K161"/>
  <c r="K169"/>
  <c r="K179"/>
  <c r="K202"/>
  <c r="K227"/>
  <c r="K132"/>
  <c r="K142"/>
  <c r="K152"/>
  <c r="K162"/>
  <c r="K170"/>
  <c r="K172"/>
  <c r="K180"/>
  <c r="K190"/>
  <c r="K127"/>
  <c r="K137"/>
  <c r="K145"/>
  <c r="K155"/>
  <c r="K165"/>
  <c r="K175"/>
  <c r="K184"/>
  <c r="K192"/>
  <c r="K130"/>
  <c r="K140"/>
  <c r="K150"/>
  <c r="K158"/>
  <c r="K160"/>
  <c r="K168"/>
  <c r="K178"/>
  <c r="K198"/>
  <c r="K199"/>
  <c r="K187"/>
  <c r="K197"/>
  <c r="K205"/>
  <c r="K212"/>
  <c r="K185"/>
  <c r="K193"/>
  <c r="K203"/>
  <c r="K181"/>
  <c r="K191"/>
  <c r="K201"/>
  <c r="K222"/>
  <c r="K230"/>
  <c r="K186"/>
  <c r="K194"/>
  <c r="K196"/>
  <c r="K204"/>
  <c r="K206"/>
  <c r="K208"/>
  <c r="K209"/>
  <c r="K216"/>
  <c r="K217"/>
  <c r="K214"/>
  <c r="K224"/>
  <c r="K234"/>
  <c r="K242"/>
  <c r="K237"/>
  <c r="K232"/>
  <c r="K240"/>
  <c r="K215"/>
  <c r="K225"/>
  <c r="K235"/>
  <c r="K238"/>
  <c r="K213"/>
  <c r="K223"/>
  <c r="K233"/>
  <c r="K241"/>
  <c r="K236"/>
  <c r="K211"/>
  <c r="K221"/>
  <c r="K229"/>
  <c r="K239"/>
  <c r="AD26"/>
  <c r="AD122"/>
  <c r="AD7"/>
  <c r="AD69"/>
  <c r="AD17"/>
  <c r="AD9"/>
  <c r="AD11"/>
  <c r="AD84"/>
  <c r="AD13"/>
  <c r="AD5"/>
  <c r="AD57"/>
  <c r="AD136"/>
  <c r="AD59"/>
  <c r="AD58"/>
  <c r="AD85"/>
  <c r="AD140"/>
  <c r="AD28"/>
  <c r="AD29"/>
  <c r="AD178"/>
  <c r="AD21"/>
  <c r="AD52"/>
  <c r="AD12"/>
  <c r="AD4"/>
  <c r="AD42"/>
  <c r="AD47"/>
  <c r="AD48"/>
  <c r="AD49"/>
  <c r="AD62"/>
  <c r="AD67"/>
  <c r="AD6"/>
  <c r="AD32"/>
  <c r="AD37"/>
  <c r="AD38"/>
  <c r="AD201"/>
  <c r="AD104"/>
  <c r="AD18"/>
  <c r="AD20"/>
  <c r="AD50"/>
  <c r="AD100"/>
  <c r="AD203"/>
  <c r="AD8"/>
  <c r="AD10"/>
  <c r="AD22"/>
  <c r="AD30"/>
  <c r="AD40"/>
  <c r="AD19"/>
  <c r="AD31"/>
  <c r="AD36"/>
  <c r="AD41"/>
  <c r="AD46"/>
  <c r="AD56"/>
  <c r="AD71"/>
  <c r="AD25"/>
  <c r="AD35"/>
  <c r="AD45"/>
  <c r="AD55"/>
  <c r="AD82"/>
  <c r="AD150"/>
  <c r="AD23"/>
  <c r="AD33"/>
  <c r="AD43"/>
  <c r="AD53"/>
  <c r="AD68"/>
  <c r="AD77"/>
  <c r="AD109"/>
  <c r="AD130"/>
  <c r="AD76"/>
  <c r="AD158"/>
  <c r="AD167"/>
  <c r="AD14"/>
  <c r="AD16"/>
  <c r="AD24"/>
  <c r="AD34"/>
  <c r="AD44"/>
  <c r="AD54"/>
  <c r="AD61"/>
  <c r="AD64"/>
  <c r="AD72"/>
  <c r="AD127"/>
  <c r="AD181"/>
  <c r="AD66"/>
  <c r="AD74"/>
  <c r="AD81"/>
  <c r="AD89"/>
  <c r="AD119"/>
  <c r="AD121"/>
  <c r="AD213"/>
  <c r="AD78"/>
  <c r="AD86"/>
  <c r="AD97"/>
  <c r="AD101"/>
  <c r="AD114"/>
  <c r="AD124"/>
  <c r="AD79"/>
  <c r="AD165"/>
  <c r="AD90"/>
  <c r="AD93"/>
  <c r="AD98"/>
  <c r="AD107"/>
  <c r="AD117"/>
  <c r="AD60"/>
  <c r="AD70"/>
  <c r="AD80"/>
  <c r="AD103"/>
  <c r="AD108"/>
  <c r="AD113"/>
  <c r="AD118"/>
  <c r="AD144"/>
  <c r="AD155"/>
  <c r="AD190"/>
  <c r="AD65"/>
  <c r="AD73"/>
  <c r="AD83"/>
  <c r="AD91"/>
  <c r="AD94"/>
  <c r="AD125"/>
  <c r="AD175"/>
  <c r="AD88"/>
  <c r="AD96"/>
  <c r="AD106"/>
  <c r="AD116"/>
  <c r="AD126"/>
  <c r="AD129"/>
  <c r="AD149"/>
  <c r="AD157"/>
  <c r="AD164"/>
  <c r="AD177"/>
  <c r="AD191"/>
  <c r="AD92"/>
  <c r="AD102"/>
  <c r="AD110"/>
  <c r="AD112"/>
  <c r="AD120"/>
  <c r="AD137"/>
  <c r="AD145"/>
  <c r="AD160"/>
  <c r="AD168"/>
  <c r="AD211"/>
  <c r="AD95"/>
  <c r="AD105"/>
  <c r="AD115"/>
  <c r="AD134"/>
  <c r="AD139"/>
  <c r="AD154"/>
  <c r="AD174"/>
  <c r="AD132"/>
  <c r="AD142"/>
  <c r="AD152"/>
  <c r="AD162"/>
  <c r="AD170"/>
  <c r="AD172"/>
  <c r="AD180"/>
  <c r="AD189"/>
  <c r="AD133"/>
  <c r="AD143"/>
  <c r="AD153"/>
  <c r="AD163"/>
  <c r="AD173"/>
  <c r="AD185"/>
  <c r="AD193"/>
  <c r="AD205"/>
  <c r="AD128"/>
  <c r="AD138"/>
  <c r="AD146"/>
  <c r="AD148"/>
  <c r="AD156"/>
  <c r="AD166"/>
  <c r="AD176"/>
  <c r="AD199"/>
  <c r="AD220"/>
  <c r="AD223"/>
  <c r="AD228"/>
  <c r="AD131"/>
  <c r="AD141"/>
  <c r="AD151"/>
  <c r="AD161"/>
  <c r="AD169"/>
  <c r="AD179"/>
  <c r="AD200"/>
  <c r="AD188"/>
  <c r="AD198"/>
  <c r="AD227"/>
  <c r="AD186"/>
  <c r="AD194"/>
  <c r="AD196"/>
  <c r="AD204"/>
  <c r="AD221"/>
  <c r="AD229"/>
  <c r="AD182"/>
  <c r="AD184"/>
  <c r="AD192"/>
  <c r="AD202"/>
  <c r="AD209"/>
  <c r="AD217"/>
  <c r="AD187"/>
  <c r="AD197"/>
  <c r="AD210"/>
  <c r="AD218"/>
  <c r="AD215"/>
  <c r="AD225"/>
  <c r="AD235"/>
  <c r="AD238"/>
  <c r="AD233"/>
  <c r="AD241"/>
  <c r="AD206"/>
  <c r="AD208"/>
  <c r="AD216"/>
  <c r="AD226"/>
  <c r="AD236"/>
  <c r="AD239"/>
  <c r="AD214"/>
  <c r="AD224"/>
  <c r="AD234"/>
  <c r="AD242"/>
  <c r="AD237"/>
  <c r="AD212"/>
  <c r="AD222"/>
  <c r="AD230"/>
  <c r="AD232"/>
  <c r="AD240"/>
  <c r="BI69"/>
  <c r="BI73"/>
  <c r="BI6"/>
  <c r="BI10"/>
  <c r="BI68"/>
  <c r="BI88"/>
  <c r="BI4"/>
  <c r="BI16"/>
  <c r="BI44"/>
  <c r="BI25"/>
  <c r="BI35"/>
  <c r="BI154"/>
  <c r="BI28"/>
  <c r="BI45"/>
  <c r="BI59"/>
  <c r="BI65"/>
  <c r="BI66"/>
  <c r="BI64"/>
  <c r="BI34"/>
  <c r="BI55"/>
  <c r="BI180"/>
  <c r="BI26"/>
  <c r="BI61"/>
  <c r="BI29"/>
  <c r="BI122"/>
  <c r="BI9"/>
  <c r="BI13"/>
  <c r="BI18"/>
  <c r="BI19"/>
  <c r="BI54"/>
  <c r="BI7"/>
  <c r="BI14"/>
  <c r="BI23"/>
  <c r="BI36"/>
  <c r="BI46"/>
  <c r="BI56"/>
  <c r="BI5"/>
  <c r="BI17"/>
  <c r="BI24"/>
  <c r="BI33"/>
  <c r="BI37"/>
  <c r="BI43"/>
  <c r="BI47"/>
  <c r="BI53"/>
  <c r="BI57"/>
  <c r="BI94"/>
  <c r="BI116"/>
  <c r="BI136"/>
  <c r="BI8"/>
  <c r="BI12"/>
  <c r="BI81"/>
  <c r="BI98"/>
  <c r="BI22"/>
  <c r="BI32"/>
  <c r="BI42"/>
  <c r="BI50"/>
  <c r="BI52"/>
  <c r="BI62"/>
  <c r="BI79"/>
  <c r="BI91"/>
  <c r="BI174"/>
  <c r="BI20"/>
  <c r="BI30"/>
  <c r="BI38"/>
  <c r="BI40"/>
  <c r="BI48"/>
  <c r="BI58"/>
  <c r="BI82"/>
  <c r="BI108"/>
  <c r="BI164"/>
  <c r="BI165"/>
  <c r="BI11"/>
  <c r="BI21"/>
  <c r="BI31"/>
  <c r="BI41"/>
  <c r="BI49"/>
  <c r="BI71"/>
  <c r="BI74"/>
  <c r="BI78"/>
  <c r="BI86"/>
  <c r="BI142"/>
  <c r="BI214"/>
  <c r="BI76"/>
  <c r="BI84"/>
  <c r="BI151"/>
  <c r="BI218"/>
  <c r="BI89"/>
  <c r="BI106"/>
  <c r="BI134"/>
  <c r="BI187"/>
  <c r="BI204"/>
  <c r="BI210"/>
  <c r="BI72"/>
  <c r="BI83"/>
  <c r="BI101"/>
  <c r="BI118"/>
  <c r="BI162"/>
  <c r="BI95"/>
  <c r="BI104"/>
  <c r="BI109"/>
  <c r="BI114"/>
  <c r="BI119"/>
  <c r="BI144"/>
  <c r="BI170"/>
  <c r="BI179"/>
  <c r="BI197"/>
  <c r="BI67"/>
  <c r="BI77"/>
  <c r="BI85"/>
  <c r="BI90"/>
  <c r="BI105"/>
  <c r="BI115"/>
  <c r="BI124"/>
  <c r="BI206"/>
  <c r="BI60"/>
  <c r="BI70"/>
  <c r="BI80"/>
  <c r="BI96"/>
  <c r="BI100"/>
  <c r="BI131"/>
  <c r="BI141"/>
  <c r="BI196"/>
  <c r="BI200"/>
  <c r="BI93"/>
  <c r="BI103"/>
  <c r="BI113"/>
  <c r="BI121"/>
  <c r="BI127"/>
  <c r="BI155"/>
  <c r="BI175"/>
  <c r="BI190"/>
  <c r="BI97"/>
  <c r="BI107"/>
  <c r="BI117"/>
  <c r="BI132"/>
  <c r="BI152"/>
  <c r="BI172"/>
  <c r="BI92"/>
  <c r="BI102"/>
  <c r="BI110"/>
  <c r="BI112"/>
  <c r="BI120"/>
  <c r="BI126"/>
  <c r="BI137"/>
  <c r="BI145"/>
  <c r="BI161"/>
  <c r="BI169"/>
  <c r="BI129"/>
  <c r="BI139"/>
  <c r="BI149"/>
  <c r="BI157"/>
  <c r="BI167"/>
  <c r="BI177"/>
  <c r="BI188"/>
  <c r="BI130"/>
  <c r="BI140"/>
  <c r="BI150"/>
  <c r="BI158"/>
  <c r="BI160"/>
  <c r="BI168"/>
  <c r="BI178"/>
  <c r="BI125"/>
  <c r="BI133"/>
  <c r="BI143"/>
  <c r="BI153"/>
  <c r="BI163"/>
  <c r="BI173"/>
  <c r="BI198"/>
  <c r="BI225"/>
  <c r="BI128"/>
  <c r="BI138"/>
  <c r="BI146"/>
  <c r="BI148"/>
  <c r="BI156"/>
  <c r="BI166"/>
  <c r="BI176"/>
  <c r="BI186"/>
  <c r="BI194"/>
  <c r="BI185"/>
  <c r="BI193"/>
  <c r="BI203"/>
  <c r="BI226"/>
  <c r="BI181"/>
  <c r="BI191"/>
  <c r="BI201"/>
  <c r="BI215"/>
  <c r="BI220"/>
  <c r="BI228"/>
  <c r="BI189"/>
  <c r="BI199"/>
  <c r="BI205"/>
  <c r="BI208"/>
  <c r="BI216"/>
  <c r="BI182"/>
  <c r="BI184"/>
  <c r="BI192"/>
  <c r="BI202"/>
  <c r="BI224"/>
  <c r="BI212"/>
  <c r="BI222"/>
  <c r="BI230"/>
  <c r="BI232"/>
  <c r="BI240"/>
  <c r="BI235"/>
  <c r="BI238"/>
  <c r="BI213"/>
  <c r="BI223"/>
  <c r="BI233"/>
  <c r="BI241"/>
  <c r="BI236"/>
  <c r="BI211"/>
  <c r="BI221"/>
  <c r="BI229"/>
  <c r="BI239"/>
  <c r="BI234"/>
  <c r="BI242"/>
  <c r="BI209"/>
  <c r="BI217"/>
  <c r="BI227"/>
  <c r="BI237"/>
  <c r="H13"/>
  <c r="H25"/>
  <c r="H44"/>
  <c r="H16"/>
  <c r="H35"/>
  <c r="H55"/>
  <c r="H4"/>
  <c r="H10"/>
  <c r="H28"/>
  <c r="H67"/>
  <c r="H162"/>
  <c r="H97"/>
  <c r="H46"/>
  <c r="H29"/>
  <c r="H116"/>
  <c r="H148"/>
  <c r="H7"/>
  <c r="H14"/>
  <c r="H20"/>
  <c r="H5"/>
  <c r="H73"/>
  <c r="H19"/>
  <c r="H26"/>
  <c r="H58"/>
  <c r="H48"/>
  <c r="H54"/>
  <c r="H56"/>
  <c r="H38"/>
  <c r="H45"/>
  <c r="H69"/>
  <c r="H88"/>
  <c r="H106"/>
  <c r="H128"/>
  <c r="H11"/>
  <c r="H34"/>
  <c r="H36"/>
  <c r="H72"/>
  <c r="H153"/>
  <c r="H8"/>
  <c r="H17"/>
  <c r="H30"/>
  <c r="H40"/>
  <c r="H64"/>
  <c r="H65"/>
  <c r="H92"/>
  <c r="H96"/>
  <c r="H6"/>
  <c r="H83"/>
  <c r="H115"/>
  <c r="H172"/>
  <c r="H9"/>
  <c r="H18"/>
  <c r="H24"/>
  <c r="H37"/>
  <c r="H47"/>
  <c r="H57"/>
  <c r="H60"/>
  <c r="H85"/>
  <c r="H107"/>
  <c r="H23"/>
  <c r="H33"/>
  <c r="H43"/>
  <c r="H53"/>
  <c r="H76"/>
  <c r="H84"/>
  <c r="H125"/>
  <c r="H198"/>
  <c r="H216"/>
  <c r="H21"/>
  <c r="H31"/>
  <c r="H41"/>
  <c r="H49"/>
  <c r="H59"/>
  <c r="H62"/>
  <c r="H82"/>
  <c r="H145"/>
  <c r="H80"/>
  <c r="H180"/>
  <c r="H12"/>
  <c r="H22"/>
  <c r="H32"/>
  <c r="H42"/>
  <c r="H50"/>
  <c r="H52"/>
  <c r="H77"/>
  <c r="H102"/>
  <c r="H105"/>
  <c r="H206"/>
  <c r="H66"/>
  <c r="H70"/>
  <c r="H74"/>
  <c r="H91"/>
  <c r="H133"/>
  <c r="H176"/>
  <c r="H217"/>
  <c r="H225"/>
  <c r="H89"/>
  <c r="H101"/>
  <c r="H117"/>
  <c r="H142"/>
  <c r="H156"/>
  <c r="H209"/>
  <c r="H79"/>
  <c r="H112"/>
  <c r="H132"/>
  <c r="H166"/>
  <c r="H155"/>
  <c r="H170"/>
  <c r="H173"/>
  <c r="H68"/>
  <c r="H78"/>
  <c r="H86"/>
  <c r="H90"/>
  <c r="H109"/>
  <c r="H119"/>
  <c r="H137"/>
  <c r="H175"/>
  <c r="H211"/>
  <c r="H61"/>
  <c r="H71"/>
  <c r="H81"/>
  <c r="H95"/>
  <c r="H110"/>
  <c r="H120"/>
  <c r="H152"/>
  <c r="H163"/>
  <c r="H208"/>
  <c r="H94"/>
  <c r="H104"/>
  <c r="H114"/>
  <c r="H122"/>
  <c r="H124"/>
  <c r="H127"/>
  <c r="H138"/>
  <c r="H146"/>
  <c r="H199"/>
  <c r="H201"/>
  <c r="H98"/>
  <c r="H100"/>
  <c r="H108"/>
  <c r="H118"/>
  <c r="H143"/>
  <c r="H181"/>
  <c r="H93"/>
  <c r="H103"/>
  <c r="H113"/>
  <c r="H121"/>
  <c r="H165"/>
  <c r="H187"/>
  <c r="H188"/>
  <c r="H227"/>
  <c r="H130"/>
  <c r="H140"/>
  <c r="H150"/>
  <c r="H158"/>
  <c r="H160"/>
  <c r="H168"/>
  <c r="H178"/>
  <c r="H131"/>
  <c r="H141"/>
  <c r="H151"/>
  <c r="H161"/>
  <c r="H169"/>
  <c r="H179"/>
  <c r="H189"/>
  <c r="H126"/>
  <c r="H134"/>
  <c r="H136"/>
  <c r="H144"/>
  <c r="H154"/>
  <c r="H164"/>
  <c r="H174"/>
  <c r="H129"/>
  <c r="H139"/>
  <c r="H149"/>
  <c r="H157"/>
  <c r="H167"/>
  <c r="H177"/>
  <c r="H191"/>
  <c r="H197"/>
  <c r="H205"/>
  <c r="H186"/>
  <c r="H194"/>
  <c r="H196"/>
  <c r="H204"/>
  <c r="H182"/>
  <c r="H184"/>
  <c r="H192"/>
  <c r="H202"/>
  <c r="H226"/>
  <c r="H190"/>
  <c r="H200"/>
  <c r="H185"/>
  <c r="H193"/>
  <c r="H203"/>
  <c r="H215"/>
  <c r="H221"/>
  <c r="H229"/>
  <c r="H213"/>
  <c r="H223"/>
  <c r="H233"/>
  <c r="H241"/>
  <c r="H236"/>
  <c r="H239"/>
  <c r="H214"/>
  <c r="H224"/>
  <c r="H234"/>
  <c r="H242"/>
  <c r="H237"/>
  <c r="H212"/>
  <c r="H222"/>
  <c r="H230"/>
  <c r="H232"/>
  <c r="H240"/>
  <c r="H235"/>
  <c r="H210"/>
  <c r="H218"/>
  <c r="H220"/>
  <c r="H228"/>
  <c r="H238"/>
  <c r="AB54"/>
  <c r="AB17"/>
  <c r="AB24"/>
  <c r="AB53"/>
  <c r="AB8"/>
  <c r="AB60"/>
  <c r="AB161"/>
  <c r="AB61"/>
  <c r="AB6"/>
  <c r="AB7"/>
  <c r="AB41"/>
  <c r="AB42"/>
  <c r="AB48"/>
  <c r="AB50"/>
  <c r="AB11"/>
  <c r="AB23"/>
  <c r="AB33"/>
  <c r="AB20"/>
  <c r="AB34"/>
  <c r="AB9"/>
  <c r="AB16"/>
  <c r="AB52"/>
  <c r="AB58"/>
  <c r="AB84"/>
  <c r="AB139"/>
  <c r="AB149"/>
  <c r="AB10"/>
  <c r="AB43"/>
  <c r="AB44"/>
  <c r="AB121"/>
  <c r="AB14"/>
  <c r="AB19"/>
  <c r="AB31"/>
  <c r="AB32"/>
  <c r="AB38"/>
  <c r="AB71"/>
  <c r="AB4"/>
  <c r="AB12"/>
  <c r="AB49"/>
  <c r="AB59"/>
  <c r="AB109"/>
  <c r="AB115"/>
  <c r="AB21"/>
  <c r="AB88"/>
  <c r="AB120"/>
  <c r="AB179"/>
  <c r="AB5"/>
  <c r="AB13"/>
  <c r="AB22"/>
  <c r="AB30"/>
  <c r="AB40"/>
  <c r="AB29"/>
  <c r="AB37"/>
  <c r="AB47"/>
  <c r="AB57"/>
  <c r="AB74"/>
  <c r="AB79"/>
  <c r="AB25"/>
  <c r="AB35"/>
  <c r="AB45"/>
  <c r="AB55"/>
  <c r="AB73"/>
  <c r="AB80"/>
  <c r="AB91"/>
  <c r="AB96"/>
  <c r="AB129"/>
  <c r="AB131"/>
  <c r="AB68"/>
  <c r="AB83"/>
  <c r="AB86"/>
  <c r="AB18"/>
  <c r="AB26"/>
  <c r="AB28"/>
  <c r="AB36"/>
  <c r="AB46"/>
  <c r="AB56"/>
  <c r="AB65"/>
  <c r="AB66"/>
  <c r="AB76"/>
  <c r="AB78"/>
  <c r="AB69"/>
  <c r="AB70"/>
  <c r="AB105"/>
  <c r="AB81"/>
  <c r="AB95"/>
  <c r="AB119"/>
  <c r="AB169"/>
  <c r="AB201"/>
  <c r="AB110"/>
  <c r="AB92"/>
  <c r="AB106"/>
  <c r="AB116"/>
  <c r="AB157"/>
  <c r="AB62"/>
  <c r="AB64"/>
  <c r="AB72"/>
  <c r="AB82"/>
  <c r="AB93"/>
  <c r="AB101"/>
  <c r="AB102"/>
  <c r="AB112"/>
  <c r="AB142"/>
  <c r="AB151"/>
  <c r="AB166"/>
  <c r="AB177"/>
  <c r="AB215"/>
  <c r="AB67"/>
  <c r="AB77"/>
  <c r="AB85"/>
  <c r="AB103"/>
  <c r="AB113"/>
  <c r="AB202"/>
  <c r="AB90"/>
  <c r="AB98"/>
  <c r="AB100"/>
  <c r="AB108"/>
  <c r="AB118"/>
  <c r="AB128"/>
  <c r="AB141"/>
  <c r="AB148"/>
  <c r="AB156"/>
  <c r="AB162"/>
  <c r="AB170"/>
  <c r="AB176"/>
  <c r="AB187"/>
  <c r="AB94"/>
  <c r="AB104"/>
  <c r="AB114"/>
  <c r="AB122"/>
  <c r="AB124"/>
  <c r="AB125"/>
  <c r="AB167"/>
  <c r="AB212"/>
  <c r="AB89"/>
  <c r="AB97"/>
  <c r="AB107"/>
  <c r="AB117"/>
  <c r="AB132"/>
  <c r="AB138"/>
  <c r="AB146"/>
  <c r="AB152"/>
  <c r="AB172"/>
  <c r="AB180"/>
  <c r="AB211"/>
  <c r="AB126"/>
  <c r="AB134"/>
  <c r="AB136"/>
  <c r="AB144"/>
  <c r="AB154"/>
  <c r="AB164"/>
  <c r="AB174"/>
  <c r="AB181"/>
  <c r="AB182"/>
  <c r="AB203"/>
  <c r="AB127"/>
  <c r="AB137"/>
  <c r="AB145"/>
  <c r="AB155"/>
  <c r="AB165"/>
  <c r="AB175"/>
  <c r="AB184"/>
  <c r="AB191"/>
  <c r="AB192"/>
  <c r="AB197"/>
  <c r="AB130"/>
  <c r="AB140"/>
  <c r="AB150"/>
  <c r="AB158"/>
  <c r="AB160"/>
  <c r="AB168"/>
  <c r="AB178"/>
  <c r="AB185"/>
  <c r="AB193"/>
  <c r="AB205"/>
  <c r="AB133"/>
  <c r="AB143"/>
  <c r="AB153"/>
  <c r="AB163"/>
  <c r="AB173"/>
  <c r="AB221"/>
  <c r="AB222"/>
  <c r="AB225"/>
  <c r="AB229"/>
  <c r="AB230"/>
  <c r="AB190"/>
  <c r="AB200"/>
  <c r="AB213"/>
  <c r="AB188"/>
  <c r="AB198"/>
  <c r="AB186"/>
  <c r="AB194"/>
  <c r="AB196"/>
  <c r="AB204"/>
  <c r="AB223"/>
  <c r="AB189"/>
  <c r="AB199"/>
  <c r="AB209"/>
  <c r="AB217"/>
  <c r="AB227"/>
  <c r="AB237"/>
  <c r="AB232"/>
  <c r="AB240"/>
  <c r="AB235"/>
  <c r="AB210"/>
  <c r="AB218"/>
  <c r="AB220"/>
  <c r="AB228"/>
  <c r="AB238"/>
  <c r="AB233"/>
  <c r="AB241"/>
  <c r="AB206"/>
  <c r="AB208"/>
  <c r="AB216"/>
  <c r="AB226"/>
  <c r="AB236"/>
  <c r="AB239"/>
  <c r="AB214"/>
  <c r="AB224"/>
  <c r="AB234"/>
  <c r="AB242"/>
  <c r="AU7"/>
  <c r="AU12"/>
  <c r="AU17"/>
  <c r="AU32"/>
  <c r="AU54"/>
  <c r="AU60"/>
  <c r="AU71"/>
  <c r="AU21"/>
  <c r="AU22"/>
  <c r="AU23"/>
  <c r="AU34"/>
  <c r="AU52"/>
  <c r="AU112"/>
  <c r="AU16"/>
  <c r="AU25"/>
  <c r="AU35"/>
  <c r="AU4"/>
  <c r="AU14"/>
  <c r="AU170"/>
  <c r="AU11"/>
  <c r="AU50"/>
  <c r="AU49"/>
  <c r="AU8"/>
  <c r="AU42"/>
  <c r="AU44"/>
  <c r="AU55"/>
  <c r="AU143"/>
  <c r="AU9"/>
  <c r="AU18"/>
  <c r="AU45"/>
  <c r="AU72"/>
  <c r="AU5"/>
  <c r="AU31"/>
  <c r="AU41"/>
  <c r="AU69"/>
  <c r="AU13"/>
  <c r="AU85"/>
  <c r="AU6"/>
  <c r="AU10"/>
  <c r="AU24"/>
  <c r="AU33"/>
  <c r="AU43"/>
  <c r="AU53"/>
  <c r="AU70"/>
  <c r="AU93"/>
  <c r="AU117"/>
  <c r="AU20"/>
  <c r="AU30"/>
  <c r="AU38"/>
  <c r="AU40"/>
  <c r="AU48"/>
  <c r="AU58"/>
  <c r="AU61"/>
  <c r="AU62"/>
  <c r="AU66"/>
  <c r="AU67"/>
  <c r="AU82"/>
  <c r="AU113"/>
  <c r="AU129"/>
  <c r="AU152"/>
  <c r="AU177"/>
  <c r="AU26"/>
  <c r="AU28"/>
  <c r="AU36"/>
  <c r="AU46"/>
  <c r="AU56"/>
  <c r="AU64"/>
  <c r="AU76"/>
  <c r="AU77"/>
  <c r="AU116"/>
  <c r="AU122"/>
  <c r="AU188"/>
  <c r="AU81"/>
  <c r="AU88"/>
  <c r="AU94"/>
  <c r="AU163"/>
  <c r="AU19"/>
  <c r="AU29"/>
  <c r="AU37"/>
  <c r="AU47"/>
  <c r="AU57"/>
  <c r="AU59"/>
  <c r="AU74"/>
  <c r="AU107"/>
  <c r="AU79"/>
  <c r="AU103"/>
  <c r="AU106"/>
  <c r="AU167"/>
  <c r="AU185"/>
  <c r="AU80"/>
  <c r="AU84"/>
  <c r="AU96"/>
  <c r="AU97"/>
  <c r="AU102"/>
  <c r="AU168"/>
  <c r="AU184"/>
  <c r="AU92"/>
  <c r="AU132"/>
  <c r="AU104"/>
  <c r="AU114"/>
  <c r="AU172"/>
  <c r="AU65"/>
  <c r="AU73"/>
  <c r="AU83"/>
  <c r="AU89"/>
  <c r="AU124"/>
  <c r="AU125"/>
  <c r="AU149"/>
  <c r="AU160"/>
  <c r="AU182"/>
  <c r="AU193"/>
  <c r="AU68"/>
  <c r="AU78"/>
  <c r="AU86"/>
  <c r="AU110"/>
  <c r="AU120"/>
  <c r="AU121"/>
  <c r="AU157"/>
  <c r="AU162"/>
  <c r="AU91"/>
  <c r="AU101"/>
  <c r="AU109"/>
  <c r="AU119"/>
  <c r="AU130"/>
  <c r="AU142"/>
  <c r="AU150"/>
  <c r="AU158"/>
  <c r="AU178"/>
  <c r="AU95"/>
  <c r="AU105"/>
  <c r="AU115"/>
  <c r="AU133"/>
  <c r="AU139"/>
  <c r="AU153"/>
  <c r="AU173"/>
  <c r="AU192"/>
  <c r="AU203"/>
  <c r="AU90"/>
  <c r="AU98"/>
  <c r="AU100"/>
  <c r="AU108"/>
  <c r="AU118"/>
  <c r="AU126"/>
  <c r="AU140"/>
  <c r="AU202"/>
  <c r="AU127"/>
  <c r="AU137"/>
  <c r="AU145"/>
  <c r="AU155"/>
  <c r="AU165"/>
  <c r="AU175"/>
  <c r="AU180"/>
  <c r="AU196"/>
  <c r="AU204"/>
  <c r="AU226"/>
  <c r="AU128"/>
  <c r="AU138"/>
  <c r="AU146"/>
  <c r="AU148"/>
  <c r="AU156"/>
  <c r="AU166"/>
  <c r="AU176"/>
  <c r="AU198"/>
  <c r="AU206"/>
  <c r="AU131"/>
  <c r="AU141"/>
  <c r="AU151"/>
  <c r="AU161"/>
  <c r="AU169"/>
  <c r="AU179"/>
  <c r="AU186"/>
  <c r="AU194"/>
  <c r="AU213"/>
  <c r="AU134"/>
  <c r="AU136"/>
  <c r="AU144"/>
  <c r="AU154"/>
  <c r="AU164"/>
  <c r="AU174"/>
  <c r="AU208"/>
  <c r="AU212"/>
  <c r="AU216"/>
  <c r="AU181"/>
  <c r="AU191"/>
  <c r="AU201"/>
  <c r="AU214"/>
  <c r="AU189"/>
  <c r="AU199"/>
  <c r="AU222"/>
  <c r="AU223"/>
  <c r="AU230"/>
  <c r="AU187"/>
  <c r="AU197"/>
  <c r="AU224"/>
  <c r="AU190"/>
  <c r="AU200"/>
  <c r="AU210"/>
  <c r="AU218"/>
  <c r="AU220"/>
  <c r="AU228"/>
  <c r="AU238"/>
  <c r="AU233"/>
  <c r="AU241"/>
  <c r="AU236"/>
  <c r="AU211"/>
  <c r="AU221"/>
  <c r="AU229"/>
  <c r="AU239"/>
  <c r="AU234"/>
  <c r="AU242"/>
  <c r="AU209"/>
  <c r="AU217"/>
  <c r="AU227"/>
  <c r="AU237"/>
  <c r="AU232"/>
  <c r="AU240"/>
  <c r="AU205"/>
  <c r="AU215"/>
  <c r="AU225"/>
  <c r="AU235"/>
  <c r="AX16"/>
  <c r="AX13"/>
  <c r="AX22"/>
  <c r="AX23"/>
  <c r="AX169"/>
  <c r="AX24"/>
  <c r="AX60"/>
  <c r="AX88"/>
  <c r="AX133"/>
  <c r="AX5"/>
  <c r="AX26"/>
  <c r="AX103"/>
  <c r="AX89"/>
  <c r="AX18"/>
  <c r="AX42"/>
  <c r="AX43"/>
  <c r="AX45"/>
  <c r="AX46"/>
  <c r="AX64"/>
  <c r="AX78"/>
  <c r="AX8"/>
  <c r="AX52"/>
  <c r="AX53"/>
  <c r="AX55"/>
  <c r="AX56"/>
  <c r="AX73"/>
  <c r="AX82"/>
  <c r="AX113"/>
  <c r="AX9"/>
  <c r="AX12"/>
  <c r="AX17"/>
  <c r="AX104"/>
  <c r="AX32"/>
  <c r="AX33"/>
  <c r="AX35"/>
  <c r="AX36"/>
  <c r="AX85"/>
  <c r="AX6"/>
  <c r="AX62"/>
  <c r="AX4"/>
  <c r="AX11"/>
  <c r="AX14"/>
  <c r="AX61"/>
  <c r="AX65"/>
  <c r="AX118"/>
  <c r="AX7"/>
  <c r="AX25"/>
  <c r="AX28"/>
  <c r="AX34"/>
  <c r="AX44"/>
  <c r="AX50"/>
  <c r="AX54"/>
  <c r="AX68"/>
  <c r="AX72"/>
  <c r="AX94"/>
  <c r="AX136"/>
  <c r="AX21"/>
  <c r="AX31"/>
  <c r="AX41"/>
  <c r="AX49"/>
  <c r="AX77"/>
  <c r="AX80"/>
  <c r="AX114"/>
  <c r="AX117"/>
  <c r="AX194"/>
  <c r="AX19"/>
  <c r="AX29"/>
  <c r="AX37"/>
  <c r="AX47"/>
  <c r="AX57"/>
  <c r="AX83"/>
  <c r="AX86"/>
  <c r="AX158"/>
  <c r="AX173"/>
  <c r="AX160"/>
  <c r="AX161"/>
  <c r="AX10"/>
  <c r="AX20"/>
  <c r="AX30"/>
  <c r="AX38"/>
  <c r="AX40"/>
  <c r="AX48"/>
  <c r="AX58"/>
  <c r="AX67"/>
  <c r="AX71"/>
  <c r="AX124"/>
  <c r="AX144"/>
  <c r="AX70"/>
  <c r="AX98"/>
  <c r="AX81"/>
  <c r="AX93"/>
  <c r="AX95"/>
  <c r="AX107"/>
  <c r="AX108"/>
  <c r="AX143"/>
  <c r="AX150"/>
  <c r="AX178"/>
  <c r="AX199"/>
  <c r="AX105"/>
  <c r="AX115"/>
  <c r="AX130"/>
  <c r="AX186"/>
  <c r="AX189"/>
  <c r="AX193"/>
  <c r="AX223"/>
  <c r="AX227"/>
  <c r="AX66"/>
  <c r="AX74"/>
  <c r="AX76"/>
  <c r="AX84"/>
  <c r="AX90"/>
  <c r="AX100"/>
  <c r="AX121"/>
  <c r="AX140"/>
  <c r="AX164"/>
  <c r="AX168"/>
  <c r="AX204"/>
  <c r="AX59"/>
  <c r="AX69"/>
  <c r="AX79"/>
  <c r="AX97"/>
  <c r="AX122"/>
  <c r="AX153"/>
  <c r="AX185"/>
  <c r="AX92"/>
  <c r="AX102"/>
  <c r="AX110"/>
  <c r="AX112"/>
  <c r="AX120"/>
  <c r="AX131"/>
  <c r="AX151"/>
  <c r="AX179"/>
  <c r="AX96"/>
  <c r="AX106"/>
  <c r="AX116"/>
  <c r="AX125"/>
  <c r="AX126"/>
  <c r="AX134"/>
  <c r="AX154"/>
  <c r="AX174"/>
  <c r="AX196"/>
  <c r="AX91"/>
  <c r="AX101"/>
  <c r="AX109"/>
  <c r="AX119"/>
  <c r="AX127"/>
  <c r="AX141"/>
  <c r="AX163"/>
  <c r="AX128"/>
  <c r="AX138"/>
  <c r="AX146"/>
  <c r="AX148"/>
  <c r="AX156"/>
  <c r="AX166"/>
  <c r="AX176"/>
  <c r="AX197"/>
  <c r="AX129"/>
  <c r="AX139"/>
  <c r="AX149"/>
  <c r="AX157"/>
  <c r="AX167"/>
  <c r="AX177"/>
  <c r="AX214"/>
  <c r="AX132"/>
  <c r="AX142"/>
  <c r="AX152"/>
  <c r="AX162"/>
  <c r="AX170"/>
  <c r="AX172"/>
  <c r="AX187"/>
  <c r="AX137"/>
  <c r="AX145"/>
  <c r="AX155"/>
  <c r="AX165"/>
  <c r="AX175"/>
  <c r="AX203"/>
  <c r="AX205"/>
  <c r="AX182"/>
  <c r="AX184"/>
  <c r="AX192"/>
  <c r="AX202"/>
  <c r="AX215"/>
  <c r="AX180"/>
  <c r="AX190"/>
  <c r="AX200"/>
  <c r="AX209"/>
  <c r="AX217"/>
  <c r="AX224"/>
  <c r="AX188"/>
  <c r="AX198"/>
  <c r="AX225"/>
  <c r="AX181"/>
  <c r="AX191"/>
  <c r="AX201"/>
  <c r="AX213"/>
  <c r="AX211"/>
  <c r="AX221"/>
  <c r="AX229"/>
  <c r="AX239"/>
  <c r="AX234"/>
  <c r="AX242"/>
  <c r="AX237"/>
  <c r="AX212"/>
  <c r="AX222"/>
  <c r="AX230"/>
  <c r="AX232"/>
  <c r="AX240"/>
  <c r="AX235"/>
  <c r="AX210"/>
  <c r="AX218"/>
  <c r="AX220"/>
  <c r="AX228"/>
  <c r="AX238"/>
  <c r="AX233"/>
  <c r="AX241"/>
  <c r="AX206"/>
  <c r="AX208"/>
  <c r="AX216"/>
  <c r="AX226"/>
  <c r="AX236"/>
  <c r="AA28"/>
  <c r="AA25"/>
  <c r="AA19"/>
  <c r="AA74"/>
  <c r="AA138"/>
  <c r="AA189"/>
  <c r="AA6"/>
  <c r="AA12"/>
  <c r="AA16"/>
  <c r="AA70"/>
  <c r="AA37"/>
  <c r="AA57"/>
  <c r="AA8"/>
  <c r="AA14"/>
  <c r="AA30"/>
  <c r="AA31"/>
  <c r="AA46"/>
  <c r="AA49"/>
  <c r="AA182"/>
  <c r="AA66"/>
  <c r="AA100"/>
  <c r="AA11"/>
  <c r="AA56"/>
  <c r="AA59"/>
  <c r="AA156"/>
  <c r="AA4"/>
  <c r="AA5"/>
  <c r="AA41"/>
  <c r="AA47"/>
  <c r="AA118"/>
  <c r="AA126"/>
  <c r="AA10"/>
  <c r="AA36"/>
  <c r="AA40"/>
  <c r="AA9"/>
  <c r="AA17"/>
  <c r="AA38"/>
  <c r="AA48"/>
  <c r="AA58"/>
  <c r="AA7"/>
  <c r="AA18"/>
  <c r="AA20"/>
  <c r="AA21"/>
  <c r="AA26"/>
  <c r="AA29"/>
  <c r="AA35"/>
  <c r="AA45"/>
  <c r="AA55"/>
  <c r="AA76"/>
  <c r="AA81"/>
  <c r="AA129"/>
  <c r="AA24"/>
  <c r="AA34"/>
  <c r="AA44"/>
  <c r="AA54"/>
  <c r="AA61"/>
  <c r="AA103"/>
  <c r="AA143"/>
  <c r="AA148"/>
  <c r="AA154"/>
  <c r="AA22"/>
  <c r="AA32"/>
  <c r="AA42"/>
  <c r="AA50"/>
  <c r="AA52"/>
  <c r="AA88"/>
  <c r="AA139"/>
  <c r="AA67"/>
  <c r="AA71"/>
  <c r="AA110"/>
  <c r="AA113"/>
  <c r="AA176"/>
  <c r="AA13"/>
  <c r="AA23"/>
  <c r="AA33"/>
  <c r="AA43"/>
  <c r="AA53"/>
  <c r="AA60"/>
  <c r="AA68"/>
  <c r="AA83"/>
  <c r="AA174"/>
  <c r="AA65"/>
  <c r="AA73"/>
  <c r="AA80"/>
  <c r="AA91"/>
  <c r="AA77"/>
  <c r="AA84"/>
  <c r="AA85"/>
  <c r="AA120"/>
  <c r="AA121"/>
  <c r="AA146"/>
  <c r="AA78"/>
  <c r="AA86"/>
  <c r="AA108"/>
  <c r="AA210"/>
  <c r="AA89"/>
  <c r="AA96"/>
  <c r="AA97"/>
  <c r="AA128"/>
  <c r="AA149"/>
  <c r="AA164"/>
  <c r="AA69"/>
  <c r="AA79"/>
  <c r="AA92"/>
  <c r="AA106"/>
  <c r="AA107"/>
  <c r="AA116"/>
  <c r="AA117"/>
  <c r="AA157"/>
  <c r="AA62"/>
  <c r="AA64"/>
  <c r="AA72"/>
  <c r="AA82"/>
  <c r="AA90"/>
  <c r="AA93"/>
  <c r="AA98"/>
  <c r="AA102"/>
  <c r="AA112"/>
  <c r="AA134"/>
  <c r="AA177"/>
  <c r="AA95"/>
  <c r="AA105"/>
  <c r="AA115"/>
  <c r="AA163"/>
  <c r="AA188"/>
  <c r="AA206"/>
  <c r="AA218"/>
  <c r="AA101"/>
  <c r="AA109"/>
  <c r="AA119"/>
  <c r="AA136"/>
  <c r="AA144"/>
  <c r="AA166"/>
  <c r="AA200"/>
  <c r="AA94"/>
  <c r="AA104"/>
  <c r="AA114"/>
  <c r="AA122"/>
  <c r="AA124"/>
  <c r="AA125"/>
  <c r="AA133"/>
  <c r="AA153"/>
  <c r="AA167"/>
  <c r="AA173"/>
  <c r="AA131"/>
  <c r="AA141"/>
  <c r="AA151"/>
  <c r="AA161"/>
  <c r="AA169"/>
  <c r="AA179"/>
  <c r="AA202"/>
  <c r="AA132"/>
  <c r="AA142"/>
  <c r="AA152"/>
  <c r="AA162"/>
  <c r="AA170"/>
  <c r="AA172"/>
  <c r="AA180"/>
  <c r="AA190"/>
  <c r="AA127"/>
  <c r="AA137"/>
  <c r="AA145"/>
  <c r="AA155"/>
  <c r="AA165"/>
  <c r="AA175"/>
  <c r="AA184"/>
  <c r="AA192"/>
  <c r="AA227"/>
  <c r="AA130"/>
  <c r="AA140"/>
  <c r="AA150"/>
  <c r="AA158"/>
  <c r="AA160"/>
  <c r="AA168"/>
  <c r="AA178"/>
  <c r="AA198"/>
  <c r="AA199"/>
  <c r="AA220"/>
  <c r="AA226"/>
  <c r="AA228"/>
  <c r="AA187"/>
  <c r="AA197"/>
  <c r="AA212"/>
  <c r="AA185"/>
  <c r="AA193"/>
  <c r="AA203"/>
  <c r="AA181"/>
  <c r="AA191"/>
  <c r="AA201"/>
  <c r="AA222"/>
  <c r="AA230"/>
  <c r="AA186"/>
  <c r="AA194"/>
  <c r="AA196"/>
  <c r="AA204"/>
  <c r="AA208"/>
  <c r="AA209"/>
  <c r="AA216"/>
  <c r="AA217"/>
  <c r="AA214"/>
  <c r="AA224"/>
  <c r="AA234"/>
  <c r="AA242"/>
  <c r="AA237"/>
  <c r="AA232"/>
  <c r="AA240"/>
  <c r="AA205"/>
  <c r="AA215"/>
  <c r="AA225"/>
  <c r="AA235"/>
  <c r="AA238"/>
  <c r="AA213"/>
  <c r="AA223"/>
  <c r="AA233"/>
  <c r="AA241"/>
  <c r="AA236"/>
  <c r="AA211"/>
  <c r="AA221"/>
  <c r="AA229"/>
  <c r="AA239"/>
  <c r="AR19"/>
  <c r="AR116"/>
  <c r="AR11"/>
  <c r="AR44"/>
  <c r="AR40"/>
  <c r="AR20"/>
  <c r="AR74"/>
  <c r="AR30"/>
  <c r="AR22"/>
  <c r="AR110"/>
  <c r="AR81"/>
  <c r="AR109"/>
  <c r="AR50"/>
  <c r="AR33"/>
  <c r="AR71"/>
  <c r="AR151"/>
  <c r="AR13"/>
  <c r="AR24"/>
  <c r="AR34"/>
  <c r="AR68"/>
  <c r="AR9"/>
  <c r="AR38"/>
  <c r="AR58"/>
  <c r="AR61"/>
  <c r="AR17"/>
  <c r="AR16"/>
  <c r="AR96"/>
  <c r="AR6"/>
  <c r="AR10"/>
  <c r="AR48"/>
  <c r="AR49"/>
  <c r="AR53"/>
  <c r="AR7"/>
  <c r="AR8"/>
  <c r="AR14"/>
  <c r="AR43"/>
  <c r="AR54"/>
  <c r="AR66"/>
  <c r="AR4"/>
  <c r="AR21"/>
  <c r="AR12"/>
  <c r="AR31"/>
  <c r="AR41"/>
  <c r="AR129"/>
  <c r="AR157"/>
  <c r="AR5"/>
  <c r="AR23"/>
  <c r="AR32"/>
  <c r="AR42"/>
  <c r="AR52"/>
  <c r="AR73"/>
  <c r="AR29"/>
  <c r="AR37"/>
  <c r="AR47"/>
  <c r="AR57"/>
  <c r="AR59"/>
  <c r="AR60"/>
  <c r="AR70"/>
  <c r="AR79"/>
  <c r="AR139"/>
  <c r="AR211"/>
  <c r="AR25"/>
  <c r="AR35"/>
  <c r="AR45"/>
  <c r="AR55"/>
  <c r="AR65"/>
  <c r="AR69"/>
  <c r="AR80"/>
  <c r="AR112"/>
  <c r="AR119"/>
  <c r="AR95"/>
  <c r="AR102"/>
  <c r="AR105"/>
  <c r="AR18"/>
  <c r="AR26"/>
  <c r="AR28"/>
  <c r="AR36"/>
  <c r="AR46"/>
  <c r="AR56"/>
  <c r="AR92"/>
  <c r="AR78"/>
  <c r="AR86"/>
  <c r="AR83"/>
  <c r="AR106"/>
  <c r="AR120"/>
  <c r="AR121"/>
  <c r="AR142"/>
  <c r="AR177"/>
  <c r="AR179"/>
  <c r="AR202"/>
  <c r="AR76"/>
  <c r="AR84"/>
  <c r="AR93"/>
  <c r="AR101"/>
  <c r="AR115"/>
  <c r="AR161"/>
  <c r="AR166"/>
  <c r="AR221"/>
  <c r="AR225"/>
  <c r="AR91"/>
  <c r="AR103"/>
  <c r="AR113"/>
  <c r="AR131"/>
  <c r="AR169"/>
  <c r="AR212"/>
  <c r="AR230"/>
  <c r="AR62"/>
  <c r="AR64"/>
  <c r="AR72"/>
  <c r="AR82"/>
  <c r="AR88"/>
  <c r="AR67"/>
  <c r="AR77"/>
  <c r="AR85"/>
  <c r="AR149"/>
  <c r="AR201"/>
  <c r="AR90"/>
  <c r="AR98"/>
  <c r="AR100"/>
  <c r="AR108"/>
  <c r="AR118"/>
  <c r="AR125"/>
  <c r="AR128"/>
  <c r="AR141"/>
  <c r="AR148"/>
  <c r="AR156"/>
  <c r="AR162"/>
  <c r="AR170"/>
  <c r="AR176"/>
  <c r="AR205"/>
  <c r="AR215"/>
  <c r="AR229"/>
  <c r="AR94"/>
  <c r="AR104"/>
  <c r="AR114"/>
  <c r="AR122"/>
  <c r="AR124"/>
  <c r="AR167"/>
  <c r="AR187"/>
  <c r="AR89"/>
  <c r="AR97"/>
  <c r="AR107"/>
  <c r="AR117"/>
  <c r="AR132"/>
  <c r="AR138"/>
  <c r="AR146"/>
  <c r="AR152"/>
  <c r="AR172"/>
  <c r="AR222"/>
  <c r="AR126"/>
  <c r="AR134"/>
  <c r="AR136"/>
  <c r="AR144"/>
  <c r="AR154"/>
  <c r="AR164"/>
  <c r="AR174"/>
  <c r="AR181"/>
  <c r="AR182"/>
  <c r="AR203"/>
  <c r="AR127"/>
  <c r="AR137"/>
  <c r="AR145"/>
  <c r="AR155"/>
  <c r="AR165"/>
  <c r="AR175"/>
  <c r="AR184"/>
  <c r="AR191"/>
  <c r="AR192"/>
  <c r="AR197"/>
  <c r="AR130"/>
  <c r="AR140"/>
  <c r="AR150"/>
  <c r="AR158"/>
  <c r="AR160"/>
  <c r="AR168"/>
  <c r="AR178"/>
  <c r="AR185"/>
  <c r="AR193"/>
  <c r="AR133"/>
  <c r="AR143"/>
  <c r="AR153"/>
  <c r="AR163"/>
  <c r="AR173"/>
  <c r="AR180"/>
  <c r="AR190"/>
  <c r="AR200"/>
  <c r="AR213"/>
  <c r="AR188"/>
  <c r="AR198"/>
  <c r="AR186"/>
  <c r="AR194"/>
  <c r="AR196"/>
  <c r="AR204"/>
  <c r="AR223"/>
  <c r="AR189"/>
  <c r="AR199"/>
  <c r="AR209"/>
  <c r="AR217"/>
  <c r="AR227"/>
  <c r="AR237"/>
  <c r="AR232"/>
  <c r="AR240"/>
  <c r="AR235"/>
  <c r="AR210"/>
  <c r="AR218"/>
  <c r="AR220"/>
  <c r="AR228"/>
  <c r="AR238"/>
  <c r="AR233"/>
  <c r="AR241"/>
  <c r="AR206"/>
  <c r="AR208"/>
  <c r="AR216"/>
  <c r="AR226"/>
  <c r="AR236"/>
  <c r="AR239"/>
  <c r="AR214"/>
  <c r="AR224"/>
  <c r="AR234"/>
  <c r="AR242"/>
  <c r="I5"/>
  <c r="I23"/>
  <c r="I49"/>
  <c r="I21"/>
  <c r="I22"/>
  <c r="I78"/>
  <c r="I20"/>
  <c r="I50"/>
  <c r="I68"/>
  <c r="I42"/>
  <c r="I29"/>
  <c r="I30"/>
  <c r="I141"/>
  <c r="I14"/>
  <c r="I10"/>
  <c r="I62"/>
  <c r="I19"/>
  <c r="I12"/>
  <c r="I59"/>
  <c r="I6"/>
  <c r="I7"/>
  <c r="I52"/>
  <c r="I176"/>
  <c r="I8"/>
  <c r="I11"/>
  <c r="I158"/>
  <c r="I16"/>
  <c r="I32"/>
  <c r="I40"/>
  <c r="I80"/>
  <c r="I155"/>
  <c r="I31"/>
  <c r="I41"/>
  <c r="I9"/>
  <c r="I18"/>
  <c r="I37"/>
  <c r="I47"/>
  <c r="I57"/>
  <c r="I60"/>
  <c r="I4"/>
  <c r="I13"/>
  <c r="I33"/>
  <c r="I38"/>
  <c r="I43"/>
  <c r="I48"/>
  <c r="I53"/>
  <c r="I58"/>
  <c r="I100"/>
  <c r="I108"/>
  <c r="I145"/>
  <c r="I26"/>
  <c r="I28"/>
  <c r="I36"/>
  <c r="I46"/>
  <c r="I56"/>
  <c r="I67"/>
  <c r="I69"/>
  <c r="I70"/>
  <c r="I72"/>
  <c r="I79"/>
  <c r="I98"/>
  <c r="I156"/>
  <c r="I24"/>
  <c r="I34"/>
  <c r="I44"/>
  <c r="I54"/>
  <c r="I64"/>
  <c r="I65"/>
  <c r="I112"/>
  <c r="I101"/>
  <c r="I206"/>
  <c r="I17"/>
  <c r="I25"/>
  <c r="I35"/>
  <c r="I45"/>
  <c r="I55"/>
  <c r="I73"/>
  <c r="I86"/>
  <c r="I92"/>
  <c r="I130"/>
  <c r="I138"/>
  <c r="I212"/>
  <c r="I77"/>
  <c r="I85"/>
  <c r="I102"/>
  <c r="I122"/>
  <c r="I127"/>
  <c r="I128"/>
  <c r="I160"/>
  <c r="I181"/>
  <c r="I82"/>
  <c r="I94"/>
  <c r="I118"/>
  <c r="I168"/>
  <c r="I83"/>
  <c r="I178"/>
  <c r="I202"/>
  <c r="I90"/>
  <c r="I104"/>
  <c r="I109"/>
  <c r="I114"/>
  <c r="I119"/>
  <c r="I137"/>
  <c r="I175"/>
  <c r="I182"/>
  <c r="I61"/>
  <c r="I71"/>
  <c r="I81"/>
  <c r="I95"/>
  <c r="I110"/>
  <c r="I120"/>
  <c r="I124"/>
  <c r="I146"/>
  <c r="I66"/>
  <c r="I74"/>
  <c r="I76"/>
  <c r="I84"/>
  <c r="I91"/>
  <c r="I105"/>
  <c r="I115"/>
  <c r="I148"/>
  <c r="I150"/>
  <c r="I89"/>
  <c r="I97"/>
  <c r="I107"/>
  <c r="I117"/>
  <c r="I140"/>
  <c r="I161"/>
  <c r="I169"/>
  <c r="I224"/>
  <c r="I93"/>
  <c r="I103"/>
  <c r="I113"/>
  <c r="I121"/>
  <c r="I165"/>
  <c r="I186"/>
  <c r="I214"/>
  <c r="I88"/>
  <c r="I96"/>
  <c r="I106"/>
  <c r="I116"/>
  <c r="I131"/>
  <c r="I151"/>
  <c r="I166"/>
  <c r="I179"/>
  <c r="I194"/>
  <c r="I125"/>
  <c r="I133"/>
  <c r="I143"/>
  <c r="I153"/>
  <c r="I163"/>
  <c r="I173"/>
  <c r="I200"/>
  <c r="I201"/>
  <c r="I126"/>
  <c r="I134"/>
  <c r="I136"/>
  <c r="I144"/>
  <c r="I154"/>
  <c r="I164"/>
  <c r="I174"/>
  <c r="I196"/>
  <c r="I204"/>
  <c r="I129"/>
  <c r="I139"/>
  <c r="I149"/>
  <c r="I157"/>
  <c r="I167"/>
  <c r="I177"/>
  <c r="I190"/>
  <c r="I191"/>
  <c r="I132"/>
  <c r="I142"/>
  <c r="I152"/>
  <c r="I162"/>
  <c r="I170"/>
  <c r="I172"/>
  <c r="I180"/>
  <c r="I184"/>
  <c r="I192"/>
  <c r="I189"/>
  <c r="I199"/>
  <c r="I210"/>
  <c r="I211"/>
  <c r="I218"/>
  <c r="I187"/>
  <c r="I197"/>
  <c r="I205"/>
  <c r="I185"/>
  <c r="I193"/>
  <c r="I203"/>
  <c r="I220"/>
  <c r="I221"/>
  <c r="I228"/>
  <c r="I229"/>
  <c r="I188"/>
  <c r="I198"/>
  <c r="I222"/>
  <c r="I230"/>
  <c r="I208"/>
  <c r="I216"/>
  <c r="I226"/>
  <c r="I236"/>
  <c r="I239"/>
  <c r="I234"/>
  <c r="I242"/>
  <c r="I209"/>
  <c r="I217"/>
  <c r="I227"/>
  <c r="I237"/>
  <c r="I232"/>
  <c r="I240"/>
  <c r="I215"/>
  <c r="I225"/>
  <c r="I235"/>
  <c r="I238"/>
  <c r="I213"/>
  <c r="I223"/>
  <c r="I233"/>
  <c r="I241"/>
  <c r="AP18"/>
  <c r="AP33"/>
  <c r="AP24"/>
  <c r="AP5"/>
  <c r="AP13"/>
  <c r="AP43"/>
  <c r="AP115"/>
  <c r="AP12"/>
  <c r="AP23"/>
  <c r="AP32"/>
  <c r="AP36"/>
  <c r="AP8"/>
  <c r="AP9"/>
  <c r="AP14"/>
  <c r="AP11"/>
  <c r="AP68"/>
  <c r="AP153"/>
  <c r="AP52"/>
  <c r="AP56"/>
  <c r="AP42"/>
  <c r="AP46"/>
  <c r="AP53"/>
  <c r="AP90"/>
  <c r="AP140"/>
  <c r="AP6"/>
  <c r="AP16"/>
  <c r="AP25"/>
  <c r="AP28"/>
  <c r="AP34"/>
  <c r="AP44"/>
  <c r="AP50"/>
  <c r="AP54"/>
  <c r="AP121"/>
  <c r="AP4"/>
  <c r="AP22"/>
  <c r="AP26"/>
  <c r="AP35"/>
  <c r="AP45"/>
  <c r="AP55"/>
  <c r="AP64"/>
  <c r="AP83"/>
  <c r="AP7"/>
  <c r="AP17"/>
  <c r="AP62"/>
  <c r="AP85"/>
  <c r="AP173"/>
  <c r="AP21"/>
  <c r="AP31"/>
  <c r="AP41"/>
  <c r="AP49"/>
  <c r="AP130"/>
  <c r="AP19"/>
  <c r="AP29"/>
  <c r="AP37"/>
  <c r="AP47"/>
  <c r="AP57"/>
  <c r="AP60"/>
  <c r="AP70"/>
  <c r="AP71"/>
  <c r="AP82"/>
  <c r="AP125"/>
  <c r="AP199"/>
  <c r="AP65"/>
  <c r="AP77"/>
  <c r="AP104"/>
  <c r="AP122"/>
  <c r="AP10"/>
  <c r="AP20"/>
  <c r="AP30"/>
  <c r="AP38"/>
  <c r="AP40"/>
  <c r="AP48"/>
  <c r="AP58"/>
  <c r="AP61"/>
  <c r="AP72"/>
  <c r="AP88"/>
  <c r="AP95"/>
  <c r="AP161"/>
  <c r="AP163"/>
  <c r="AP164"/>
  <c r="AP67"/>
  <c r="AP81"/>
  <c r="AP150"/>
  <c r="AP78"/>
  <c r="AP86"/>
  <c r="AP89"/>
  <c r="AP105"/>
  <c r="AP196"/>
  <c r="AP203"/>
  <c r="AP224"/>
  <c r="AP73"/>
  <c r="AP80"/>
  <c r="AP97"/>
  <c r="AP100"/>
  <c r="AP114"/>
  <c r="AP124"/>
  <c r="AP107"/>
  <c r="AP117"/>
  <c r="AP133"/>
  <c r="AP141"/>
  <c r="AP158"/>
  <c r="AP66"/>
  <c r="AP74"/>
  <c r="AP76"/>
  <c r="AP84"/>
  <c r="AP93"/>
  <c r="AP98"/>
  <c r="AP126"/>
  <c r="AP127"/>
  <c r="AP143"/>
  <c r="AP169"/>
  <c r="AP178"/>
  <c r="AP186"/>
  <c r="AP217"/>
  <c r="AP59"/>
  <c r="AP69"/>
  <c r="AP79"/>
  <c r="AP94"/>
  <c r="AP103"/>
  <c r="AP108"/>
  <c r="AP113"/>
  <c r="AP118"/>
  <c r="AP204"/>
  <c r="AP92"/>
  <c r="AP102"/>
  <c r="AP110"/>
  <c r="AP112"/>
  <c r="AP120"/>
  <c r="AP134"/>
  <c r="AP154"/>
  <c r="AP174"/>
  <c r="AP213"/>
  <c r="AP96"/>
  <c r="AP106"/>
  <c r="AP116"/>
  <c r="AP131"/>
  <c r="AP151"/>
  <c r="AP179"/>
  <c r="AP189"/>
  <c r="AP194"/>
  <c r="AP209"/>
  <c r="AP91"/>
  <c r="AP101"/>
  <c r="AP109"/>
  <c r="AP119"/>
  <c r="AP136"/>
  <c r="AP144"/>
  <c r="AP160"/>
  <c r="AP168"/>
  <c r="AP128"/>
  <c r="AP138"/>
  <c r="AP146"/>
  <c r="AP148"/>
  <c r="AP156"/>
  <c r="AP166"/>
  <c r="AP176"/>
  <c r="AP187"/>
  <c r="AP129"/>
  <c r="AP139"/>
  <c r="AP149"/>
  <c r="AP157"/>
  <c r="AP167"/>
  <c r="AP177"/>
  <c r="AP132"/>
  <c r="AP142"/>
  <c r="AP152"/>
  <c r="AP162"/>
  <c r="AP170"/>
  <c r="AP172"/>
  <c r="AP180"/>
  <c r="AP197"/>
  <c r="AP137"/>
  <c r="AP145"/>
  <c r="AP155"/>
  <c r="AP165"/>
  <c r="AP175"/>
  <c r="AP185"/>
  <c r="AP193"/>
  <c r="AP182"/>
  <c r="AP184"/>
  <c r="AP192"/>
  <c r="AP202"/>
  <c r="AP205"/>
  <c r="AP225"/>
  <c r="AP190"/>
  <c r="AP200"/>
  <c r="AP214"/>
  <c r="AP227"/>
  <c r="AP188"/>
  <c r="AP198"/>
  <c r="AP215"/>
  <c r="AP181"/>
  <c r="AP191"/>
  <c r="AP201"/>
  <c r="AP223"/>
  <c r="AP211"/>
  <c r="AP221"/>
  <c r="AP229"/>
  <c r="AP239"/>
  <c r="AP234"/>
  <c r="AP242"/>
  <c r="AP237"/>
  <c r="AP212"/>
  <c r="AP222"/>
  <c r="AP230"/>
  <c r="AP232"/>
  <c r="AP240"/>
  <c r="AP235"/>
  <c r="AP210"/>
  <c r="AP218"/>
  <c r="AP220"/>
  <c r="AP228"/>
  <c r="AP238"/>
  <c r="AP233"/>
  <c r="AP241"/>
  <c r="AP206"/>
  <c r="AP208"/>
  <c r="AP216"/>
  <c r="AP226"/>
  <c r="AP236"/>
  <c r="Z8"/>
  <c r="Z36"/>
  <c r="Z98"/>
  <c r="Z32"/>
  <c r="Z35"/>
  <c r="Z14"/>
  <c r="Z9"/>
  <c r="Z78"/>
  <c r="Z77"/>
  <c r="Z81"/>
  <c r="Z55"/>
  <c r="Z56"/>
  <c r="Z13"/>
  <c r="Z26"/>
  <c r="Z72"/>
  <c r="Z22"/>
  <c r="Z186"/>
  <c r="Z209"/>
  <c r="Z11"/>
  <c r="Z23"/>
  <c r="Z52"/>
  <c r="Z95"/>
  <c r="Z17"/>
  <c r="Z141"/>
  <c r="Z16"/>
  <c r="Z42"/>
  <c r="Z45"/>
  <c r="Z46"/>
  <c r="Z61"/>
  <c r="Z64"/>
  <c r="Z5"/>
  <c r="Z65"/>
  <c r="Z6"/>
  <c r="Z24"/>
  <c r="Z33"/>
  <c r="Z43"/>
  <c r="Z53"/>
  <c r="Z73"/>
  <c r="Z114"/>
  <c r="Z163"/>
  <c r="Z4"/>
  <c r="Z12"/>
  <c r="Z25"/>
  <c r="Z28"/>
  <c r="Z34"/>
  <c r="Z44"/>
  <c r="Z50"/>
  <c r="Z54"/>
  <c r="Z60"/>
  <c r="Z105"/>
  <c r="Z124"/>
  <c r="Z7"/>
  <c r="Z18"/>
  <c r="Z68"/>
  <c r="Z80"/>
  <c r="Z21"/>
  <c r="Z31"/>
  <c r="Z41"/>
  <c r="Z49"/>
  <c r="Z59"/>
  <c r="Z93"/>
  <c r="Z19"/>
  <c r="Z29"/>
  <c r="Z37"/>
  <c r="Z47"/>
  <c r="Z57"/>
  <c r="Z85"/>
  <c r="Z108"/>
  <c r="Z213"/>
  <c r="Z70"/>
  <c r="Z10"/>
  <c r="Z20"/>
  <c r="Z30"/>
  <c r="Z38"/>
  <c r="Z40"/>
  <c r="Z48"/>
  <c r="Z58"/>
  <c r="Z67"/>
  <c r="Z71"/>
  <c r="Z86"/>
  <c r="Z90"/>
  <c r="Z113"/>
  <c r="Z158"/>
  <c r="Z169"/>
  <c r="Z217"/>
  <c r="Z62"/>
  <c r="Z83"/>
  <c r="Z88"/>
  <c r="Z103"/>
  <c r="Z104"/>
  <c r="Z161"/>
  <c r="Z94"/>
  <c r="Z118"/>
  <c r="Z143"/>
  <c r="Z150"/>
  <c r="Z178"/>
  <c r="Z82"/>
  <c r="Z115"/>
  <c r="Z125"/>
  <c r="Z133"/>
  <c r="Z203"/>
  <c r="Z204"/>
  <c r="Z100"/>
  <c r="Z121"/>
  <c r="Z126"/>
  <c r="Z130"/>
  <c r="Z140"/>
  <c r="Z196"/>
  <c r="Z66"/>
  <c r="Z74"/>
  <c r="Z76"/>
  <c r="Z84"/>
  <c r="Z89"/>
  <c r="Z97"/>
  <c r="Z122"/>
  <c r="Z153"/>
  <c r="Z164"/>
  <c r="Z199"/>
  <c r="Z69"/>
  <c r="Z79"/>
  <c r="Z107"/>
  <c r="Z117"/>
  <c r="Z173"/>
  <c r="Z92"/>
  <c r="Z102"/>
  <c r="Z110"/>
  <c r="Z112"/>
  <c r="Z120"/>
  <c r="Z134"/>
  <c r="Z154"/>
  <c r="Z174"/>
  <c r="Z189"/>
  <c r="Z194"/>
  <c r="Z96"/>
  <c r="Z106"/>
  <c r="Z116"/>
  <c r="Z127"/>
  <c r="Z131"/>
  <c r="Z151"/>
  <c r="Z179"/>
  <c r="Z91"/>
  <c r="Z101"/>
  <c r="Z109"/>
  <c r="Z119"/>
  <c r="Z136"/>
  <c r="Z144"/>
  <c r="Z160"/>
  <c r="Z168"/>
  <c r="Z128"/>
  <c r="Z138"/>
  <c r="Z146"/>
  <c r="Z148"/>
  <c r="Z156"/>
  <c r="Z166"/>
  <c r="Z176"/>
  <c r="Z187"/>
  <c r="Z129"/>
  <c r="Z139"/>
  <c r="Z149"/>
  <c r="Z157"/>
  <c r="Z167"/>
  <c r="Z177"/>
  <c r="Z132"/>
  <c r="Z142"/>
  <c r="Z152"/>
  <c r="Z162"/>
  <c r="Z170"/>
  <c r="Z172"/>
  <c r="Z180"/>
  <c r="Z197"/>
  <c r="Z137"/>
  <c r="Z145"/>
  <c r="Z155"/>
  <c r="Z165"/>
  <c r="Z175"/>
  <c r="Z185"/>
  <c r="Z193"/>
  <c r="Z224"/>
  <c r="Z182"/>
  <c r="Z184"/>
  <c r="Z192"/>
  <c r="Z202"/>
  <c r="Z225"/>
  <c r="Z190"/>
  <c r="Z200"/>
  <c r="Z205"/>
  <c r="Z214"/>
  <c r="Z227"/>
  <c r="Z188"/>
  <c r="Z198"/>
  <c r="Z215"/>
  <c r="Z181"/>
  <c r="Z191"/>
  <c r="Z201"/>
  <c r="Z223"/>
  <c r="Z211"/>
  <c r="Z221"/>
  <c r="Z229"/>
  <c r="Z239"/>
  <c r="Z234"/>
  <c r="Z242"/>
  <c r="Z237"/>
  <c r="Z212"/>
  <c r="Z222"/>
  <c r="Z230"/>
  <c r="Z232"/>
  <c r="Z240"/>
  <c r="Z235"/>
  <c r="Z210"/>
  <c r="Z218"/>
  <c r="Z220"/>
  <c r="Z228"/>
  <c r="Z238"/>
  <c r="Z233"/>
  <c r="Z241"/>
  <c r="Z206"/>
  <c r="Z208"/>
  <c r="Z216"/>
  <c r="Z226"/>
  <c r="Z236"/>
  <c r="AY80"/>
  <c r="AY8"/>
  <c r="AY12"/>
  <c r="AY58"/>
  <c r="AY56"/>
  <c r="AY60"/>
  <c r="AY112"/>
  <c r="AY21"/>
  <c r="AY14"/>
  <c r="AY55"/>
  <c r="AY74"/>
  <c r="AY6"/>
  <c r="AY29"/>
  <c r="AY30"/>
  <c r="AY65"/>
  <c r="AY41"/>
  <c r="AY18"/>
  <c r="AY19"/>
  <c r="AY45"/>
  <c r="AY46"/>
  <c r="AY48"/>
  <c r="AY66"/>
  <c r="AY35"/>
  <c r="AY36"/>
  <c r="AY38"/>
  <c r="AY40"/>
  <c r="AY4"/>
  <c r="AY5"/>
  <c r="AY11"/>
  <c r="AY26"/>
  <c r="AY31"/>
  <c r="AY61"/>
  <c r="AY81"/>
  <c r="AY9"/>
  <c r="AY10"/>
  <c r="AY16"/>
  <c r="AY37"/>
  <c r="AY47"/>
  <c r="AY57"/>
  <c r="AY120"/>
  <c r="AY7"/>
  <c r="AY25"/>
  <c r="AY28"/>
  <c r="AY49"/>
  <c r="AY86"/>
  <c r="AY190"/>
  <c r="AY17"/>
  <c r="AY20"/>
  <c r="AY91"/>
  <c r="AY24"/>
  <c r="AY34"/>
  <c r="AY44"/>
  <c r="AY54"/>
  <c r="AY89"/>
  <c r="AY22"/>
  <c r="AY32"/>
  <c r="AY42"/>
  <c r="AY50"/>
  <c r="AY52"/>
  <c r="AY78"/>
  <c r="AY88"/>
  <c r="AY93"/>
  <c r="AY102"/>
  <c r="AY103"/>
  <c r="AY167"/>
  <c r="AY67"/>
  <c r="AY70"/>
  <c r="AY71"/>
  <c r="AY108"/>
  <c r="AY146"/>
  <c r="AY13"/>
  <c r="AY23"/>
  <c r="AY33"/>
  <c r="AY43"/>
  <c r="AY53"/>
  <c r="AY68"/>
  <c r="AY73"/>
  <c r="AY98"/>
  <c r="AY126"/>
  <c r="AY134"/>
  <c r="AY143"/>
  <c r="AY76"/>
  <c r="AY77"/>
  <c r="AY84"/>
  <c r="AY85"/>
  <c r="AY118"/>
  <c r="AY133"/>
  <c r="AY139"/>
  <c r="AY113"/>
  <c r="AY129"/>
  <c r="AY83"/>
  <c r="AY110"/>
  <c r="AY154"/>
  <c r="AY90"/>
  <c r="AY100"/>
  <c r="AY121"/>
  <c r="AY125"/>
  <c r="AY138"/>
  <c r="AY149"/>
  <c r="AY164"/>
  <c r="AY174"/>
  <c r="AY59"/>
  <c r="AY69"/>
  <c r="AY79"/>
  <c r="AY96"/>
  <c r="AY97"/>
  <c r="AY153"/>
  <c r="AY157"/>
  <c r="AY220"/>
  <c r="AY62"/>
  <c r="AY64"/>
  <c r="AY72"/>
  <c r="AY82"/>
  <c r="AY92"/>
  <c r="AY106"/>
  <c r="AY107"/>
  <c r="AY116"/>
  <c r="AY117"/>
  <c r="AY173"/>
  <c r="AY177"/>
  <c r="AY95"/>
  <c r="AY105"/>
  <c r="AY115"/>
  <c r="AY136"/>
  <c r="AY144"/>
  <c r="AY166"/>
  <c r="AY228"/>
  <c r="AY101"/>
  <c r="AY109"/>
  <c r="AY119"/>
  <c r="AY163"/>
  <c r="AY94"/>
  <c r="AY104"/>
  <c r="AY114"/>
  <c r="AY122"/>
  <c r="AY124"/>
  <c r="AY128"/>
  <c r="AY148"/>
  <c r="AY156"/>
  <c r="AY176"/>
  <c r="AY198"/>
  <c r="AY199"/>
  <c r="AY131"/>
  <c r="AY141"/>
  <c r="AY151"/>
  <c r="AY161"/>
  <c r="AY169"/>
  <c r="AY179"/>
  <c r="AY184"/>
  <c r="AY192"/>
  <c r="AY132"/>
  <c r="AY142"/>
  <c r="AY152"/>
  <c r="AY162"/>
  <c r="AY170"/>
  <c r="AY172"/>
  <c r="AY200"/>
  <c r="AY127"/>
  <c r="AY137"/>
  <c r="AY145"/>
  <c r="AY155"/>
  <c r="AY165"/>
  <c r="AY175"/>
  <c r="AY202"/>
  <c r="AY208"/>
  <c r="AY209"/>
  <c r="AY210"/>
  <c r="AY216"/>
  <c r="AY217"/>
  <c r="AY218"/>
  <c r="AY130"/>
  <c r="AY140"/>
  <c r="AY150"/>
  <c r="AY158"/>
  <c r="AY160"/>
  <c r="AY168"/>
  <c r="AY178"/>
  <c r="AY180"/>
  <c r="AY182"/>
  <c r="AY188"/>
  <c r="AY189"/>
  <c r="AY187"/>
  <c r="AY197"/>
  <c r="AY222"/>
  <c r="AY230"/>
  <c r="AY185"/>
  <c r="AY193"/>
  <c r="AY203"/>
  <c r="AY181"/>
  <c r="AY191"/>
  <c r="AY201"/>
  <c r="AY206"/>
  <c r="AY212"/>
  <c r="AY186"/>
  <c r="AY194"/>
  <c r="AY196"/>
  <c r="AY204"/>
  <c r="AY226"/>
  <c r="AY227"/>
  <c r="AY214"/>
  <c r="AY224"/>
  <c r="AY234"/>
  <c r="AY242"/>
  <c r="AY237"/>
  <c r="AY232"/>
  <c r="AY240"/>
  <c r="AY205"/>
  <c r="AY215"/>
  <c r="AY225"/>
  <c r="AY235"/>
  <c r="AY238"/>
  <c r="AY213"/>
  <c r="AY223"/>
  <c r="AY233"/>
  <c r="AY241"/>
  <c r="AY236"/>
  <c r="AY211"/>
  <c r="AY221"/>
  <c r="AY229"/>
  <c r="AY239"/>
  <c r="N32"/>
  <c r="N57"/>
  <c r="N41"/>
  <c r="N18"/>
  <c r="N31"/>
  <c r="N62"/>
  <c r="N42"/>
  <c r="N56"/>
  <c r="N6"/>
  <c r="N47"/>
  <c r="N79"/>
  <c r="N118"/>
  <c r="N7"/>
  <c r="N52"/>
  <c r="N78"/>
  <c r="N12"/>
  <c r="N37"/>
  <c r="N59"/>
  <c r="N109"/>
  <c r="N13"/>
  <c r="N28"/>
  <c r="N46"/>
  <c r="N49"/>
  <c r="N9"/>
  <c r="N36"/>
  <c r="N40"/>
  <c r="N4"/>
  <c r="N22"/>
  <c r="N30"/>
  <c r="N5"/>
  <c r="N10"/>
  <c r="N19"/>
  <c r="N38"/>
  <c r="N48"/>
  <c r="N58"/>
  <c r="N66"/>
  <c r="N91"/>
  <c r="N8"/>
  <c r="N11"/>
  <c r="N20"/>
  <c r="N50"/>
  <c r="N61"/>
  <c r="N114"/>
  <c r="N17"/>
  <c r="N21"/>
  <c r="N26"/>
  <c r="N29"/>
  <c r="N67"/>
  <c r="N103"/>
  <c r="N124"/>
  <c r="N175"/>
  <c r="N25"/>
  <c r="N35"/>
  <c r="N45"/>
  <c r="N55"/>
  <c r="N74"/>
  <c r="N82"/>
  <c r="N155"/>
  <c r="N23"/>
  <c r="N33"/>
  <c r="N43"/>
  <c r="N53"/>
  <c r="N86"/>
  <c r="N119"/>
  <c r="N121"/>
  <c r="N126"/>
  <c r="N140"/>
  <c r="N144"/>
  <c r="N201"/>
  <c r="N71"/>
  <c r="N81"/>
  <c r="N94"/>
  <c r="N14"/>
  <c r="N16"/>
  <c r="N24"/>
  <c r="N34"/>
  <c r="N44"/>
  <c r="N54"/>
  <c r="N68"/>
  <c r="N69"/>
  <c r="N76"/>
  <c r="N84"/>
  <c r="N64"/>
  <c r="N72"/>
  <c r="N100"/>
  <c r="N113"/>
  <c r="N90"/>
  <c r="N108"/>
  <c r="N190"/>
  <c r="N77"/>
  <c r="N85"/>
  <c r="N104"/>
  <c r="N130"/>
  <c r="N150"/>
  <c r="N60"/>
  <c r="N70"/>
  <c r="N80"/>
  <c r="N97"/>
  <c r="N101"/>
  <c r="N122"/>
  <c r="N125"/>
  <c r="N158"/>
  <c r="N165"/>
  <c r="N167"/>
  <c r="N65"/>
  <c r="N73"/>
  <c r="N83"/>
  <c r="N89"/>
  <c r="N93"/>
  <c r="N98"/>
  <c r="N107"/>
  <c r="N117"/>
  <c r="N136"/>
  <c r="N178"/>
  <c r="N181"/>
  <c r="N88"/>
  <c r="N96"/>
  <c r="N106"/>
  <c r="N116"/>
  <c r="N129"/>
  <c r="N149"/>
  <c r="N157"/>
  <c r="N164"/>
  <c r="N177"/>
  <c r="N92"/>
  <c r="N102"/>
  <c r="N110"/>
  <c r="N112"/>
  <c r="N120"/>
  <c r="N127"/>
  <c r="N137"/>
  <c r="N145"/>
  <c r="N160"/>
  <c r="N168"/>
  <c r="N191"/>
  <c r="N95"/>
  <c r="N105"/>
  <c r="N115"/>
  <c r="N134"/>
  <c r="N139"/>
  <c r="N154"/>
  <c r="N174"/>
  <c r="N203"/>
  <c r="N132"/>
  <c r="N142"/>
  <c r="N152"/>
  <c r="N162"/>
  <c r="N170"/>
  <c r="N172"/>
  <c r="N180"/>
  <c r="N189"/>
  <c r="N220"/>
  <c r="N223"/>
  <c r="N228"/>
  <c r="N133"/>
  <c r="N143"/>
  <c r="N153"/>
  <c r="N163"/>
  <c r="N173"/>
  <c r="N185"/>
  <c r="N193"/>
  <c r="N128"/>
  <c r="N138"/>
  <c r="N146"/>
  <c r="N148"/>
  <c r="N156"/>
  <c r="N166"/>
  <c r="N176"/>
  <c r="N199"/>
  <c r="N131"/>
  <c r="N141"/>
  <c r="N151"/>
  <c r="N161"/>
  <c r="N169"/>
  <c r="N179"/>
  <c r="N200"/>
  <c r="N211"/>
  <c r="N213"/>
  <c r="N188"/>
  <c r="N198"/>
  <c r="N227"/>
  <c r="N186"/>
  <c r="N194"/>
  <c r="N196"/>
  <c r="N204"/>
  <c r="N221"/>
  <c r="N229"/>
  <c r="N182"/>
  <c r="N184"/>
  <c r="N192"/>
  <c r="N202"/>
  <c r="N209"/>
  <c r="N217"/>
  <c r="N187"/>
  <c r="N197"/>
  <c r="N205"/>
  <c r="N210"/>
  <c r="N218"/>
  <c r="N215"/>
  <c r="N225"/>
  <c r="N235"/>
  <c r="N238"/>
  <c r="N233"/>
  <c r="N241"/>
  <c r="N206"/>
  <c r="N208"/>
  <c r="N216"/>
  <c r="N226"/>
  <c r="N236"/>
  <c r="N239"/>
  <c r="N214"/>
  <c r="N224"/>
  <c r="N234"/>
  <c r="N242"/>
  <c r="N237"/>
  <c r="N212"/>
  <c r="N222"/>
  <c r="N230"/>
  <c r="N232"/>
  <c r="N240"/>
  <c r="AV30"/>
  <c r="AV137"/>
  <c r="AV76"/>
  <c r="AV29"/>
  <c r="AV4"/>
  <c r="AV40"/>
  <c r="AV55"/>
  <c r="AV79"/>
  <c r="AV25"/>
  <c r="AV26"/>
  <c r="AV35"/>
  <c r="AV66"/>
  <c r="AV20"/>
  <c r="AV80"/>
  <c r="AV198"/>
  <c r="AV5"/>
  <c r="AV11"/>
  <c r="AV102"/>
  <c r="AV28"/>
  <c r="AV44"/>
  <c r="AV116"/>
  <c r="AV127"/>
  <c r="AV7"/>
  <c r="AV14"/>
  <c r="AV54"/>
  <c r="AV59"/>
  <c r="AV13"/>
  <c r="AV19"/>
  <c r="AV45"/>
  <c r="AV175"/>
  <c r="AV17"/>
  <c r="AV34"/>
  <c r="AV77"/>
  <c r="AV8"/>
  <c r="AV18"/>
  <c r="AV36"/>
  <c r="AV46"/>
  <c r="AV56"/>
  <c r="AV60"/>
  <c r="AV64"/>
  <c r="AV67"/>
  <c r="AV172"/>
  <c r="AV6"/>
  <c r="AV10"/>
  <c r="AV24"/>
  <c r="AV37"/>
  <c r="AV47"/>
  <c r="AV57"/>
  <c r="AV70"/>
  <c r="AV73"/>
  <c r="AV152"/>
  <c r="AV155"/>
  <c r="AV166"/>
  <c r="AV181"/>
  <c r="AV9"/>
  <c r="AV16"/>
  <c r="AV38"/>
  <c r="AV48"/>
  <c r="AV58"/>
  <c r="AV23"/>
  <c r="AV33"/>
  <c r="AV43"/>
  <c r="AV53"/>
  <c r="AV65"/>
  <c r="AV85"/>
  <c r="AV21"/>
  <c r="AV31"/>
  <c r="AV41"/>
  <c r="AV49"/>
  <c r="AV72"/>
  <c r="AV74"/>
  <c r="AV91"/>
  <c r="AV92"/>
  <c r="AV106"/>
  <c r="AV107"/>
  <c r="AV156"/>
  <c r="AV12"/>
  <c r="AV22"/>
  <c r="AV32"/>
  <c r="AV42"/>
  <c r="AV50"/>
  <c r="AV52"/>
  <c r="AV84"/>
  <c r="AV97"/>
  <c r="AV191"/>
  <c r="AV62"/>
  <c r="AV69"/>
  <c r="AV83"/>
  <c r="AV148"/>
  <c r="AV153"/>
  <c r="AV90"/>
  <c r="AV101"/>
  <c r="AV117"/>
  <c r="AV133"/>
  <c r="AV163"/>
  <c r="AV165"/>
  <c r="AV82"/>
  <c r="AV88"/>
  <c r="AV112"/>
  <c r="AV173"/>
  <c r="AV188"/>
  <c r="AV89"/>
  <c r="AV109"/>
  <c r="AV119"/>
  <c r="AV176"/>
  <c r="AV68"/>
  <c r="AV78"/>
  <c r="AV86"/>
  <c r="AV95"/>
  <c r="AV110"/>
  <c r="AV120"/>
  <c r="AV145"/>
  <c r="AV180"/>
  <c r="AV189"/>
  <c r="AV197"/>
  <c r="AV61"/>
  <c r="AV71"/>
  <c r="AV81"/>
  <c r="AV96"/>
  <c r="AV105"/>
  <c r="AV115"/>
  <c r="AV128"/>
  <c r="AV132"/>
  <c r="AV142"/>
  <c r="AV94"/>
  <c r="AV104"/>
  <c r="AV114"/>
  <c r="AV122"/>
  <c r="AV124"/>
  <c r="AV143"/>
  <c r="AV226"/>
  <c r="AV227"/>
  <c r="AV98"/>
  <c r="AV100"/>
  <c r="AV108"/>
  <c r="AV118"/>
  <c r="AV138"/>
  <c r="AV146"/>
  <c r="AV93"/>
  <c r="AV103"/>
  <c r="AV113"/>
  <c r="AV121"/>
  <c r="AV125"/>
  <c r="AV162"/>
  <c r="AV170"/>
  <c r="AV206"/>
  <c r="AV130"/>
  <c r="AV140"/>
  <c r="AV150"/>
  <c r="AV158"/>
  <c r="AV160"/>
  <c r="AV168"/>
  <c r="AV178"/>
  <c r="AV221"/>
  <c r="AV229"/>
  <c r="AV131"/>
  <c r="AV141"/>
  <c r="AV151"/>
  <c r="AV161"/>
  <c r="AV169"/>
  <c r="AV179"/>
  <c r="AV199"/>
  <c r="AV126"/>
  <c r="AV134"/>
  <c r="AV136"/>
  <c r="AV144"/>
  <c r="AV154"/>
  <c r="AV164"/>
  <c r="AV174"/>
  <c r="AV129"/>
  <c r="AV139"/>
  <c r="AV149"/>
  <c r="AV157"/>
  <c r="AV167"/>
  <c r="AV177"/>
  <c r="AV187"/>
  <c r="AV201"/>
  <c r="AV209"/>
  <c r="AV215"/>
  <c r="AV217"/>
  <c r="AV186"/>
  <c r="AV194"/>
  <c r="AV196"/>
  <c r="AV204"/>
  <c r="AV182"/>
  <c r="AV184"/>
  <c r="AV192"/>
  <c r="AV202"/>
  <c r="AV208"/>
  <c r="AV216"/>
  <c r="AV190"/>
  <c r="AV200"/>
  <c r="AV205"/>
  <c r="AV185"/>
  <c r="AV193"/>
  <c r="AV203"/>
  <c r="AV211"/>
  <c r="AV225"/>
  <c r="AV213"/>
  <c r="AV223"/>
  <c r="AV233"/>
  <c r="AV241"/>
  <c r="AV236"/>
  <c r="AV239"/>
  <c r="AV214"/>
  <c r="AV224"/>
  <c r="AV234"/>
  <c r="AV242"/>
  <c r="AV237"/>
  <c r="AV212"/>
  <c r="AV222"/>
  <c r="AV230"/>
  <c r="AV232"/>
  <c r="AV240"/>
  <c r="AV235"/>
  <c r="AV210"/>
  <c r="AV218"/>
  <c r="AV220"/>
  <c r="AV228"/>
  <c r="AV238"/>
  <c r="R60"/>
  <c r="R80"/>
  <c r="R14"/>
  <c r="R22"/>
  <c r="R26"/>
  <c r="R12"/>
  <c r="R33"/>
  <c r="R53"/>
  <c r="R164"/>
  <c r="R9"/>
  <c r="R11"/>
  <c r="R54"/>
  <c r="R55"/>
  <c r="R158"/>
  <c r="R25"/>
  <c r="R61"/>
  <c r="R16"/>
  <c r="R43"/>
  <c r="R8"/>
  <c r="R44"/>
  <c r="R45"/>
  <c r="R68"/>
  <c r="R115"/>
  <c r="R5"/>
  <c r="R19"/>
  <c r="R24"/>
  <c r="R34"/>
  <c r="R35"/>
  <c r="R72"/>
  <c r="R144"/>
  <c r="R173"/>
  <c r="R62"/>
  <c r="R153"/>
  <c r="R28"/>
  <c r="R50"/>
  <c r="R64"/>
  <c r="R117"/>
  <c r="R6"/>
  <c r="R17"/>
  <c r="R83"/>
  <c r="R85"/>
  <c r="R185"/>
  <c r="R4"/>
  <c r="R18"/>
  <c r="R86"/>
  <c r="R100"/>
  <c r="R7"/>
  <c r="R13"/>
  <c r="R23"/>
  <c r="R32"/>
  <c r="R36"/>
  <c r="R42"/>
  <c r="R46"/>
  <c r="R52"/>
  <c r="R56"/>
  <c r="R77"/>
  <c r="R227"/>
  <c r="R21"/>
  <c r="R31"/>
  <c r="R41"/>
  <c r="R49"/>
  <c r="R59"/>
  <c r="R73"/>
  <c r="R161"/>
  <c r="R29"/>
  <c r="R37"/>
  <c r="R47"/>
  <c r="R57"/>
  <c r="R67"/>
  <c r="R71"/>
  <c r="R78"/>
  <c r="R89"/>
  <c r="R105"/>
  <c r="R150"/>
  <c r="R65"/>
  <c r="R88"/>
  <c r="R107"/>
  <c r="R124"/>
  <c r="R204"/>
  <c r="R10"/>
  <c r="R20"/>
  <c r="R30"/>
  <c r="R38"/>
  <c r="R40"/>
  <c r="R48"/>
  <c r="R58"/>
  <c r="R82"/>
  <c r="R97"/>
  <c r="R168"/>
  <c r="R193"/>
  <c r="R70"/>
  <c r="R140"/>
  <c r="R189"/>
  <c r="R194"/>
  <c r="R81"/>
  <c r="R95"/>
  <c r="R121"/>
  <c r="R122"/>
  <c r="R186"/>
  <c r="R93"/>
  <c r="R98"/>
  <c r="R133"/>
  <c r="R143"/>
  <c r="R178"/>
  <c r="R66"/>
  <c r="R74"/>
  <c r="R76"/>
  <c r="R84"/>
  <c r="R90"/>
  <c r="R94"/>
  <c r="R103"/>
  <c r="R108"/>
  <c r="R113"/>
  <c r="R118"/>
  <c r="R136"/>
  <c r="R160"/>
  <c r="R169"/>
  <c r="R69"/>
  <c r="R79"/>
  <c r="R104"/>
  <c r="R114"/>
  <c r="R127"/>
  <c r="R130"/>
  <c r="R199"/>
  <c r="R223"/>
  <c r="R92"/>
  <c r="R102"/>
  <c r="R110"/>
  <c r="R112"/>
  <c r="R120"/>
  <c r="R126"/>
  <c r="R131"/>
  <c r="R151"/>
  <c r="R179"/>
  <c r="R96"/>
  <c r="R106"/>
  <c r="R116"/>
  <c r="R125"/>
  <c r="R134"/>
  <c r="R154"/>
  <c r="R174"/>
  <c r="R196"/>
  <c r="R91"/>
  <c r="R101"/>
  <c r="R109"/>
  <c r="R119"/>
  <c r="R141"/>
  <c r="R163"/>
  <c r="R128"/>
  <c r="R138"/>
  <c r="R146"/>
  <c r="R148"/>
  <c r="R156"/>
  <c r="R166"/>
  <c r="R176"/>
  <c r="R197"/>
  <c r="R205"/>
  <c r="R129"/>
  <c r="R139"/>
  <c r="R149"/>
  <c r="R157"/>
  <c r="R167"/>
  <c r="R177"/>
  <c r="R214"/>
  <c r="R132"/>
  <c r="R142"/>
  <c r="R152"/>
  <c r="R162"/>
  <c r="R170"/>
  <c r="R172"/>
  <c r="R180"/>
  <c r="R187"/>
  <c r="R137"/>
  <c r="R145"/>
  <c r="R155"/>
  <c r="R165"/>
  <c r="R175"/>
  <c r="R203"/>
  <c r="R182"/>
  <c r="R184"/>
  <c r="R192"/>
  <c r="R202"/>
  <c r="R215"/>
  <c r="R190"/>
  <c r="R200"/>
  <c r="R209"/>
  <c r="R217"/>
  <c r="R224"/>
  <c r="R188"/>
  <c r="R198"/>
  <c r="R225"/>
  <c r="R181"/>
  <c r="R191"/>
  <c r="R201"/>
  <c r="R213"/>
  <c r="R211"/>
  <c r="R221"/>
  <c r="R229"/>
  <c r="R239"/>
  <c r="R234"/>
  <c r="R242"/>
  <c r="R237"/>
  <c r="R212"/>
  <c r="R222"/>
  <c r="R230"/>
  <c r="R232"/>
  <c r="R240"/>
  <c r="R235"/>
  <c r="R210"/>
  <c r="R218"/>
  <c r="R220"/>
  <c r="R228"/>
  <c r="R238"/>
  <c r="R233"/>
  <c r="R241"/>
  <c r="R206"/>
  <c r="R208"/>
  <c r="R216"/>
  <c r="R226"/>
  <c r="R236"/>
  <c r="S5"/>
  <c r="S47"/>
  <c r="S38"/>
  <c r="S49"/>
  <c r="S19"/>
  <c r="S48"/>
  <c r="S40"/>
  <c r="S71"/>
  <c r="S167"/>
  <c r="S11"/>
  <c r="S65"/>
  <c r="S125"/>
  <c r="S16"/>
  <c r="S4"/>
  <c r="S37"/>
  <c r="S93"/>
  <c r="S10"/>
  <c r="S17"/>
  <c r="S30"/>
  <c r="S60"/>
  <c r="S14"/>
  <c r="S25"/>
  <c r="S66"/>
  <c r="S80"/>
  <c r="S6"/>
  <c r="S18"/>
  <c r="S28"/>
  <c r="S67"/>
  <c r="S70"/>
  <c r="S8"/>
  <c r="S20"/>
  <c r="S57"/>
  <c r="S58"/>
  <c r="S59"/>
  <c r="S9"/>
  <c r="S12"/>
  <c r="S21"/>
  <c r="S26"/>
  <c r="S29"/>
  <c r="S35"/>
  <c r="S45"/>
  <c r="S55"/>
  <c r="S61"/>
  <c r="S133"/>
  <c r="S7"/>
  <c r="S31"/>
  <c r="S36"/>
  <c r="S41"/>
  <c r="S46"/>
  <c r="S56"/>
  <c r="S73"/>
  <c r="S220"/>
  <c r="S78"/>
  <c r="S143"/>
  <c r="S157"/>
  <c r="S24"/>
  <c r="S34"/>
  <c r="S44"/>
  <c r="S54"/>
  <c r="S86"/>
  <c r="S112"/>
  <c r="S117"/>
  <c r="S120"/>
  <c r="S121"/>
  <c r="S22"/>
  <c r="S32"/>
  <c r="S42"/>
  <c r="S50"/>
  <c r="S52"/>
  <c r="S68"/>
  <c r="S81"/>
  <c r="S190"/>
  <c r="S91"/>
  <c r="S96"/>
  <c r="S106"/>
  <c r="S129"/>
  <c r="S139"/>
  <c r="S177"/>
  <c r="S13"/>
  <c r="S23"/>
  <c r="S33"/>
  <c r="S43"/>
  <c r="S53"/>
  <c r="S74"/>
  <c r="S76"/>
  <c r="S77"/>
  <c r="S84"/>
  <c r="S85"/>
  <c r="S92"/>
  <c r="S110"/>
  <c r="S116"/>
  <c r="S88"/>
  <c r="S107"/>
  <c r="S134"/>
  <c r="S173"/>
  <c r="S83"/>
  <c r="S89"/>
  <c r="S97"/>
  <c r="S98"/>
  <c r="S100"/>
  <c r="S102"/>
  <c r="S146"/>
  <c r="S153"/>
  <c r="S90"/>
  <c r="S103"/>
  <c r="S108"/>
  <c r="S113"/>
  <c r="S118"/>
  <c r="S69"/>
  <c r="S79"/>
  <c r="S154"/>
  <c r="S62"/>
  <c r="S64"/>
  <c r="S72"/>
  <c r="S82"/>
  <c r="S126"/>
  <c r="S138"/>
  <c r="S149"/>
  <c r="S164"/>
  <c r="S174"/>
  <c r="S95"/>
  <c r="S105"/>
  <c r="S115"/>
  <c r="S136"/>
  <c r="S144"/>
  <c r="S166"/>
  <c r="S101"/>
  <c r="S109"/>
  <c r="S119"/>
  <c r="S163"/>
  <c r="S228"/>
  <c r="S94"/>
  <c r="S104"/>
  <c r="S114"/>
  <c r="S122"/>
  <c r="S124"/>
  <c r="S128"/>
  <c r="S148"/>
  <c r="S156"/>
  <c r="S176"/>
  <c r="S198"/>
  <c r="S199"/>
  <c r="S131"/>
  <c r="S141"/>
  <c r="S151"/>
  <c r="S161"/>
  <c r="S169"/>
  <c r="S179"/>
  <c r="S184"/>
  <c r="S192"/>
  <c r="S132"/>
  <c r="S142"/>
  <c r="S152"/>
  <c r="S162"/>
  <c r="S170"/>
  <c r="S172"/>
  <c r="S180"/>
  <c r="S200"/>
  <c r="S127"/>
  <c r="S137"/>
  <c r="S145"/>
  <c r="S155"/>
  <c r="S165"/>
  <c r="S175"/>
  <c r="S202"/>
  <c r="S208"/>
  <c r="S209"/>
  <c r="S210"/>
  <c r="S216"/>
  <c r="S217"/>
  <c r="S218"/>
  <c r="S130"/>
  <c r="S140"/>
  <c r="S150"/>
  <c r="S158"/>
  <c r="S160"/>
  <c r="S168"/>
  <c r="S178"/>
  <c r="S182"/>
  <c r="S188"/>
  <c r="S189"/>
  <c r="S187"/>
  <c r="S197"/>
  <c r="S205"/>
  <c r="S206"/>
  <c r="S222"/>
  <c r="S230"/>
  <c r="S185"/>
  <c r="S193"/>
  <c r="S203"/>
  <c r="S181"/>
  <c r="S191"/>
  <c r="S201"/>
  <c r="S212"/>
  <c r="S186"/>
  <c r="S194"/>
  <c r="S196"/>
  <c r="S204"/>
  <c r="S226"/>
  <c r="S227"/>
  <c r="S214"/>
  <c r="S224"/>
  <c r="S234"/>
  <c r="S242"/>
  <c r="S237"/>
  <c r="S232"/>
  <c r="S240"/>
  <c r="S215"/>
  <c r="S225"/>
  <c r="S235"/>
  <c r="S238"/>
  <c r="S213"/>
  <c r="S223"/>
  <c r="S233"/>
  <c r="S241"/>
  <c r="S236"/>
  <c r="S211"/>
  <c r="S221"/>
  <c r="S229"/>
  <c r="S239"/>
  <c r="AL40"/>
  <c r="AL38"/>
  <c r="AL7"/>
  <c r="AL213"/>
  <c r="AL19"/>
  <c r="AL48"/>
  <c r="AL9"/>
  <c r="AL17"/>
  <c r="AL61"/>
  <c r="AL46"/>
  <c r="AL5"/>
  <c r="AL56"/>
  <c r="AL218"/>
  <c r="AL6"/>
  <c r="AL12"/>
  <c r="AL30"/>
  <c r="AL41"/>
  <c r="AL42"/>
  <c r="AL108"/>
  <c r="AL229"/>
  <c r="AL22"/>
  <c r="AL52"/>
  <c r="AL77"/>
  <c r="AL36"/>
  <c r="AL58"/>
  <c r="AL134"/>
  <c r="AL18"/>
  <c r="AL26"/>
  <c r="AL31"/>
  <c r="AL32"/>
  <c r="AL117"/>
  <c r="AL11"/>
  <c r="AL21"/>
  <c r="AL29"/>
  <c r="AL4"/>
  <c r="AL86"/>
  <c r="AL94"/>
  <c r="AL37"/>
  <c r="AL47"/>
  <c r="AL57"/>
  <c r="AL66"/>
  <c r="AL76"/>
  <c r="AL79"/>
  <c r="AL104"/>
  <c r="AL8"/>
  <c r="AL13"/>
  <c r="AL28"/>
  <c r="AL49"/>
  <c r="AL59"/>
  <c r="AL10"/>
  <c r="AL20"/>
  <c r="AL50"/>
  <c r="AL67"/>
  <c r="AL25"/>
  <c r="AL35"/>
  <c r="AL45"/>
  <c r="AL55"/>
  <c r="AL64"/>
  <c r="AL72"/>
  <c r="AL78"/>
  <c r="AL98"/>
  <c r="AL23"/>
  <c r="AL33"/>
  <c r="AL43"/>
  <c r="AL53"/>
  <c r="AL74"/>
  <c r="AL84"/>
  <c r="AL113"/>
  <c r="AL221"/>
  <c r="AL71"/>
  <c r="AL119"/>
  <c r="AL14"/>
  <c r="AL16"/>
  <c r="AL24"/>
  <c r="AL34"/>
  <c r="AL44"/>
  <c r="AL54"/>
  <c r="AL68"/>
  <c r="AL85"/>
  <c r="AL93"/>
  <c r="AL103"/>
  <c r="AL62"/>
  <c r="AL69"/>
  <c r="AL114"/>
  <c r="AL124"/>
  <c r="AL126"/>
  <c r="AL200"/>
  <c r="AL201"/>
  <c r="AL81"/>
  <c r="AL91"/>
  <c r="AL107"/>
  <c r="AL109"/>
  <c r="AL144"/>
  <c r="AL155"/>
  <c r="AL174"/>
  <c r="AL82"/>
  <c r="AL118"/>
  <c r="AL140"/>
  <c r="AL89"/>
  <c r="AL100"/>
  <c r="AL121"/>
  <c r="AL139"/>
  <c r="AL175"/>
  <c r="AL60"/>
  <c r="AL70"/>
  <c r="AL80"/>
  <c r="AL165"/>
  <c r="AL167"/>
  <c r="AL65"/>
  <c r="AL73"/>
  <c r="AL83"/>
  <c r="AL90"/>
  <c r="AL97"/>
  <c r="AL101"/>
  <c r="AL122"/>
  <c r="AL136"/>
  <c r="AL154"/>
  <c r="AL88"/>
  <c r="AL96"/>
  <c r="AL106"/>
  <c r="AL116"/>
  <c r="AL137"/>
  <c r="AL145"/>
  <c r="AL160"/>
  <c r="AL168"/>
  <c r="AL92"/>
  <c r="AL102"/>
  <c r="AL110"/>
  <c r="AL112"/>
  <c r="AL120"/>
  <c r="AL129"/>
  <c r="AL149"/>
  <c r="AL157"/>
  <c r="AL164"/>
  <c r="AL177"/>
  <c r="AL185"/>
  <c r="AL210"/>
  <c r="AL95"/>
  <c r="AL105"/>
  <c r="AL115"/>
  <c r="AL125"/>
  <c r="AL127"/>
  <c r="AL130"/>
  <c r="AL150"/>
  <c r="AL158"/>
  <c r="AL178"/>
  <c r="AL191"/>
  <c r="AL193"/>
  <c r="AL223"/>
  <c r="AL132"/>
  <c r="AL142"/>
  <c r="AL152"/>
  <c r="AL162"/>
  <c r="AL170"/>
  <c r="AL172"/>
  <c r="AL180"/>
  <c r="AL199"/>
  <c r="AL133"/>
  <c r="AL143"/>
  <c r="AL153"/>
  <c r="AL163"/>
  <c r="AL173"/>
  <c r="AL181"/>
  <c r="AL203"/>
  <c r="AL128"/>
  <c r="AL138"/>
  <c r="AL146"/>
  <c r="AL148"/>
  <c r="AL156"/>
  <c r="AL166"/>
  <c r="AL176"/>
  <c r="AL189"/>
  <c r="AL131"/>
  <c r="AL141"/>
  <c r="AL151"/>
  <c r="AL161"/>
  <c r="AL169"/>
  <c r="AL179"/>
  <c r="AL190"/>
  <c r="AL188"/>
  <c r="AL198"/>
  <c r="AL209"/>
  <c r="AL217"/>
  <c r="AL186"/>
  <c r="AL194"/>
  <c r="AL196"/>
  <c r="AL204"/>
  <c r="AL205"/>
  <c r="AL211"/>
  <c r="AL182"/>
  <c r="AL184"/>
  <c r="AL192"/>
  <c r="AL202"/>
  <c r="AL227"/>
  <c r="AL187"/>
  <c r="AL197"/>
  <c r="AL220"/>
  <c r="AL228"/>
  <c r="AL215"/>
  <c r="AL225"/>
  <c r="AL235"/>
  <c r="AL238"/>
  <c r="AL233"/>
  <c r="AL241"/>
  <c r="AL206"/>
  <c r="AL208"/>
  <c r="AL216"/>
  <c r="AL226"/>
  <c r="AL236"/>
  <c r="AL239"/>
  <c r="AL214"/>
  <c r="AL224"/>
  <c r="AL234"/>
  <c r="AL242"/>
  <c r="AL237"/>
  <c r="AL212"/>
  <c r="AL222"/>
  <c r="AL230"/>
  <c r="AL232"/>
  <c r="AL240"/>
  <c r="AW10"/>
  <c r="AW5"/>
  <c r="AW6"/>
  <c r="AW68"/>
  <c r="AW20"/>
  <c r="AW21"/>
  <c r="AW22"/>
  <c r="AW19"/>
  <c r="AW98"/>
  <c r="AW7"/>
  <c r="AW8"/>
  <c r="AW67"/>
  <c r="AW82"/>
  <c r="AW109"/>
  <c r="AW50"/>
  <c r="AW59"/>
  <c r="AW83"/>
  <c r="AW29"/>
  <c r="AW30"/>
  <c r="AW31"/>
  <c r="AW47"/>
  <c r="AW57"/>
  <c r="AW178"/>
  <c r="AW18"/>
  <c r="AW41"/>
  <c r="AW69"/>
  <c r="AW148"/>
  <c r="AW12"/>
  <c r="AW37"/>
  <c r="AW40"/>
  <c r="AW62"/>
  <c r="AW114"/>
  <c r="AW13"/>
  <c r="AW23"/>
  <c r="AW32"/>
  <c r="AW42"/>
  <c r="AW52"/>
  <c r="AW131"/>
  <c r="AW9"/>
  <c r="AW16"/>
  <c r="AW33"/>
  <c r="AW38"/>
  <c r="AW43"/>
  <c r="AW48"/>
  <c r="AW53"/>
  <c r="AW58"/>
  <c r="AW4"/>
  <c r="AW11"/>
  <c r="AW14"/>
  <c r="AW49"/>
  <c r="AW92"/>
  <c r="AW141"/>
  <c r="AW150"/>
  <c r="AW26"/>
  <c r="AW28"/>
  <c r="AW36"/>
  <c r="AW46"/>
  <c r="AW56"/>
  <c r="AW64"/>
  <c r="AW112"/>
  <c r="AW192"/>
  <c r="AW24"/>
  <c r="AW34"/>
  <c r="AW44"/>
  <c r="AW54"/>
  <c r="AW101"/>
  <c r="AW127"/>
  <c r="AW17"/>
  <c r="AW25"/>
  <c r="AW35"/>
  <c r="AW45"/>
  <c r="AW55"/>
  <c r="AW60"/>
  <c r="AW70"/>
  <c r="AW79"/>
  <c r="AW108"/>
  <c r="AW146"/>
  <c r="AW184"/>
  <c r="AW65"/>
  <c r="AW73"/>
  <c r="AW80"/>
  <c r="AW102"/>
  <c r="AW104"/>
  <c r="AW122"/>
  <c r="AW137"/>
  <c r="AW158"/>
  <c r="AW176"/>
  <c r="AW179"/>
  <c r="AW77"/>
  <c r="AW85"/>
  <c r="AW94"/>
  <c r="AW118"/>
  <c r="AW119"/>
  <c r="AW156"/>
  <c r="AW72"/>
  <c r="AW78"/>
  <c r="AW86"/>
  <c r="AW91"/>
  <c r="AW95"/>
  <c r="AW110"/>
  <c r="AW120"/>
  <c r="AW124"/>
  <c r="AW145"/>
  <c r="AW160"/>
  <c r="AW180"/>
  <c r="AW61"/>
  <c r="AW71"/>
  <c r="AW81"/>
  <c r="AW105"/>
  <c r="AW115"/>
  <c r="AW128"/>
  <c r="AW130"/>
  <c r="AW138"/>
  <c r="AW66"/>
  <c r="AW74"/>
  <c r="AW76"/>
  <c r="AW84"/>
  <c r="AW90"/>
  <c r="AW100"/>
  <c r="AW151"/>
  <c r="AW166"/>
  <c r="AW168"/>
  <c r="AW89"/>
  <c r="AW97"/>
  <c r="AW107"/>
  <c r="AW117"/>
  <c r="AW165"/>
  <c r="AW182"/>
  <c r="AW93"/>
  <c r="AW103"/>
  <c r="AW113"/>
  <c r="AW121"/>
  <c r="AW140"/>
  <c r="AW161"/>
  <c r="AW169"/>
  <c r="AW204"/>
  <c r="AW88"/>
  <c r="AW96"/>
  <c r="AW106"/>
  <c r="AW116"/>
  <c r="AW155"/>
  <c r="AW175"/>
  <c r="AW196"/>
  <c r="AW125"/>
  <c r="AW133"/>
  <c r="AW143"/>
  <c r="AW153"/>
  <c r="AW163"/>
  <c r="AW173"/>
  <c r="AW190"/>
  <c r="AW191"/>
  <c r="AW222"/>
  <c r="AW224"/>
  <c r="AW230"/>
  <c r="AW126"/>
  <c r="AW134"/>
  <c r="AW136"/>
  <c r="AW144"/>
  <c r="AW154"/>
  <c r="AW164"/>
  <c r="AW174"/>
  <c r="AW186"/>
  <c r="AW194"/>
  <c r="AW129"/>
  <c r="AW139"/>
  <c r="AW149"/>
  <c r="AW157"/>
  <c r="AW167"/>
  <c r="AW177"/>
  <c r="AW200"/>
  <c r="AW201"/>
  <c r="AW214"/>
  <c r="AW132"/>
  <c r="AW142"/>
  <c r="AW152"/>
  <c r="AW162"/>
  <c r="AW170"/>
  <c r="AW172"/>
  <c r="AW181"/>
  <c r="AW202"/>
  <c r="AW189"/>
  <c r="AW199"/>
  <c r="AW220"/>
  <c r="AW221"/>
  <c r="AW228"/>
  <c r="AW229"/>
  <c r="AW187"/>
  <c r="AW197"/>
  <c r="AW185"/>
  <c r="AW193"/>
  <c r="AW203"/>
  <c r="AW210"/>
  <c r="AW211"/>
  <c r="AW218"/>
  <c r="AW188"/>
  <c r="AW198"/>
  <c r="AW206"/>
  <c r="AW212"/>
  <c r="AW208"/>
  <c r="AW216"/>
  <c r="AW226"/>
  <c r="AW236"/>
  <c r="AW239"/>
  <c r="AW234"/>
  <c r="AW242"/>
  <c r="AW209"/>
  <c r="AW217"/>
  <c r="AW227"/>
  <c r="AW237"/>
  <c r="AW232"/>
  <c r="AW240"/>
  <c r="AW205"/>
  <c r="AW215"/>
  <c r="AW225"/>
  <c r="AW235"/>
  <c r="AW238"/>
  <c r="AW213"/>
  <c r="AW223"/>
  <c r="AW233"/>
  <c r="AW241"/>
  <c r="O34"/>
  <c r="O53"/>
  <c r="O43"/>
  <c r="O44"/>
  <c r="O52"/>
  <c r="O54"/>
  <c r="O7"/>
  <c r="O8"/>
  <c r="O64"/>
  <c r="O94"/>
  <c r="O4"/>
  <c r="O9"/>
  <c r="O11"/>
  <c r="O18"/>
  <c r="O23"/>
  <c r="O33"/>
  <c r="O13"/>
  <c r="O50"/>
  <c r="O41"/>
  <c r="O42"/>
  <c r="O82"/>
  <c r="O31"/>
  <c r="O32"/>
  <c r="O81"/>
  <c r="O168"/>
  <c r="O10"/>
  <c r="O24"/>
  <c r="O25"/>
  <c r="O14"/>
  <c r="O74"/>
  <c r="O132"/>
  <c r="O184"/>
  <c r="O193"/>
  <c r="O5"/>
  <c r="O16"/>
  <c r="O49"/>
  <c r="O59"/>
  <c r="O60"/>
  <c r="O71"/>
  <c r="O17"/>
  <c r="O21"/>
  <c r="O110"/>
  <c r="O6"/>
  <c r="O12"/>
  <c r="O22"/>
  <c r="O35"/>
  <c r="O45"/>
  <c r="O55"/>
  <c r="O104"/>
  <c r="O121"/>
  <c r="O20"/>
  <c r="O30"/>
  <c r="O38"/>
  <c r="O40"/>
  <c r="O48"/>
  <c r="O58"/>
  <c r="O61"/>
  <c r="O85"/>
  <c r="O160"/>
  <c r="O26"/>
  <c r="O28"/>
  <c r="O36"/>
  <c r="O46"/>
  <c r="O56"/>
  <c r="O77"/>
  <c r="O120"/>
  <c r="O69"/>
  <c r="O70"/>
  <c r="O76"/>
  <c r="O19"/>
  <c r="O29"/>
  <c r="O37"/>
  <c r="O47"/>
  <c r="O57"/>
  <c r="O62"/>
  <c r="O66"/>
  <c r="O67"/>
  <c r="O72"/>
  <c r="O79"/>
  <c r="O96"/>
  <c r="O114"/>
  <c r="O124"/>
  <c r="O149"/>
  <c r="O170"/>
  <c r="O177"/>
  <c r="O182"/>
  <c r="O80"/>
  <c r="O84"/>
  <c r="O129"/>
  <c r="O157"/>
  <c r="O180"/>
  <c r="O88"/>
  <c r="O126"/>
  <c r="O162"/>
  <c r="O97"/>
  <c r="O106"/>
  <c r="O116"/>
  <c r="O122"/>
  <c r="O125"/>
  <c r="O163"/>
  <c r="O167"/>
  <c r="O185"/>
  <c r="O65"/>
  <c r="O73"/>
  <c r="O83"/>
  <c r="O89"/>
  <c r="O92"/>
  <c r="O93"/>
  <c r="O107"/>
  <c r="O117"/>
  <c r="O143"/>
  <c r="O152"/>
  <c r="O68"/>
  <c r="O78"/>
  <c r="O86"/>
  <c r="O102"/>
  <c r="O103"/>
  <c r="O112"/>
  <c r="O113"/>
  <c r="O172"/>
  <c r="O188"/>
  <c r="O91"/>
  <c r="O101"/>
  <c r="O109"/>
  <c r="O119"/>
  <c r="O130"/>
  <c r="O142"/>
  <c r="O150"/>
  <c r="O158"/>
  <c r="O178"/>
  <c r="O95"/>
  <c r="O105"/>
  <c r="O115"/>
  <c r="O133"/>
  <c r="O139"/>
  <c r="O153"/>
  <c r="O173"/>
  <c r="O192"/>
  <c r="O203"/>
  <c r="O90"/>
  <c r="O98"/>
  <c r="O100"/>
  <c r="O108"/>
  <c r="O118"/>
  <c r="O140"/>
  <c r="O202"/>
  <c r="O127"/>
  <c r="O137"/>
  <c r="O145"/>
  <c r="O155"/>
  <c r="O165"/>
  <c r="O175"/>
  <c r="O196"/>
  <c r="O204"/>
  <c r="O226"/>
  <c r="O128"/>
  <c r="O138"/>
  <c r="O146"/>
  <c r="O148"/>
  <c r="O156"/>
  <c r="O166"/>
  <c r="O176"/>
  <c r="O198"/>
  <c r="O131"/>
  <c r="O141"/>
  <c r="O151"/>
  <c r="O161"/>
  <c r="O169"/>
  <c r="O179"/>
  <c r="O186"/>
  <c r="O194"/>
  <c r="O213"/>
  <c r="O134"/>
  <c r="O136"/>
  <c r="O144"/>
  <c r="O154"/>
  <c r="O164"/>
  <c r="O174"/>
  <c r="O206"/>
  <c r="O208"/>
  <c r="O212"/>
  <c r="O216"/>
  <c r="O181"/>
  <c r="O191"/>
  <c r="O201"/>
  <c r="O214"/>
  <c r="O189"/>
  <c r="O199"/>
  <c r="O222"/>
  <c r="O223"/>
  <c r="O230"/>
  <c r="O187"/>
  <c r="O197"/>
  <c r="O205"/>
  <c r="O224"/>
  <c r="O190"/>
  <c r="O200"/>
  <c r="O210"/>
  <c r="O218"/>
  <c r="O220"/>
  <c r="O228"/>
  <c r="O238"/>
  <c r="O233"/>
  <c r="O241"/>
  <c r="O236"/>
  <c r="O211"/>
  <c r="O221"/>
  <c r="O229"/>
  <c r="O239"/>
  <c r="O234"/>
  <c r="O242"/>
  <c r="O209"/>
  <c r="O217"/>
  <c r="O227"/>
  <c r="O237"/>
  <c r="O232"/>
  <c r="O240"/>
  <c r="O215"/>
  <c r="O225"/>
  <c r="O235"/>
  <c r="J18"/>
  <c r="J28"/>
  <c r="J45"/>
  <c r="J8"/>
  <c r="J10"/>
  <c r="J17"/>
  <c r="J19"/>
  <c r="J88"/>
  <c r="J14"/>
  <c r="J22"/>
  <c r="J118"/>
  <c r="J5"/>
  <c r="J11"/>
  <c r="J54"/>
  <c r="J65"/>
  <c r="J164"/>
  <c r="J26"/>
  <c r="J64"/>
  <c r="J50"/>
  <c r="J70"/>
  <c r="J44"/>
  <c r="J55"/>
  <c r="J16"/>
  <c r="J34"/>
  <c r="J72"/>
  <c r="J217"/>
  <c r="J9"/>
  <c r="J25"/>
  <c r="J35"/>
  <c r="J6"/>
  <c r="J12"/>
  <c r="J23"/>
  <c r="J32"/>
  <c r="J36"/>
  <c r="J42"/>
  <c r="J46"/>
  <c r="J52"/>
  <c r="J56"/>
  <c r="J82"/>
  <c r="J4"/>
  <c r="J13"/>
  <c r="J24"/>
  <c r="J33"/>
  <c r="J43"/>
  <c r="J53"/>
  <c r="J71"/>
  <c r="J113"/>
  <c r="J7"/>
  <c r="J122"/>
  <c r="J21"/>
  <c r="J31"/>
  <c r="J41"/>
  <c r="J49"/>
  <c r="J59"/>
  <c r="J62"/>
  <c r="J68"/>
  <c r="J127"/>
  <c r="J29"/>
  <c r="J37"/>
  <c r="J47"/>
  <c r="J57"/>
  <c r="J60"/>
  <c r="J85"/>
  <c r="J114"/>
  <c r="J117"/>
  <c r="J143"/>
  <c r="J224"/>
  <c r="J77"/>
  <c r="J89"/>
  <c r="J130"/>
  <c r="J20"/>
  <c r="J30"/>
  <c r="J38"/>
  <c r="J40"/>
  <c r="J48"/>
  <c r="J58"/>
  <c r="J61"/>
  <c r="J83"/>
  <c r="J94"/>
  <c r="J103"/>
  <c r="J104"/>
  <c r="J178"/>
  <c r="J186"/>
  <c r="J204"/>
  <c r="J67"/>
  <c r="J81"/>
  <c r="J97"/>
  <c r="J98"/>
  <c r="J153"/>
  <c r="J199"/>
  <c r="J78"/>
  <c r="J86"/>
  <c r="J93"/>
  <c r="J125"/>
  <c r="J140"/>
  <c r="J73"/>
  <c r="J80"/>
  <c r="J90"/>
  <c r="J107"/>
  <c r="J108"/>
  <c r="J169"/>
  <c r="J173"/>
  <c r="J95"/>
  <c r="J124"/>
  <c r="J66"/>
  <c r="J74"/>
  <c r="J76"/>
  <c r="J84"/>
  <c r="J105"/>
  <c r="J115"/>
  <c r="J150"/>
  <c r="J161"/>
  <c r="J163"/>
  <c r="J203"/>
  <c r="J69"/>
  <c r="J79"/>
  <c r="J100"/>
  <c r="J121"/>
  <c r="J133"/>
  <c r="J141"/>
  <c r="J158"/>
  <c r="J196"/>
  <c r="J92"/>
  <c r="J102"/>
  <c r="J110"/>
  <c r="J112"/>
  <c r="J120"/>
  <c r="J134"/>
  <c r="J154"/>
  <c r="J174"/>
  <c r="J209"/>
  <c r="J96"/>
  <c r="J106"/>
  <c r="J116"/>
  <c r="J131"/>
  <c r="J151"/>
  <c r="J179"/>
  <c r="J189"/>
  <c r="J194"/>
  <c r="J213"/>
  <c r="J91"/>
  <c r="J101"/>
  <c r="J109"/>
  <c r="J119"/>
  <c r="J126"/>
  <c r="J136"/>
  <c r="J144"/>
  <c r="J160"/>
  <c r="J168"/>
  <c r="J128"/>
  <c r="J138"/>
  <c r="J146"/>
  <c r="J148"/>
  <c r="J156"/>
  <c r="J166"/>
  <c r="J176"/>
  <c r="J187"/>
  <c r="J129"/>
  <c r="J139"/>
  <c r="J149"/>
  <c r="J157"/>
  <c r="J167"/>
  <c r="J177"/>
  <c r="J132"/>
  <c r="J142"/>
  <c r="J152"/>
  <c r="J162"/>
  <c r="J170"/>
  <c r="J172"/>
  <c r="J180"/>
  <c r="J197"/>
  <c r="J205"/>
  <c r="J137"/>
  <c r="J145"/>
  <c r="J155"/>
  <c r="J165"/>
  <c r="J175"/>
  <c r="J185"/>
  <c r="J193"/>
  <c r="J182"/>
  <c r="J184"/>
  <c r="J192"/>
  <c r="J202"/>
  <c r="J225"/>
  <c r="J190"/>
  <c r="J200"/>
  <c r="J214"/>
  <c r="J227"/>
  <c r="J188"/>
  <c r="J198"/>
  <c r="J215"/>
  <c r="J181"/>
  <c r="J191"/>
  <c r="J201"/>
  <c r="J223"/>
  <c r="J211"/>
  <c r="J221"/>
  <c r="J229"/>
  <c r="J239"/>
  <c r="J234"/>
  <c r="J242"/>
  <c r="J237"/>
  <c r="J212"/>
  <c r="J222"/>
  <c r="J230"/>
  <c r="J232"/>
  <c r="J240"/>
  <c r="J235"/>
  <c r="J210"/>
  <c r="J218"/>
  <c r="J220"/>
  <c r="J228"/>
  <c r="J238"/>
  <c r="J233"/>
  <c r="J241"/>
  <c r="J206"/>
  <c r="J208"/>
  <c r="J216"/>
  <c r="J226"/>
  <c r="J236"/>
  <c r="L13"/>
  <c r="L6"/>
  <c r="L48"/>
  <c r="L52"/>
  <c r="L7"/>
  <c r="L21"/>
  <c r="L40"/>
  <c r="L65"/>
  <c r="L157"/>
  <c r="L68"/>
  <c r="L73"/>
  <c r="L8"/>
  <c r="L17"/>
  <c r="L53"/>
  <c r="L79"/>
  <c r="L12"/>
  <c r="L58"/>
  <c r="L71"/>
  <c r="L119"/>
  <c r="L38"/>
  <c r="L69"/>
  <c r="L41"/>
  <c r="L42"/>
  <c r="L43"/>
  <c r="L9"/>
  <c r="L31"/>
  <c r="L32"/>
  <c r="L33"/>
  <c r="L80"/>
  <c r="L22"/>
  <c r="L23"/>
  <c r="L24"/>
  <c r="L30"/>
  <c r="L201"/>
  <c r="L4"/>
  <c r="L142"/>
  <c r="L225"/>
  <c r="L10"/>
  <c r="L16"/>
  <c r="L19"/>
  <c r="L49"/>
  <c r="L59"/>
  <c r="L74"/>
  <c r="L5"/>
  <c r="L11"/>
  <c r="L14"/>
  <c r="L20"/>
  <c r="L34"/>
  <c r="L44"/>
  <c r="L50"/>
  <c r="L54"/>
  <c r="L61"/>
  <c r="L102"/>
  <c r="L202"/>
  <c r="L29"/>
  <c r="L37"/>
  <c r="L47"/>
  <c r="L57"/>
  <c r="L60"/>
  <c r="L66"/>
  <c r="L110"/>
  <c r="L113"/>
  <c r="L166"/>
  <c r="L230"/>
  <c r="L25"/>
  <c r="L35"/>
  <c r="L45"/>
  <c r="L55"/>
  <c r="L149"/>
  <c r="L18"/>
  <c r="L26"/>
  <c r="L28"/>
  <c r="L36"/>
  <c r="L46"/>
  <c r="L56"/>
  <c r="L70"/>
  <c r="L81"/>
  <c r="L95"/>
  <c r="L177"/>
  <c r="L78"/>
  <c r="L86"/>
  <c r="L93"/>
  <c r="L101"/>
  <c r="L120"/>
  <c r="L221"/>
  <c r="L83"/>
  <c r="L112"/>
  <c r="L151"/>
  <c r="L76"/>
  <c r="L84"/>
  <c r="L103"/>
  <c r="L109"/>
  <c r="L91"/>
  <c r="L105"/>
  <c r="L115"/>
  <c r="L121"/>
  <c r="L129"/>
  <c r="L139"/>
  <c r="L161"/>
  <c r="L179"/>
  <c r="L211"/>
  <c r="L222"/>
  <c r="L62"/>
  <c r="L64"/>
  <c r="L72"/>
  <c r="L82"/>
  <c r="L88"/>
  <c r="L96"/>
  <c r="L67"/>
  <c r="L77"/>
  <c r="L85"/>
  <c r="L92"/>
  <c r="L106"/>
  <c r="L116"/>
  <c r="L131"/>
  <c r="L169"/>
  <c r="L90"/>
  <c r="L98"/>
  <c r="L100"/>
  <c r="L108"/>
  <c r="L118"/>
  <c r="L125"/>
  <c r="L128"/>
  <c r="L141"/>
  <c r="L148"/>
  <c r="L156"/>
  <c r="L162"/>
  <c r="L170"/>
  <c r="L176"/>
  <c r="L94"/>
  <c r="L104"/>
  <c r="L114"/>
  <c r="L122"/>
  <c r="L124"/>
  <c r="L167"/>
  <c r="L187"/>
  <c r="L215"/>
  <c r="L229"/>
  <c r="L89"/>
  <c r="L97"/>
  <c r="L107"/>
  <c r="L117"/>
  <c r="L132"/>
  <c r="L138"/>
  <c r="L146"/>
  <c r="L152"/>
  <c r="L172"/>
  <c r="L180"/>
  <c r="L212"/>
  <c r="L126"/>
  <c r="L134"/>
  <c r="L136"/>
  <c r="L144"/>
  <c r="L154"/>
  <c r="L164"/>
  <c r="L174"/>
  <c r="L181"/>
  <c r="L182"/>
  <c r="L203"/>
  <c r="L127"/>
  <c r="L137"/>
  <c r="L145"/>
  <c r="L155"/>
  <c r="L165"/>
  <c r="L175"/>
  <c r="L184"/>
  <c r="L191"/>
  <c r="L192"/>
  <c r="L197"/>
  <c r="L205"/>
  <c r="L130"/>
  <c r="L140"/>
  <c r="L150"/>
  <c r="L158"/>
  <c r="L160"/>
  <c r="L168"/>
  <c r="L178"/>
  <c r="L185"/>
  <c r="L193"/>
  <c r="L133"/>
  <c r="L143"/>
  <c r="L153"/>
  <c r="L163"/>
  <c r="L173"/>
  <c r="L190"/>
  <c r="L200"/>
  <c r="L213"/>
  <c r="L188"/>
  <c r="L198"/>
  <c r="L186"/>
  <c r="L194"/>
  <c r="L196"/>
  <c r="L204"/>
  <c r="L223"/>
  <c r="L189"/>
  <c r="L199"/>
  <c r="L209"/>
  <c r="L217"/>
  <c r="L227"/>
  <c r="L237"/>
  <c r="L232"/>
  <c r="L240"/>
  <c r="L235"/>
  <c r="L210"/>
  <c r="L218"/>
  <c r="L220"/>
  <c r="L228"/>
  <c r="L238"/>
  <c r="L233"/>
  <c r="L241"/>
  <c r="L206"/>
  <c r="L208"/>
  <c r="L216"/>
  <c r="L226"/>
  <c r="L236"/>
  <c r="L239"/>
  <c r="L214"/>
  <c r="L224"/>
  <c r="L234"/>
  <c r="L242"/>
  <c r="BD55"/>
  <c r="BD5"/>
  <c r="BD58"/>
  <c r="BD47"/>
  <c r="BD59"/>
  <c r="BD84"/>
  <c r="BD16"/>
  <c r="BD18"/>
  <c r="BD133"/>
  <c r="BD17"/>
  <c r="BD54"/>
  <c r="BD176"/>
  <c r="BD4"/>
  <c r="BD24"/>
  <c r="BD188"/>
  <c r="BD28"/>
  <c r="BD29"/>
  <c r="BD34"/>
  <c r="BD48"/>
  <c r="BD14"/>
  <c r="BD35"/>
  <c r="BD57"/>
  <c r="BD44"/>
  <c r="BD45"/>
  <c r="BD120"/>
  <c r="BD156"/>
  <c r="BD11"/>
  <c r="BD37"/>
  <c r="BD38"/>
  <c r="BD69"/>
  <c r="BD25"/>
  <c r="BD26"/>
  <c r="BD107"/>
  <c r="BD7"/>
  <c r="BD8"/>
  <c r="BD19"/>
  <c r="BD20"/>
  <c r="BD65"/>
  <c r="BD70"/>
  <c r="BD73"/>
  <c r="BD119"/>
  <c r="BD6"/>
  <c r="BD13"/>
  <c r="BD30"/>
  <c r="BD40"/>
  <c r="BD132"/>
  <c r="BD9"/>
  <c r="BD10"/>
  <c r="BD36"/>
  <c r="BD46"/>
  <c r="BD56"/>
  <c r="BD96"/>
  <c r="BD127"/>
  <c r="BD162"/>
  <c r="BD23"/>
  <c r="BD33"/>
  <c r="BD43"/>
  <c r="BD53"/>
  <c r="BD60"/>
  <c r="BD74"/>
  <c r="BD115"/>
  <c r="BD116"/>
  <c r="BD21"/>
  <c r="BD31"/>
  <c r="BD41"/>
  <c r="BD49"/>
  <c r="BD62"/>
  <c r="BD66"/>
  <c r="BD67"/>
  <c r="BD79"/>
  <c r="BD91"/>
  <c r="BD95"/>
  <c r="BD82"/>
  <c r="BD97"/>
  <c r="BD145"/>
  <c r="BD12"/>
  <c r="BD22"/>
  <c r="BD32"/>
  <c r="BD42"/>
  <c r="BD50"/>
  <c r="BD52"/>
  <c r="BD76"/>
  <c r="BD80"/>
  <c r="BD90"/>
  <c r="BD148"/>
  <c r="BD152"/>
  <c r="BD187"/>
  <c r="BD198"/>
  <c r="BD64"/>
  <c r="BD72"/>
  <c r="BD101"/>
  <c r="BD117"/>
  <c r="BD163"/>
  <c r="BD172"/>
  <c r="BD83"/>
  <c r="BD92"/>
  <c r="BD109"/>
  <c r="BD110"/>
  <c r="BD216"/>
  <c r="BD77"/>
  <c r="BD85"/>
  <c r="BD105"/>
  <c r="BD106"/>
  <c r="BD125"/>
  <c r="BD88"/>
  <c r="BD102"/>
  <c r="BD112"/>
  <c r="BD128"/>
  <c r="BD142"/>
  <c r="BD153"/>
  <c r="BD166"/>
  <c r="BD68"/>
  <c r="BD78"/>
  <c r="BD86"/>
  <c r="BD155"/>
  <c r="BD170"/>
  <c r="BD173"/>
  <c r="BD61"/>
  <c r="BD71"/>
  <c r="BD81"/>
  <c r="BD89"/>
  <c r="BD137"/>
  <c r="BD175"/>
  <c r="BD94"/>
  <c r="BD104"/>
  <c r="BD114"/>
  <c r="BD122"/>
  <c r="BD124"/>
  <c r="BD138"/>
  <c r="BD146"/>
  <c r="BD181"/>
  <c r="BD225"/>
  <c r="BD98"/>
  <c r="BD100"/>
  <c r="BD108"/>
  <c r="BD118"/>
  <c r="BD143"/>
  <c r="BD199"/>
  <c r="BD201"/>
  <c r="BD208"/>
  <c r="BD93"/>
  <c r="BD103"/>
  <c r="BD113"/>
  <c r="BD121"/>
  <c r="BD165"/>
  <c r="BD130"/>
  <c r="BD140"/>
  <c r="BD150"/>
  <c r="BD158"/>
  <c r="BD160"/>
  <c r="BD168"/>
  <c r="BD178"/>
  <c r="BD206"/>
  <c r="BD131"/>
  <c r="BD141"/>
  <c r="BD151"/>
  <c r="BD161"/>
  <c r="BD169"/>
  <c r="BD179"/>
  <c r="BD189"/>
  <c r="BD205"/>
  <c r="BD209"/>
  <c r="BD211"/>
  <c r="BD217"/>
  <c r="BD126"/>
  <c r="BD134"/>
  <c r="BD136"/>
  <c r="BD144"/>
  <c r="BD154"/>
  <c r="BD164"/>
  <c r="BD174"/>
  <c r="BD129"/>
  <c r="BD139"/>
  <c r="BD149"/>
  <c r="BD157"/>
  <c r="BD167"/>
  <c r="BD177"/>
  <c r="BD191"/>
  <c r="BD197"/>
  <c r="BD227"/>
  <c r="BD186"/>
  <c r="BD194"/>
  <c r="BD196"/>
  <c r="BD204"/>
  <c r="BD182"/>
  <c r="BD184"/>
  <c r="BD192"/>
  <c r="BD202"/>
  <c r="BD226"/>
  <c r="BD180"/>
  <c r="BD190"/>
  <c r="BD200"/>
  <c r="BD185"/>
  <c r="BD193"/>
  <c r="BD203"/>
  <c r="BD215"/>
  <c r="BD221"/>
  <c r="BD229"/>
  <c r="BD213"/>
  <c r="BD223"/>
  <c r="BD233"/>
  <c r="BD241"/>
  <c r="BD236"/>
  <c r="BD239"/>
  <c r="BD214"/>
  <c r="BD224"/>
  <c r="BD234"/>
  <c r="BD242"/>
  <c r="BD237"/>
  <c r="BD212"/>
  <c r="BD222"/>
  <c r="BD230"/>
  <c r="BD232"/>
  <c r="BD240"/>
  <c r="BD235"/>
  <c r="BD210"/>
  <c r="BD218"/>
  <c r="BD220"/>
  <c r="BD228"/>
  <c r="BD238"/>
  <c r="BG55"/>
  <c r="BG103"/>
  <c r="BG112"/>
  <c r="BG5"/>
  <c r="BG56"/>
  <c r="BG6"/>
  <c r="BG12"/>
  <c r="BG67"/>
  <c r="BG45"/>
  <c r="BG18"/>
  <c r="BG17"/>
  <c r="BG38"/>
  <c r="BG49"/>
  <c r="BG118"/>
  <c r="BG121"/>
  <c r="BG26"/>
  <c r="BG41"/>
  <c r="BG48"/>
  <c r="BG61"/>
  <c r="BG4"/>
  <c r="BG36"/>
  <c r="BG81"/>
  <c r="BG46"/>
  <c r="BG83"/>
  <c r="BG117"/>
  <c r="BG174"/>
  <c r="BG19"/>
  <c r="BG16"/>
  <c r="BG25"/>
  <c r="BG31"/>
  <c r="BG35"/>
  <c r="BG128"/>
  <c r="BG8"/>
  <c r="BG10"/>
  <c r="BG28"/>
  <c r="BG70"/>
  <c r="BG20"/>
  <c r="BG21"/>
  <c r="BG29"/>
  <c r="BG58"/>
  <c r="BG74"/>
  <c r="BG9"/>
  <c r="BG30"/>
  <c r="BG40"/>
  <c r="BG86"/>
  <c r="BG7"/>
  <c r="BG11"/>
  <c r="BG14"/>
  <c r="BG66"/>
  <c r="BG71"/>
  <c r="BG91"/>
  <c r="BG93"/>
  <c r="BG164"/>
  <c r="BG37"/>
  <c r="BG47"/>
  <c r="BG57"/>
  <c r="BG24"/>
  <c r="BG34"/>
  <c r="BG44"/>
  <c r="BG54"/>
  <c r="BG68"/>
  <c r="BG22"/>
  <c r="BG32"/>
  <c r="BG42"/>
  <c r="BG50"/>
  <c r="BG52"/>
  <c r="BG96"/>
  <c r="BG106"/>
  <c r="BG156"/>
  <c r="BG157"/>
  <c r="BG210"/>
  <c r="BG76"/>
  <c r="BG13"/>
  <c r="BG23"/>
  <c r="BG33"/>
  <c r="BG43"/>
  <c r="BG53"/>
  <c r="BG60"/>
  <c r="BG149"/>
  <c r="BG182"/>
  <c r="BG65"/>
  <c r="BG73"/>
  <c r="BG80"/>
  <c r="BG88"/>
  <c r="BG92"/>
  <c r="BG113"/>
  <c r="BG116"/>
  <c r="BG77"/>
  <c r="BG84"/>
  <c r="BG85"/>
  <c r="BG107"/>
  <c r="BG108"/>
  <c r="BG138"/>
  <c r="BG143"/>
  <c r="BG154"/>
  <c r="BG78"/>
  <c r="BG97"/>
  <c r="BG98"/>
  <c r="BG100"/>
  <c r="BG102"/>
  <c r="BG176"/>
  <c r="BG189"/>
  <c r="BG89"/>
  <c r="BG134"/>
  <c r="BG177"/>
  <c r="BG59"/>
  <c r="BG69"/>
  <c r="BG79"/>
  <c r="BG146"/>
  <c r="BG62"/>
  <c r="BG64"/>
  <c r="BG72"/>
  <c r="BG82"/>
  <c r="BG90"/>
  <c r="BG110"/>
  <c r="BG120"/>
  <c r="BG126"/>
  <c r="BG129"/>
  <c r="BG139"/>
  <c r="BG148"/>
  <c r="BG95"/>
  <c r="BG105"/>
  <c r="BG115"/>
  <c r="BG163"/>
  <c r="BG188"/>
  <c r="BG101"/>
  <c r="BG109"/>
  <c r="BG119"/>
  <c r="BG136"/>
  <c r="BG144"/>
  <c r="BG166"/>
  <c r="BG200"/>
  <c r="BG218"/>
  <c r="BG94"/>
  <c r="BG104"/>
  <c r="BG114"/>
  <c r="BG122"/>
  <c r="BG124"/>
  <c r="BG125"/>
  <c r="BG133"/>
  <c r="BG153"/>
  <c r="BG167"/>
  <c r="BG173"/>
  <c r="BG131"/>
  <c r="BG141"/>
  <c r="BG151"/>
  <c r="BG161"/>
  <c r="BG169"/>
  <c r="BG179"/>
  <c r="BG180"/>
  <c r="BG202"/>
  <c r="BG132"/>
  <c r="BG142"/>
  <c r="BG152"/>
  <c r="BG162"/>
  <c r="BG170"/>
  <c r="BG172"/>
  <c r="BG190"/>
  <c r="BG127"/>
  <c r="BG137"/>
  <c r="BG145"/>
  <c r="BG155"/>
  <c r="BG165"/>
  <c r="BG175"/>
  <c r="BG184"/>
  <c r="BG192"/>
  <c r="BG227"/>
  <c r="BG130"/>
  <c r="BG140"/>
  <c r="BG150"/>
  <c r="BG158"/>
  <c r="BG160"/>
  <c r="BG168"/>
  <c r="BG178"/>
  <c r="BG198"/>
  <c r="BG199"/>
  <c r="BG220"/>
  <c r="BG226"/>
  <c r="BG228"/>
  <c r="BG187"/>
  <c r="BG197"/>
  <c r="BG206"/>
  <c r="BG212"/>
  <c r="BG185"/>
  <c r="BG193"/>
  <c r="BG203"/>
  <c r="BG181"/>
  <c r="BG191"/>
  <c r="BG201"/>
  <c r="BG222"/>
  <c r="BG230"/>
  <c r="BG186"/>
  <c r="BG194"/>
  <c r="BG196"/>
  <c r="BG204"/>
  <c r="BG208"/>
  <c r="BG209"/>
  <c r="BG216"/>
  <c r="BG217"/>
  <c r="BG214"/>
  <c r="BG224"/>
  <c r="BG234"/>
  <c r="BG242"/>
  <c r="BG237"/>
  <c r="BG232"/>
  <c r="BG240"/>
  <c r="BG205"/>
  <c r="BG215"/>
  <c r="BG225"/>
  <c r="BG235"/>
  <c r="BG238"/>
  <c r="BG213"/>
  <c r="BG223"/>
  <c r="BG233"/>
  <c r="BG241"/>
  <c r="BG236"/>
  <c r="BG211"/>
  <c r="BG221"/>
  <c r="BG229"/>
  <c r="BG239"/>
  <c r="AF48"/>
  <c r="AF28"/>
  <c r="AF47"/>
  <c r="AF30"/>
  <c r="AF37"/>
  <c r="AF57"/>
  <c r="AF58"/>
  <c r="AF176"/>
  <c r="AF16"/>
  <c r="AF38"/>
  <c r="AF4"/>
  <c r="AF69"/>
  <c r="AF20"/>
  <c r="AF105"/>
  <c r="AF197"/>
  <c r="AF54"/>
  <c r="AF83"/>
  <c r="AF5"/>
  <c r="AF44"/>
  <c r="AF64"/>
  <c r="AF133"/>
  <c r="AF7"/>
  <c r="AF24"/>
  <c r="AF34"/>
  <c r="AF40"/>
  <c r="AF101"/>
  <c r="AF132"/>
  <c r="AF13"/>
  <c r="AF18"/>
  <c r="AF25"/>
  <c r="AF8"/>
  <c r="AF10"/>
  <c r="AF26"/>
  <c r="AF29"/>
  <c r="AF35"/>
  <c r="AF45"/>
  <c r="AF55"/>
  <c r="AF65"/>
  <c r="AF70"/>
  <c r="AF72"/>
  <c r="AF77"/>
  <c r="AF128"/>
  <c r="AF188"/>
  <c r="AF191"/>
  <c r="AF6"/>
  <c r="AF11"/>
  <c r="AF14"/>
  <c r="AF19"/>
  <c r="AF36"/>
  <c r="AF46"/>
  <c r="AF56"/>
  <c r="AF9"/>
  <c r="AF17"/>
  <c r="AF82"/>
  <c r="AF205"/>
  <c r="AF23"/>
  <c r="AF33"/>
  <c r="AF43"/>
  <c r="AF53"/>
  <c r="AF85"/>
  <c r="AF92"/>
  <c r="AF106"/>
  <c r="AF21"/>
  <c r="AF31"/>
  <c r="AF41"/>
  <c r="AF49"/>
  <c r="AF59"/>
  <c r="AF60"/>
  <c r="AF62"/>
  <c r="AF66"/>
  <c r="AF110"/>
  <c r="AF180"/>
  <c r="AF90"/>
  <c r="AF12"/>
  <c r="AF22"/>
  <c r="AF32"/>
  <c r="AF42"/>
  <c r="AF50"/>
  <c r="AF52"/>
  <c r="AF74"/>
  <c r="AF79"/>
  <c r="AF89"/>
  <c r="AF112"/>
  <c r="AF117"/>
  <c r="AF120"/>
  <c r="AF165"/>
  <c r="AF189"/>
  <c r="AF67"/>
  <c r="AF95"/>
  <c r="AF96"/>
  <c r="AF97"/>
  <c r="AF102"/>
  <c r="AF145"/>
  <c r="AF152"/>
  <c r="AF209"/>
  <c r="AF115"/>
  <c r="AF116"/>
  <c r="AF127"/>
  <c r="AF148"/>
  <c r="AF73"/>
  <c r="AF76"/>
  <c r="AF80"/>
  <c r="AF84"/>
  <c r="AF107"/>
  <c r="AF142"/>
  <c r="AF156"/>
  <c r="AF172"/>
  <c r="AF125"/>
  <c r="AF153"/>
  <c r="AF155"/>
  <c r="AF166"/>
  <c r="AF215"/>
  <c r="AF68"/>
  <c r="AF78"/>
  <c r="AF86"/>
  <c r="AF91"/>
  <c r="AF173"/>
  <c r="AF175"/>
  <c r="AF61"/>
  <c r="AF71"/>
  <c r="AF81"/>
  <c r="AF88"/>
  <c r="AF109"/>
  <c r="AF119"/>
  <c r="AF137"/>
  <c r="AF163"/>
  <c r="AF198"/>
  <c r="AF94"/>
  <c r="AF104"/>
  <c r="AF114"/>
  <c r="AF122"/>
  <c r="AF124"/>
  <c r="AF143"/>
  <c r="AF217"/>
  <c r="AF98"/>
  <c r="AF100"/>
  <c r="AF108"/>
  <c r="AF118"/>
  <c r="AF138"/>
  <c r="AF146"/>
  <c r="AF93"/>
  <c r="AF103"/>
  <c r="AF113"/>
  <c r="AF121"/>
  <c r="AF162"/>
  <c r="AF170"/>
  <c r="AF181"/>
  <c r="AF130"/>
  <c r="AF140"/>
  <c r="AF150"/>
  <c r="AF158"/>
  <c r="AF160"/>
  <c r="AF168"/>
  <c r="AF178"/>
  <c r="AF131"/>
  <c r="AF141"/>
  <c r="AF151"/>
  <c r="AF161"/>
  <c r="AF169"/>
  <c r="AF179"/>
  <c r="AF199"/>
  <c r="AF226"/>
  <c r="AF227"/>
  <c r="AF126"/>
  <c r="AF134"/>
  <c r="AF136"/>
  <c r="AF144"/>
  <c r="AF154"/>
  <c r="AF164"/>
  <c r="AF174"/>
  <c r="AF221"/>
  <c r="AF229"/>
  <c r="AF129"/>
  <c r="AF139"/>
  <c r="AF149"/>
  <c r="AF157"/>
  <c r="AF167"/>
  <c r="AF177"/>
  <c r="AF187"/>
  <c r="AF201"/>
  <c r="AF186"/>
  <c r="AF194"/>
  <c r="AF196"/>
  <c r="AF204"/>
  <c r="AF206"/>
  <c r="AF182"/>
  <c r="AF184"/>
  <c r="AF192"/>
  <c r="AF202"/>
  <c r="AF208"/>
  <c r="AF216"/>
  <c r="AF190"/>
  <c r="AF200"/>
  <c r="AF185"/>
  <c r="AF193"/>
  <c r="AF203"/>
  <c r="AF211"/>
  <c r="AF225"/>
  <c r="AF213"/>
  <c r="AF223"/>
  <c r="AF233"/>
  <c r="AF241"/>
  <c r="AF236"/>
  <c r="AF239"/>
  <c r="AF214"/>
  <c r="AF224"/>
  <c r="AF234"/>
  <c r="AF242"/>
  <c r="AF237"/>
  <c r="AF212"/>
  <c r="AF222"/>
  <c r="AF230"/>
  <c r="AF232"/>
  <c r="AF240"/>
  <c r="AF235"/>
  <c r="AF210"/>
  <c r="AF218"/>
  <c r="AF220"/>
  <c r="AF228"/>
  <c r="AF238"/>
  <c r="W84"/>
  <c r="W41"/>
  <c r="W34"/>
  <c r="W71"/>
  <c r="W22"/>
  <c r="W114"/>
  <c r="W97"/>
  <c r="W45"/>
  <c r="W112"/>
  <c r="W25"/>
  <c r="W35"/>
  <c r="W16"/>
  <c r="W8"/>
  <c r="W31"/>
  <c r="W60"/>
  <c r="W4"/>
  <c r="W7"/>
  <c r="W12"/>
  <c r="W13"/>
  <c r="W18"/>
  <c r="W21"/>
  <c r="W50"/>
  <c r="W9"/>
  <c r="W54"/>
  <c r="W117"/>
  <c r="W44"/>
  <c r="W55"/>
  <c r="W93"/>
  <c r="W5"/>
  <c r="W10"/>
  <c r="W23"/>
  <c r="W32"/>
  <c r="W42"/>
  <c r="W52"/>
  <c r="W69"/>
  <c r="W11"/>
  <c r="W14"/>
  <c r="W24"/>
  <c r="W33"/>
  <c r="W43"/>
  <c r="W53"/>
  <c r="W64"/>
  <c r="W102"/>
  <c r="W103"/>
  <c r="W177"/>
  <c r="W6"/>
  <c r="W17"/>
  <c r="W49"/>
  <c r="W59"/>
  <c r="W70"/>
  <c r="W20"/>
  <c r="W30"/>
  <c r="W38"/>
  <c r="W40"/>
  <c r="W48"/>
  <c r="W58"/>
  <c r="W62"/>
  <c r="W66"/>
  <c r="W67"/>
  <c r="W72"/>
  <c r="W76"/>
  <c r="W185"/>
  <c r="W222"/>
  <c r="W26"/>
  <c r="W28"/>
  <c r="W36"/>
  <c r="W46"/>
  <c r="W56"/>
  <c r="W61"/>
  <c r="W92"/>
  <c r="W94"/>
  <c r="W106"/>
  <c r="W152"/>
  <c r="W192"/>
  <c r="W85"/>
  <c r="W170"/>
  <c r="W19"/>
  <c r="W29"/>
  <c r="W37"/>
  <c r="W47"/>
  <c r="W57"/>
  <c r="W77"/>
  <c r="W80"/>
  <c r="W167"/>
  <c r="W82"/>
  <c r="W107"/>
  <c r="W129"/>
  <c r="W163"/>
  <c r="W172"/>
  <c r="W79"/>
  <c r="W89"/>
  <c r="W104"/>
  <c r="W122"/>
  <c r="W206"/>
  <c r="W74"/>
  <c r="W81"/>
  <c r="W113"/>
  <c r="W116"/>
  <c r="W124"/>
  <c r="W160"/>
  <c r="W180"/>
  <c r="W203"/>
  <c r="W226"/>
  <c r="W65"/>
  <c r="W73"/>
  <c r="W83"/>
  <c r="W88"/>
  <c r="W110"/>
  <c r="W120"/>
  <c r="W121"/>
  <c r="W140"/>
  <c r="W149"/>
  <c r="W230"/>
  <c r="W68"/>
  <c r="W78"/>
  <c r="W86"/>
  <c r="W96"/>
  <c r="W132"/>
  <c r="W157"/>
  <c r="W162"/>
  <c r="W168"/>
  <c r="W91"/>
  <c r="W101"/>
  <c r="W109"/>
  <c r="W119"/>
  <c r="W125"/>
  <c r="W133"/>
  <c r="W139"/>
  <c r="W153"/>
  <c r="W173"/>
  <c r="W184"/>
  <c r="W193"/>
  <c r="W95"/>
  <c r="W105"/>
  <c r="W115"/>
  <c r="W126"/>
  <c r="W130"/>
  <c r="W142"/>
  <c r="W150"/>
  <c r="W158"/>
  <c r="W178"/>
  <c r="W198"/>
  <c r="W202"/>
  <c r="W90"/>
  <c r="W98"/>
  <c r="W100"/>
  <c r="W108"/>
  <c r="W118"/>
  <c r="W143"/>
  <c r="W127"/>
  <c r="W137"/>
  <c r="W145"/>
  <c r="W155"/>
  <c r="W165"/>
  <c r="W175"/>
  <c r="W186"/>
  <c r="W194"/>
  <c r="W128"/>
  <c r="W138"/>
  <c r="W146"/>
  <c r="W148"/>
  <c r="W156"/>
  <c r="W166"/>
  <c r="W176"/>
  <c r="W182"/>
  <c r="W188"/>
  <c r="W208"/>
  <c r="W216"/>
  <c r="W131"/>
  <c r="W141"/>
  <c r="W151"/>
  <c r="W161"/>
  <c r="W169"/>
  <c r="W179"/>
  <c r="W196"/>
  <c r="W204"/>
  <c r="W134"/>
  <c r="W136"/>
  <c r="W144"/>
  <c r="W154"/>
  <c r="W164"/>
  <c r="W174"/>
  <c r="W223"/>
  <c r="W181"/>
  <c r="W191"/>
  <c r="W201"/>
  <c r="W224"/>
  <c r="W189"/>
  <c r="W199"/>
  <c r="W212"/>
  <c r="W213"/>
  <c r="W187"/>
  <c r="W197"/>
  <c r="W205"/>
  <c r="W214"/>
  <c r="W190"/>
  <c r="W200"/>
  <c r="W210"/>
  <c r="W218"/>
  <c r="W220"/>
  <c r="W228"/>
  <c r="W238"/>
  <c r="W233"/>
  <c r="W241"/>
  <c r="W236"/>
  <c r="W211"/>
  <c r="W221"/>
  <c r="W229"/>
  <c r="W239"/>
  <c r="W234"/>
  <c r="W242"/>
  <c r="W209"/>
  <c r="W217"/>
  <c r="W227"/>
  <c r="W237"/>
  <c r="W232"/>
  <c r="W240"/>
  <c r="W215"/>
  <c r="W225"/>
  <c r="W235"/>
  <c r="AI11"/>
  <c r="AI16"/>
  <c r="AI4"/>
  <c r="AI49"/>
  <c r="AI154"/>
  <c r="AI92"/>
  <c r="AI153"/>
  <c r="AI45"/>
  <c r="AI59"/>
  <c r="AI85"/>
  <c r="AI8"/>
  <c r="AI5"/>
  <c r="AI10"/>
  <c r="AI29"/>
  <c r="AI86"/>
  <c r="AI199"/>
  <c r="AI20"/>
  <c r="AI21"/>
  <c r="AI40"/>
  <c r="AI70"/>
  <c r="AI98"/>
  <c r="AI55"/>
  <c r="AI67"/>
  <c r="AI25"/>
  <c r="AI35"/>
  <c r="AI77"/>
  <c r="AI6"/>
  <c r="AI14"/>
  <c r="AI83"/>
  <c r="AI26"/>
  <c r="AI60"/>
  <c r="AI73"/>
  <c r="AI113"/>
  <c r="AI17"/>
  <c r="AI28"/>
  <c r="AI30"/>
  <c r="AI9"/>
  <c r="AI19"/>
  <c r="AI31"/>
  <c r="AI36"/>
  <c r="AI41"/>
  <c r="AI46"/>
  <c r="AI56"/>
  <c r="AI102"/>
  <c r="AI107"/>
  <c r="AI7"/>
  <c r="AI12"/>
  <c r="AI37"/>
  <c r="AI47"/>
  <c r="AI57"/>
  <c r="AI66"/>
  <c r="AI71"/>
  <c r="AI18"/>
  <c r="AI38"/>
  <c r="AI48"/>
  <c r="AI58"/>
  <c r="AI24"/>
  <c r="AI34"/>
  <c r="AI44"/>
  <c r="AI54"/>
  <c r="AI65"/>
  <c r="AI96"/>
  <c r="AI97"/>
  <c r="AI108"/>
  <c r="AI22"/>
  <c r="AI32"/>
  <c r="AI42"/>
  <c r="AI50"/>
  <c r="AI52"/>
  <c r="AI61"/>
  <c r="AI76"/>
  <c r="AI78"/>
  <c r="AI138"/>
  <c r="AI84"/>
  <c r="AI117"/>
  <c r="AI125"/>
  <c r="AI174"/>
  <c r="AI13"/>
  <c r="AI23"/>
  <c r="AI33"/>
  <c r="AI43"/>
  <c r="AI53"/>
  <c r="AI116"/>
  <c r="AI118"/>
  <c r="AI157"/>
  <c r="AI68"/>
  <c r="AI90"/>
  <c r="AI93"/>
  <c r="AI164"/>
  <c r="AI173"/>
  <c r="AI80"/>
  <c r="AI112"/>
  <c r="AI74"/>
  <c r="AI81"/>
  <c r="AI91"/>
  <c r="AI103"/>
  <c r="AI106"/>
  <c r="AI149"/>
  <c r="AI177"/>
  <c r="AI88"/>
  <c r="AI134"/>
  <c r="AI190"/>
  <c r="AI69"/>
  <c r="AI79"/>
  <c r="AI110"/>
  <c r="AI120"/>
  <c r="AI129"/>
  <c r="AI146"/>
  <c r="AI198"/>
  <c r="AI62"/>
  <c r="AI64"/>
  <c r="AI72"/>
  <c r="AI82"/>
  <c r="AI89"/>
  <c r="AI100"/>
  <c r="AI121"/>
  <c r="AI133"/>
  <c r="AI139"/>
  <c r="AI143"/>
  <c r="AI167"/>
  <c r="AI206"/>
  <c r="AI95"/>
  <c r="AI105"/>
  <c r="AI115"/>
  <c r="AI136"/>
  <c r="AI144"/>
  <c r="AI166"/>
  <c r="AI101"/>
  <c r="AI109"/>
  <c r="AI119"/>
  <c r="AI163"/>
  <c r="AI94"/>
  <c r="AI104"/>
  <c r="AI114"/>
  <c r="AI122"/>
  <c r="AI124"/>
  <c r="AI126"/>
  <c r="AI128"/>
  <c r="AI148"/>
  <c r="AI156"/>
  <c r="AI176"/>
  <c r="AI131"/>
  <c r="AI141"/>
  <c r="AI151"/>
  <c r="AI161"/>
  <c r="AI169"/>
  <c r="AI179"/>
  <c r="AI184"/>
  <c r="AI192"/>
  <c r="AI208"/>
  <c r="AI209"/>
  <c r="AI210"/>
  <c r="AI216"/>
  <c r="AI217"/>
  <c r="AI218"/>
  <c r="AI132"/>
  <c r="AI142"/>
  <c r="AI152"/>
  <c r="AI162"/>
  <c r="AI170"/>
  <c r="AI172"/>
  <c r="AI180"/>
  <c r="AI200"/>
  <c r="AI220"/>
  <c r="AI228"/>
  <c r="AI127"/>
  <c r="AI137"/>
  <c r="AI145"/>
  <c r="AI155"/>
  <c r="AI165"/>
  <c r="AI175"/>
  <c r="AI202"/>
  <c r="AI130"/>
  <c r="AI140"/>
  <c r="AI150"/>
  <c r="AI158"/>
  <c r="AI160"/>
  <c r="AI168"/>
  <c r="AI178"/>
  <c r="AI182"/>
  <c r="AI188"/>
  <c r="AI189"/>
  <c r="AI187"/>
  <c r="AI197"/>
  <c r="AI222"/>
  <c r="AI230"/>
  <c r="AI185"/>
  <c r="AI193"/>
  <c r="AI203"/>
  <c r="AI181"/>
  <c r="AI191"/>
  <c r="AI201"/>
  <c r="AI212"/>
  <c r="AI186"/>
  <c r="AI194"/>
  <c r="AI196"/>
  <c r="AI204"/>
  <c r="AI226"/>
  <c r="AI227"/>
  <c r="AI214"/>
  <c r="AI224"/>
  <c r="AI234"/>
  <c r="AI242"/>
  <c r="AI237"/>
  <c r="AI232"/>
  <c r="AI240"/>
  <c r="AI205"/>
  <c r="AI215"/>
  <c r="AI225"/>
  <c r="AI235"/>
  <c r="AI238"/>
  <c r="AI213"/>
  <c r="AI223"/>
  <c r="AI233"/>
  <c r="AI241"/>
  <c r="AI236"/>
  <c r="AI211"/>
  <c r="AI221"/>
  <c r="AI229"/>
  <c r="AI239"/>
  <c r="AN142"/>
  <c r="AN18"/>
  <c r="AN4"/>
  <c r="AN95"/>
  <c r="AN46"/>
  <c r="AN96"/>
  <c r="AN34"/>
  <c r="AN47"/>
  <c r="AN44"/>
  <c r="AN17"/>
  <c r="AN37"/>
  <c r="AN40"/>
  <c r="AN72"/>
  <c r="AN19"/>
  <c r="AN54"/>
  <c r="AN36"/>
  <c r="AN57"/>
  <c r="AN76"/>
  <c r="AN7"/>
  <c r="AN10"/>
  <c r="AN225"/>
  <c r="AN24"/>
  <c r="AN25"/>
  <c r="AN30"/>
  <c r="AN60"/>
  <c r="AN65"/>
  <c r="AN28"/>
  <c r="AN82"/>
  <c r="AN89"/>
  <c r="AN110"/>
  <c r="AN5"/>
  <c r="AN56"/>
  <c r="AN91"/>
  <c r="AN8"/>
  <c r="AN13"/>
  <c r="AN38"/>
  <c r="AN48"/>
  <c r="AN58"/>
  <c r="AN105"/>
  <c r="AN6"/>
  <c r="AN16"/>
  <c r="AN20"/>
  <c r="AN175"/>
  <c r="AN9"/>
  <c r="AN11"/>
  <c r="AN14"/>
  <c r="AN26"/>
  <c r="AN29"/>
  <c r="AN35"/>
  <c r="AN45"/>
  <c r="AN55"/>
  <c r="AN64"/>
  <c r="AN83"/>
  <c r="AN84"/>
  <c r="AN132"/>
  <c r="AN23"/>
  <c r="AN33"/>
  <c r="AN43"/>
  <c r="AN53"/>
  <c r="AN109"/>
  <c r="AN21"/>
  <c r="AN31"/>
  <c r="AN41"/>
  <c r="AN49"/>
  <c r="AN59"/>
  <c r="AN137"/>
  <c r="AN170"/>
  <c r="AN176"/>
  <c r="AN67"/>
  <c r="AN69"/>
  <c r="AN73"/>
  <c r="AN85"/>
  <c r="AN166"/>
  <c r="AN173"/>
  <c r="AN12"/>
  <c r="AN22"/>
  <c r="AN32"/>
  <c r="AN42"/>
  <c r="AN50"/>
  <c r="AN52"/>
  <c r="AN62"/>
  <c r="AN77"/>
  <c r="AN80"/>
  <c r="AN155"/>
  <c r="AN66"/>
  <c r="AN70"/>
  <c r="AN74"/>
  <c r="AN88"/>
  <c r="AN115"/>
  <c r="AN162"/>
  <c r="AN211"/>
  <c r="AN125"/>
  <c r="AN128"/>
  <c r="AN153"/>
  <c r="AN79"/>
  <c r="AN119"/>
  <c r="AN120"/>
  <c r="AN145"/>
  <c r="AN97"/>
  <c r="AN106"/>
  <c r="AN116"/>
  <c r="AN152"/>
  <c r="AN163"/>
  <c r="AN198"/>
  <c r="AN216"/>
  <c r="AN68"/>
  <c r="AN78"/>
  <c r="AN86"/>
  <c r="AN90"/>
  <c r="AN92"/>
  <c r="AN101"/>
  <c r="AN107"/>
  <c r="AN117"/>
  <c r="AN133"/>
  <c r="AN148"/>
  <c r="AN172"/>
  <c r="AN227"/>
  <c r="AN61"/>
  <c r="AN71"/>
  <c r="AN81"/>
  <c r="AN102"/>
  <c r="AN112"/>
  <c r="AN156"/>
  <c r="AN180"/>
  <c r="AN217"/>
  <c r="AN94"/>
  <c r="AN104"/>
  <c r="AN114"/>
  <c r="AN122"/>
  <c r="AN124"/>
  <c r="AN138"/>
  <c r="AN146"/>
  <c r="AN199"/>
  <c r="AN201"/>
  <c r="AN98"/>
  <c r="AN100"/>
  <c r="AN108"/>
  <c r="AN118"/>
  <c r="AN127"/>
  <c r="AN143"/>
  <c r="AN181"/>
  <c r="AN93"/>
  <c r="AN103"/>
  <c r="AN113"/>
  <c r="AN121"/>
  <c r="AN165"/>
  <c r="AN187"/>
  <c r="AN188"/>
  <c r="AN208"/>
  <c r="AN209"/>
  <c r="AN130"/>
  <c r="AN140"/>
  <c r="AN150"/>
  <c r="AN158"/>
  <c r="AN160"/>
  <c r="AN168"/>
  <c r="AN178"/>
  <c r="AN205"/>
  <c r="AN131"/>
  <c r="AN141"/>
  <c r="AN151"/>
  <c r="AN161"/>
  <c r="AN169"/>
  <c r="AN179"/>
  <c r="AN189"/>
  <c r="AN126"/>
  <c r="AN134"/>
  <c r="AN136"/>
  <c r="AN144"/>
  <c r="AN154"/>
  <c r="AN164"/>
  <c r="AN174"/>
  <c r="AN129"/>
  <c r="AN139"/>
  <c r="AN149"/>
  <c r="AN157"/>
  <c r="AN167"/>
  <c r="AN177"/>
  <c r="AN191"/>
  <c r="AN197"/>
  <c r="AN206"/>
  <c r="AN186"/>
  <c r="AN194"/>
  <c r="AN196"/>
  <c r="AN204"/>
  <c r="AN182"/>
  <c r="AN184"/>
  <c r="AN192"/>
  <c r="AN202"/>
  <c r="AN226"/>
  <c r="AN190"/>
  <c r="AN200"/>
  <c r="AN185"/>
  <c r="AN193"/>
  <c r="AN203"/>
  <c r="AN215"/>
  <c r="AN221"/>
  <c r="AN229"/>
  <c r="AN213"/>
  <c r="AN223"/>
  <c r="AN233"/>
  <c r="AN241"/>
  <c r="AN236"/>
  <c r="AN239"/>
  <c r="AN214"/>
  <c r="AN224"/>
  <c r="AN234"/>
  <c r="AN242"/>
  <c r="AN237"/>
  <c r="AN212"/>
  <c r="AN222"/>
  <c r="AN230"/>
  <c r="AN232"/>
  <c r="AN240"/>
  <c r="AN235"/>
  <c r="AN210"/>
  <c r="AN218"/>
  <c r="AN220"/>
  <c r="AN228"/>
  <c r="AN238"/>
  <c r="M17"/>
  <c r="M72"/>
  <c r="M12"/>
  <c r="M55"/>
  <c r="M16"/>
  <c r="M36"/>
  <c r="M76"/>
  <c r="M46"/>
  <c r="M45"/>
  <c r="M83"/>
  <c r="M6"/>
  <c r="M9"/>
  <c r="M65"/>
  <c r="M66"/>
  <c r="M18"/>
  <c r="M35"/>
  <c r="M56"/>
  <c r="M174"/>
  <c r="M29"/>
  <c r="M91"/>
  <c r="M23"/>
  <c r="M26"/>
  <c r="M84"/>
  <c r="M151"/>
  <c r="M170"/>
  <c r="M4"/>
  <c r="M10"/>
  <c r="M19"/>
  <c r="M126"/>
  <c r="M7"/>
  <c r="M13"/>
  <c r="M24"/>
  <c r="M33"/>
  <c r="M37"/>
  <c r="M43"/>
  <c r="M47"/>
  <c r="M53"/>
  <c r="M57"/>
  <c r="M62"/>
  <c r="M98"/>
  <c r="M5"/>
  <c r="M14"/>
  <c r="M25"/>
  <c r="M28"/>
  <c r="M34"/>
  <c r="M44"/>
  <c r="M54"/>
  <c r="M90"/>
  <c r="M109"/>
  <c r="M8"/>
  <c r="M69"/>
  <c r="M86"/>
  <c r="M89"/>
  <c r="M22"/>
  <c r="M32"/>
  <c r="M42"/>
  <c r="M50"/>
  <c r="M52"/>
  <c r="M64"/>
  <c r="M162"/>
  <c r="M164"/>
  <c r="M187"/>
  <c r="M20"/>
  <c r="M30"/>
  <c r="M38"/>
  <c r="M40"/>
  <c r="M48"/>
  <c r="M58"/>
  <c r="M61"/>
  <c r="M73"/>
  <c r="M118"/>
  <c r="M134"/>
  <c r="M78"/>
  <c r="M104"/>
  <c r="M105"/>
  <c r="M11"/>
  <c r="M21"/>
  <c r="M31"/>
  <c r="M41"/>
  <c r="M49"/>
  <c r="M59"/>
  <c r="M71"/>
  <c r="M108"/>
  <c r="M136"/>
  <c r="M197"/>
  <c r="M68"/>
  <c r="M82"/>
  <c r="M94"/>
  <c r="M95"/>
  <c r="M119"/>
  <c r="M142"/>
  <c r="M144"/>
  <c r="M179"/>
  <c r="M205"/>
  <c r="M79"/>
  <c r="M114"/>
  <c r="M115"/>
  <c r="M124"/>
  <c r="M74"/>
  <c r="M81"/>
  <c r="M88"/>
  <c r="M96"/>
  <c r="M100"/>
  <c r="M67"/>
  <c r="M77"/>
  <c r="M85"/>
  <c r="M106"/>
  <c r="M116"/>
  <c r="M131"/>
  <c r="M141"/>
  <c r="M196"/>
  <c r="M200"/>
  <c r="M60"/>
  <c r="M70"/>
  <c r="M80"/>
  <c r="M101"/>
  <c r="M122"/>
  <c r="M154"/>
  <c r="M165"/>
  <c r="M93"/>
  <c r="M103"/>
  <c r="M113"/>
  <c r="M121"/>
  <c r="M155"/>
  <c r="M175"/>
  <c r="M97"/>
  <c r="M107"/>
  <c r="M117"/>
  <c r="M132"/>
  <c r="M152"/>
  <c r="M172"/>
  <c r="M180"/>
  <c r="M190"/>
  <c r="M92"/>
  <c r="M102"/>
  <c r="M110"/>
  <c r="M112"/>
  <c r="M120"/>
  <c r="M127"/>
  <c r="M137"/>
  <c r="M145"/>
  <c r="M161"/>
  <c r="M169"/>
  <c r="M204"/>
  <c r="M129"/>
  <c r="M139"/>
  <c r="M149"/>
  <c r="M157"/>
  <c r="M167"/>
  <c r="M177"/>
  <c r="M188"/>
  <c r="M225"/>
  <c r="M130"/>
  <c r="M140"/>
  <c r="M150"/>
  <c r="M158"/>
  <c r="M160"/>
  <c r="M168"/>
  <c r="M178"/>
  <c r="M125"/>
  <c r="M133"/>
  <c r="M143"/>
  <c r="M153"/>
  <c r="M163"/>
  <c r="M173"/>
  <c r="M198"/>
  <c r="M128"/>
  <c r="M138"/>
  <c r="M146"/>
  <c r="M148"/>
  <c r="M156"/>
  <c r="M166"/>
  <c r="M176"/>
  <c r="M186"/>
  <c r="M194"/>
  <c r="M210"/>
  <c r="M214"/>
  <c r="M218"/>
  <c r="M185"/>
  <c r="M193"/>
  <c r="M203"/>
  <c r="M226"/>
  <c r="M181"/>
  <c r="M191"/>
  <c r="M201"/>
  <c r="M215"/>
  <c r="M220"/>
  <c r="M228"/>
  <c r="M189"/>
  <c r="M199"/>
  <c r="M206"/>
  <c r="M208"/>
  <c r="M216"/>
  <c r="M182"/>
  <c r="M184"/>
  <c r="M192"/>
  <c r="M202"/>
  <c r="M224"/>
  <c r="M212"/>
  <c r="M222"/>
  <c r="M230"/>
  <c r="M232"/>
  <c r="M240"/>
  <c r="M235"/>
  <c r="M238"/>
  <c r="M213"/>
  <c r="M223"/>
  <c r="M233"/>
  <c r="M241"/>
  <c r="M236"/>
  <c r="M211"/>
  <c r="M221"/>
  <c r="M229"/>
  <c r="M239"/>
  <c r="M234"/>
  <c r="M242"/>
  <c r="M209"/>
  <c r="M217"/>
  <c r="M227"/>
  <c r="M237"/>
  <c r="G54"/>
  <c r="G59"/>
  <c r="G120"/>
  <c r="G43"/>
  <c r="G31"/>
  <c r="G82"/>
  <c r="G50"/>
  <c r="G9"/>
  <c r="G79"/>
  <c r="G16"/>
  <c r="G10"/>
  <c r="G21"/>
  <c r="G24"/>
  <c r="G34"/>
  <c r="G4"/>
  <c r="G25"/>
  <c r="G61"/>
  <c r="G160"/>
  <c r="G64"/>
  <c r="G107"/>
  <c r="G13"/>
  <c r="G18"/>
  <c r="G49"/>
  <c r="G53"/>
  <c r="G7"/>
  <c r="G17"/>
  <c r="G41"/>
  <c r="G44"/>
  <c r="G77"/>
  <c r="G8"/>
  <c r="G33"/>
  <c r="G5"/>
  <c r="G11"/>
  <c r="G14"/>
  <c r="G22"/>
  <c r="G35"/>
  <c r="G45"/>
  <c r="G55"/>
  <c r="G70"/>
  <c r="G81"/>
  <c r="G117"/>
  <c r="G12"/>
  <c r="G23"/>
  <c r="G32"/>
  <c r="G42"/>
  <c r="G52"/>
  <c r="G62"/>
  <c r="G140"/>
  <c r="G149"/>
  <c r="G168"/>
  <c r="G6"/>
  <c r="G74"/>
  <c r="G112"/>
  <c r="G20"/>
  <c r="G30"/>
  <c r="G38"/>
  <c r="G40"/>
  <c r="G48"/>
  <c r="G58"/>
  <c r="G71"/>
  <c r="G26"/>
  <c r="G28"/>
  <c r="G36"/>
  <c r="G46"/>
  <c r="G56"/>
  <c r="G66"/>
  <c r="G67"/>
  <c r="G69"/>
  <c r="G113"/>
  <c r="G116"/>
  <c r="G122"/>
  <c r="G132"/>
  <c r="G19"/>
  <c r="G29"/>
  <c r="G37"/>
  <c r="G47"/>
  <c r="G57"/>
  <c r="G60"/>
  <c r="G89"/>
  <c r="G93"/>
  <c r="G180"/>
  <c r="G76"/>
  <c r="G80"/>
  <c r="G84"/>
  <c r="G88"/>
  <c r="G103"/>
  <c r="G106"/>
  <c r="G121"/>
  <c r="G126"/>
  <c r="G162"/>
  <c r="G85"/>
  <c r="G96"/>
  <c r="G97"/>
  <c r="G102"/>
  <c r="G163"/>
  <c r="G172"/>
  <c r="G72"/>
  <c r="G92"/>
  <c r="G110"/>
  <c r="G152"/>
  <c r="G157"/>
  <c r="G208"/>
  <c r="G94"/>
  <c r="G177"/>
  <c r="G65"/>
  <c r="G73"/>
  <c r="G83"/>
  <c r="G104"/>
  <c r="G114"/>
  <c r="G170"/>
  <c r="G185"/>
  <c r="G222"/>
  <c r="G226"/>
  <c r="G68"/>
  <c r="G78"/>
  <c r="G86"/>
  <c r="G124"/>
  <c r="G129"/>
  <c r="G167"/>
  <c r="G203"/>
  <c r="G91"/>
  <c r="G101"/>
  <c r="G109"/>
  <c r="G119"/>
  <c r="G133"/>
  <c r="G139"/>
  <c r="G153"/>
  <c r="G173"/>
  <c r="G198"/>
  <c r="G202"/>
  <c r="G223"/>
  <c r="G95"/>
  <c r="G105"/>
  <c r="G115"/>
  <c r="G125"/>
  <c r="G130"/>
  <c r="G142"/>
  <c r="G150"/>
  <c r="G158"/>
  <c r="G178"/>
  <c r="G184"/>
  <c r="G193"/>
  <c r="G216"/>
  <c r="G230"/>
  <c r="G90"/>
  <c r="G98"/>
  <c r="G100"/>
  <c r="G108"/>
  <c r="G118"/>
  <c r="G143"/>
  <c r="G192"/>
  <c r="G127"/>
  <c r="G137"/>
  <c r="G145"/>
  <c r="G155"/>
  <c r="G165"/>
  <c r="G175"/>
  <c r="G186"/>
  <c r="G194"/>
  <c r="G128"/>
  <c r="G138"/>
  <c r="G146"/>
  <c r="G148"/>
  <c r="G156"/>
  <c r="G166"/>
  <c r="G176"/>
  <c r="G182"/>
  <c r="G188"/>
  <c r="G131"/>
  <c r="G141"/>
  <c r="G151"/>
  <c r="G161"/>
  <c r="G169"/>
  <c r="G179"/>
  <c r="G196"/>
  <c r="G204"/>
  <c r="G134"/>
  <c r="G136"/>
  <c r="G144"/>
  <c r="G154"/>
  <c r="G164"/>
  <c r="G174"/>
  <c r="G181"/>
  <c r="G191"/>
  <c r="G201"/>
  <c r="G206"/>
  <c r="G224"/>
  <c r="G189"/>
  <c r="G199"/>
  <c r="G212"/>
  <c r="G213"/>
  <c r="G187"/>
  <c r="G197"/>
  <c r="G205"/>
  <c r="G214"/>
  <c r="G190"/>
  <c r="G200"/>
  <c r="G210"/>
  <c r="G218"/>
  <c r="G220"/>
  <c r="G228"/>
  <c r="G238"/>
  <c r="G233"/>
  <c r="G241"/>
  <c r="G236"/>
  <c r="G211"/>
  <c r="G221"/>
  <c r="G229"/>
  <c r="G239"/>
  <c r="G234"/>
  <c r="G242"/>
  <c r="G209"/>
  <c r="G217"/>
  <c r="G227"/>
  <c r="G237"/>
  <c r="G232"/>
  <c r="G240"/>
  <c r="G215"/>
  <c r="G225"/>
  <c r="G235"/>
  <c r="BC222"/>
  <c r="BC104"/>
  <c r="BC8"/>
  <c r="BC62"/>
  <c r="BC89"/>
  <c r="BC60"/>
  <c r="BC23"/>
  <c r="BC42"/>
  <c r="BC9"/>
  <c r="BC14"/>
  <c r="BC33"/>
  <c r="BC49"/>
  <c r="BC53"/>
  <c r="BC7"/>
  <c r="BC11"/>
  <c r="BC129"/>
  <c r="BC203"/>
  <c r="BC43"/>
  <c r="BC21"/>
  <c r="BC52"/>
  <c r="BC152"/>
  <c r="BC4"/>
  <c r="BC17"/>
  <c r="BC32"/>
  <c r="BC106"/>
  <c r="BC121"/>
  <c r="BC163"/>
  <c r="BC16"/>
  <c r="BC24"/>
  <c r="BC72"/>
  <c r="BC10"/>
  <c r="BC67"/>
  <c r="BC80"/>
  <c r="BC122"/>
  <c r="BC5"/>
  <c r="BC12"/>
  <c r="BC25"/>
  <c r="BC34"/>
  <c r="BC44"/>
  <c r="BC50"/>
  <c r="BC54"/>
  <c r="BC18"/>
  <c r="BC22"/>
  <c r="BC35"/>
  <c r="BC45"/>
  <c r="BC55"/>
  <c r="BC59"/>
  <c r="BC77"/>
  <c r="BC6"/>
  <c r="BC13"/>
  <c r="BC31"/>
  <c r="BC41"/>
  <c r="BC66"/>
  <c r="BC71"/>
  <c r="BC76"/>
  <c r="BC20"/>
  <c r="BC30"/>
  <c r="BC38"/>
  <c r="BC40"/>
  <c r="BC48"/>
  <c r="BC58"/>
  <c r="BC120"/>
  <c r="BC180"/>
  <c r="BC26"/>
  <c r="BC28"/>
  <c r="BC36"/>
  <c r="BC46"/>
  <c r="BC56"/>
  <c r="BC69"/>
  <c r="BC70"/>
  <c r="BC84"/>
  <c r="BC172"/>
  <c r="BC64"/>
  <c r="BC19"/>
  <c r="BC29"/>
  <c r="BC37"/>
  <c r="BC47"/>
  <c r="BC57"/>
  <c r="BC85"/>
  <c r="BC110"/>
  <c r="BC61"/>
  <c r="BC82"/>
  <c r="BC96"/>
  <c r="BC97"/>
  <c r="BC114"/>
  <c r="BC124"/>
  <c r="BC160"/>
  <c r="BC226"/>
  <c r="BC79"/>
  <c r="BC116"/>
  <c r="BC140"/>
  <c r="BC149"/>
  <c r="BC74"/>
  <c r="BC81"/>
  <c r="BC167"/>
  <c r="BC92"/>
  <c r="BC93"/>
  <c r="BC107"/>
  <c r="BC117"/>
  <c r="BC132"/>
  <c r="BC157"/>
  <c r="BC162"/>
  <c r="BC168"/>
  <c r="BC65"/>
  <c r="BC73"/>
  <c r="BC83"/>
  <c r="BC88"/>
  <c r="BC102"/>
  <c r="BC103"/>
  <c r="BC112"/>
  <c r="BC113"/>
  <c r="BC177"/>
  <c r="BC185"/>
  <c r="BC192"/>
  <c r="BC68"/>
  <c r="BC78"/>
  <c r="BC86"/>
  <c r="BC94"/>
  <c r="BC170"/>
  <c r="BC91"/>
  <c r="BC101"/>
  <c r="BC109"/>
  <c r="BC119"/>
  <c r="BC125"/>
  <c r="BC126"/>
  <c r="BC133"/>
  <c r="BC139"/>
  <c r="BC153"/>
  <c r="BC173"/>
  <c r="BC184"/>
  <c r="BC193"/>
  <c r="BC95"/>
  <c r="BC105"/>
  <c r="BC115"/>
  <c r="BC130"/>
  <c r="BC142"/>
  <c r="BC150"/>
  <c r="BC158"/>
  <c r="BC178"/>
  <c r="BC198"/>
  <c r="BC202"/>
  <c r="BC90"/>
  <c r="BC98"/>
  <c r="BC100"/>
  <c r="BC108"/>
  <c r="BC118"/>
  <c r="BC143"/>
  <c r="BC230"/>
  <c r="BC127"/>
  <c r="BC137"/>
  <c r="BC145"/>
  <c r="BC155"/>
  <c r="BC165"/>
  <c r="BC175"/>
  <c r="BC186"/>
  <c r="BC194"/>
  <c r="BC128"/>
  <c r="BC138"/>
  <c r="BC146"/>
  <c r="BC148"/>
  <c r="BC156"/>
  <c r="BC166"/>
  <c r="BC176"/>
  <c r="BC182"/>
  <c r="BC188"/>
  <c r="BC208"/>
  <c r="BC216"/>
  <c r="BC131"/>
  <c r="BC141"/>
  <c r="BC151"/>
  <c r="BC161"/>
  <c r="BC169"/>
  <c r="BC179"/>
  <c r="BC196"/>
  <c r="BC204"/>
  <c r="BC134"/>
  <c r="BC136"/>
  <c r="BC144"/>
  <c r="BC154"/>
  <c r="BC164"/>
  <c r="BC174"/>
  <c r="BC223"/>
  <c r="BC181"/>
  <c r="BC191"/>
  <c r="BC201"/>
  <c r="BC224"/>
  <c r="BC189"/>
  <c r="BC199"/>
  <c r="BC206"/>
  <c r="BC212"/>
  <c r="BC213"/>
  <c r="BC187"/>
  <c r="BC197"/>
  <c r="BC214"/>
  <c r="BC190"/>
  <c r="BC200"/>
  <c r="BC210"/>
  <c r="BC218"/>
  <c r="BC220"/>
  <c r="BC228"/>
  <c r="BC238"/>
  <c r="BC233"/>
  <c r="BC241"/>
  <c r="BC236"/>
  <c r="BC211"/>
  <c r="BC221"/>
  <c r="BC229"/>
  <c r="BC239"/>
  <c r="BC234"/>
  <c r="BC242"/>
  <c r="BC209"/>
  <c r="BC217"/>
  <c r="BC227"/>
  <c r="BC237"/>
  <c r="BC232"/>
  <c r="BC240"/>
  <c r="BC205"/>
  <c r="BC215"/>
  <c r="BC225"/>
  <c r="BC235"/>
  <c r="AQ35"/>
  <c r="AQ21"/>
  <c r="AQ29"/>
  <c r="AQ45"/>
  <c r="AQ80"/>
  <c r="AQ8"/>
  <c r="AQ28"/>
  <c r="AQ18"/>
  <c r="AQ92"/>
  <c r="AQ77"/>
  <c r="AQ70"/>
  <c r="AQ210"/>
  <c r="AQ16"/>
  <c r="AQ25"/>
  <c r="AQ37"/>
  <c r="AQ100"/>
  <c r="AQ26"/>
  <c r="AQ38"/>
  <c r="AQ61"/>
  <c r="AQ65"/>
  <c r="AQ149"/>
  <c r="AQ4"/>
  <c r="AQ5"/>
  <c r="AQ57"/>
  <c r="AQ58"/>
  <c r="AQ78"/>
  <c r="AQ6"/>
  <c r="AQ10"/>
  <c r="AQ47"/>
  <c r="AQ48"/>
  <c r="AQ49"/>
  <c r="AQ55"/>
  <c r="AQ97"/>
  <c r="AQ107"/>
  <c r="AQ148"/>
  <c r="AQ177"/>
  <c r="AQ226"/>
  <c r="AQ9"/>
  <c r="AQ11"/>
  <c r="AQ14"/>
  <c r="AQ20"/>
  <c r="AQ81"/>
  <c r="AQ106"/>
  <c r="AQ7"/>
  <c r="AQ17"/>
  <c r="AQ19"/>
  <c r="AQ30"/>
  <c r="AQ40"/>
  <c r="AQ60"/>
  <c r="AQ12"/>
  <c r="AQ31"/>
  <c r="AQ36"/>
  <c r="AQ41"/>
  <c r="AQ46"/>
  <c r="AQ56"/>
  <c r="AQ24"/>
  <c r="AQ34"/>
  <c r="AQ44"/>
  <c r="AQ54"/>
  <c r="AQ74"/>
  <c r="AQ84"/>
  <c r="AQ110"/>
  <c r="AQ22"/>
  <c r="AQ32"/>
  <c r="AQ42"/>
  <c r="AQ50"/>
  <c r="AQ52"/>
  <c r="AQ67"/>
  <c r="AQ68"/>
  <c r="AQ73"/>
  <c r="AQ85"/>
  <c r="AQ89"/>
  <c r="AQ120"/>
  <c r="AQ121"/>
  <c r="AQ66"/>
  <c r="AQ116"/>
  <c r="AQ164"/>
  <c r="AQ13"/>
  <c r="AQ23"/>
  <c r="AQ33"/>
  <c r="AQ43"/>
  <c r="AQ53"/>
  <c r="AQ76"/>
  <c r="AQ83"/>
  <c r="AQ86"/>
  <c r="AQ71"/>
  <c r="AQ125"/>
  <c r="AQ128"/>
  <c r="AQ146"/>
  <c r="AQ139"/>
  <c r="AQ228"/>
  <c r="AQ90"/>
  <c r="AQ96"/>
  <c r="AQ117"/>
  <c r="AQ129"/>
  <c r="AQ134"/>
  <c r="AQ157"/>
  <c r="AQ93"/>
  <c r="AQ98"/>
  <c r="AQ102"/>
  <c r="AQ112"/>
  <c r="AQ143"/>
  <c r="AQ156"/>
  <c r="AQ59"/>
  <c r="AQ69"/>
  <c r="AQ79"/>
  <c r="AQ91"/>
  <c r="AQ103"/>
  <c r="AQ108"/>
  <c r="AQ113"/>
  <c r="AQ118"/>
  <c r="AQ154"/>
  <c r="AQ176"/>
  <c r="AQ62"/>
  <c r="AQ64"/>
  <c r="AQ72"/>
  <c r="AQ82"/>
  <c r="AQ88"/>
  <c r="AQ138"/>
  <c r="AQ174"/>
  <c r="AQ182"/>
  <c r="AQ189"/>
  <c r="AQ220"/>
  <c r="AQ95"/>
  <c r="AQ105"/>
  <c r="AQ115"/>
  <c r="AQ126"/>
  <c r="AQ163"/>
  <c r="AQ200"/>
  <c r="AQ101"/>
  <c r="AQ109"/>
  <c r="AQ119"/>
  <c r="AQ136"/>
  <c r="AQ144"/>
  <c r="AQ166"/>
  <c r="AQ188"/>
  <c r="AQ94"/>
  <c r="AQ104"/>
  <c r="AQ114"/>
  <c r="AQ122"/>
  <c r="AQ124"/>
  <c r="AQ133"/>
  <c r="AQ153"/>
  <c r="AQ167"/>
  <c r="AQ173"/>
  <c r="AQ218"/>
  <c r="AQ131"/>
  <c r="AQ141"/>
  <c r="AQ151"/>
  <c r="AQ161"/>
  <c r="AQ169"/>
  <c r="AQ179"/>
  <c r="AQ202"/>
  <c r="AQ227"/>
  <c r="AQ132"/>
  <c r="AQ142"/>
  <c r="AQ152"/>
  <c r="AQ162"/>
  <c r="AQ170"/>
  <c r="AQ172"/>
  <c r="AQ180"/>
  <c r="AQ190"/>
  <c r="AQ127"/>
  <c r="AQ137"/>
  <c r="AQ145"/>
  <c r="AQ155"/>
  <c r="AQ165"/>
  <c r="AQ175"/>
  <c r="AQ184"/>
  <c r="AQ192"/>
  <c r="AQ206"/>
  <c r="AQ130"/>
  <c r="AQ140"/>
  <c r="AQ150"/>
  <c r="AQ158"/>
  <c r="AQ160"/>
  <c r="AQ168"/>
  <c r="AQ178"/>
  <c r="AQ198"/>
  <c r="AQ199"/>
  <c r="AQ187"/>
  <c r="AQ197"/>
  <c r="AQ212"/>
  <c r="AQ185"/>
  <c r="AQ193"/>
  <c r="AQ203"/>
  <c r="AQ181"/>
  <c r="AQ191"/>
  <c r="AQ201"/>
  <c r="AQ222"/>
  <c r="AQ230"/>
  <c r="AQ186"/>
  <c r="AQ194"/>
  <c r="AQ196"/>
  <c r="AQ204"/>
  <c r="AQ208"/>
  <c r="AQ209"/>
  <c r="AQ216"/>
  <c r="AQ217"/>
  <c r="AQ214"/>
  <c r="AQ224"/>
  <c r="AQ234"/>
  <c r="AQ242"/>
  <c r="AQ237"/>
  <c r="AQ232"/>
  <c r="AQ240"/>
  <c r="AQ205"/>
  <c r="AQ215"/>
  <c r="AQ225"/>
  <c r="AQ235"/>
  <c r="AQ238"/>
  <c r="AQ213"/>
  <c r="AQ223"/>
  <c r="AQ233"/>
  <c r="AQ241"/>
  <c r="AQ236"/>
  <c r="AQ211"/>
  <c r="AQ221"/>
  <c r="AQ229"/>
  <c r="AQ239"/>
  <c r="AO31"/>
  <c r="AO47"/>
  <c r="AO128"/>
  <c r="AO48"/>
  <c r="AO72"/>
  <c r="AO70"/>
  <c r="AO42"/>
  <c r="AO43"/>
  <c r="AO38"/>
  <c r="AO41"/>
  <c r="AO120"/>
  <c r="AO18"/>
  <c r="AO32"/>
  <c r="AO73"/>
  <c r="AO79"/>
  <c r="AO12"/>
  <c r="AO23"/>
  <c r="AO33"/>
  <c r="AO53"/>
  <c r="AO62"/>
  <c r="AO7"/>
  <c r="AO13"/>
  <c r="AO6"/>
  <c r="AO8"/>
  <c r="AO37"/>
  <c r="AO146"/>
  <c r="AO5"/>
  <c r="AO16"/>
  <c r="AO20"/>
  <c r="AO50"/>
  <c r="AO86"/>
  <c r="AO52"/>
  <c r="AO57"/>
  <c r="AO58"/>
  <c r="AO78"/>
  <c r="AO10"/>
  <c r="AO49"/>
  <c r="AO59"/>
  <c r="AO124"/>
  <c r="AO9"/>
  <c r="AO11"/>
  <c r="AO14"/>
  <c r="AO21"/>
  <c r="AO29"/>
  <c r="AO67"/>
  <c r="AO69"/>
  <c r="AO119"/>
  <c r="AO4"/>
  <c r="AO19"/>
  <c r="AO22"/>
  <c r="AO30"/>
  <c r="AO40"/>
  <c r="AO60"/>
  <c r="AO118"/>
  <c r="AO26"/>
  <c r="AO28"/>
  <c r="AO36"/>
  <c r="AO46"/>
  <c r="AO56"/>
  <c r="AO24"/>
  <c r="AO34"/>
  <c r="AO44"/>
  <c r="AO54"/>
  <c r="AO114"/>
  <c r="AO168"/>
  <c r="AO175"/>
  <c r="AO68"/>
  <c r="AO80"/>
  <c r="AO100"/>
  <c r="AO115"/>
  <c r="AO181"/>
  <c r="AO17"/>
  <c r="AO25"/>
  <c r="AO35"/>
  <c r="AO45"/>
  <c r="AO55"/>
  <c r="AO64"/>
  <c r="AO65"/>
  <c r="AO94"/>
  <c r="AO105"/>
  <c r="AO77"/>
  <c r="AO85"/>
  <c r="AO108"/>
  <c r="AO109"/>
  <c r="AO110"/>
  <c r="AO130"/>
  <c r="AO155"/>
  <c r="AO82"/>
  <c r="AO104"/>
  <c r="AO137"/>
  <c r="AO83"/>
  <c r="AO95"/>
  <c r="AO138"/>
  <c r="AO182"/>
  <c r="AO90"/>
  <c r="AO92"/>
  <c r="AO101"/>
  <c r="AO122"/>
  <c r="AO148"/>
  <c r="AO150"/>
  <c r="AO202"/>
  <c r="AO61"/>
  <c r="AO71"/>
  <c r="AO81"/>
  <c r="AO102"/>
  <c r="AO112"/>
  <c r="AO141"/>
  <c r="AO156"/>
  <c r="AO158"/>
  <c r="AO212"/>
  <c r="AO66"/>
  <c r="AO74"/>
  <c r="AO76"/>
  <c r="AO84"/>
  <c r="AO91"/>
  <c r="AO98"/>
  <c r="AO127"/>
  <c r="AO145"/>
  <c r="AO160"/>
  <c r="AO176"/>
  <c r="AO178"/>
  <c r="AO89"/>
  <c r="AO97"/>
  <c r="AO107"/>
  <c r="AO117"/>
  <c r="AO140"/>
  <c r="AO161"/>
  <c r="AO169"/>
  <c r="AO214"/>
  <c r="AO93"/>
  <c r="AO103"/>
  <c r="AO113"/>
  <c r="AO121"/>
  <c r="AO165"/>
  <c r="AO186"/>
  <c r="AO224"/>
  <c r="AO88"/>
  <c r="AO96"/>
  <c r="AO106"/>
  <c r="AO116"/>
  <c r="AO131"/>
  <c r="AO151"/>
  <c r="AO166"/>
  <c r="AO179"/>
  <c r="AO194"/>
  <c r="AO125"/>
  <c r="AO133"/>
  <c r="AO143"/>
  <c r="AO153"/>
  <c r="AO163"/>
  <c r="AO173"/>
  <c r="AO200"/>
  <c r="AO201"/>
  <c r="AO126"/>
  <c r="AO134"/>
  <c r="AO136"/>
  <c r="AO144"/>
  <c r="AO154"/>
  <c r="AO164"/>
  <c r="AO174"/>
  <c r="AO196"/>
  <c r="AO204"/>
  <c r="AO129"/>
  <c r="AO139"/>
  <c r="AO149"/>
  <c r="AO157"/>
  <c r="AO167"/>
  <c r="AO177"/>
  <c r="AO190"/>
  <c r="AO191"/>
  <c r="AO132"/>
  <c r="AO142"/>
  <c r="AO152"/>
  <c r="AO162"/>
  <c r="AO170"/>
  <c r="AO172"/>
  <c r="AO180"/>
  <c r="AO184"/>
  <c r="AO192"/>
  <c r="AO189"/>
  <c r="AO199"/>
  <c r="AO210"/>
  <c r="AO211"/>
  <c r="AO218"/>
  <c r="AO187"/>
  <c r="AO197"/>
  <c r="AO206"/>
  <c r="AO185"/>
  <c r="AO193"/>
  <c r="AO203"/>
  <c r="AO220"/>
  <c r="AO221"/>
  <c r="AO228"/>
  <c r="AO229"/>
  <c r="AO188"/>
  <c r="AO198"/>
  <c r="AO222"/>
  <c r="AO230"/>
  <c r="AO208"/>
  <c r="AO216"/>
  <c r="AO226"/>
  <c r="AO236"/>
  <c r="AO239"/>
  <c r="AO234"/>
  <c r="AO242"/>
  <c r="AO209"/>
  <c r="AO217"/>
  <c r="AO227"/>
  <c r="AO237"/>
  <c r="AO232"/>
  <c r="AO240"/>
  <c r="AO205"/>
  <c r="AO215"/>
  <c r="AO225"/>
  <c r="AO235"/>
  <c r="AO238"/>
  <c r="AO213"/>
  <c r="AO223"/>
  <c r="AO233"/>
  <c r="AO241"/>
  <c r="Y19"/>
  <c r="Y23"/>
  <c r="Y67"/>
  <c r="Y38"/>
  <c r="Y150"/>
  <c r="Y31"/>
  <c r="Y40"/>
  <c r="Y108"/>
  <c r="Y29"/>
  <c r="Y148"/>
  <c r="Y30"/>
  <c r="Y7"/>
  <c r="Y13"/>
  <c r="Y58"/>
  <c r="Y85"/>
  <c r="Y94"/>
  <c r="Y10"/>
  <c r="Y119"/>
  <c r="Y146"/>
  <c r="Y5"/>
  <c r="Y6"/>
  <c r="Y32"/>
  <c r="Y91"/>
  <c r="Y18"/>
  <c r="Y21"/>
  <c r="Y22"/>
  <c r="Y33"/>
  <c r="Y8"/>
  <c r="Y48"/>
  <c r="Y52"/>
  <c r="Y53"/>
  <c r="Y83"/>
  <c r="Y16"/>
  <c r="Y41"/>
  <c r="Y42"/>
  <c r="Y43"/>
  <c r="Y118"/>
  <c r="Y160"/>
  <c r="Y11"/>
  <c r="Y14"/>
  <c r="Y37"/>
  <c r="Y47"/>
  <c r="Y57"/>
  <c r="Y86"/>
  <c r="Y137"/>
  <c r="Y156"/>
  <c r="Y182"/>
  <c r="Y9"/>
  <c r="Y49"/>
  <c r="Y59"/>
  <c r="Y62"/>
  <c r="Y65"/>
  <c r="Y72"/>
  <c r="Y78"/>
  <c r="Y104"/>
  <c r="Y4"/>
  <c r="Y12"/>
  <c r="Y20"/>
  <c r="Y50"/>
  <c r="Y60"/>
  <c r="Y120"/>
  <c r="Y26"/>
  <c r="Y28"/>
  <c r="Y36"/>
  <c r="Y46"/>
  <c r="Y56"/>
  <c r="Y64"/>
  <c r="Y102"/>
  <c r="Y145"/>
  <c r="Y24"/>
  <c r="Y34"/>
  <c r="Y44"/>
  <c r="Y54"/>
  <c r="Y82"/>
  <c r="Y95"/>
  <c r="Y141"/>
  <c r="Y73"/>
  <c r="Y77"/>
  <c r="Y109"/>
  <c r="Y178"/>
  <c r="Y17"/>
  <c r="Y25"/>
  <c r="Y35"/>
  <c r="Y45"/>
  <c r="Y55"/>
  <c r="Y69"/>
  <c r="Y70"/>
  <c r="Y110"/>
  <c r="Y202"/>
  <c r="Y68"/>
  <c r="Y79"/>
  <c r="Y175"/>
  <c r="Y80"/>
  <c r="Y98"/>
  <c r="Y90"/>
  <c r="Y112"/>
  <c r="Y114"/>
  <c r="Y124"/>
  <c r="Y158"/>
  <c r="Y176"/>
  <c r="Y214"/>
  <c r="Y105"/>
  <c r="Y115"/>
  <c r="Y138"/>
  <c r="Y181"/>
  <c r="Y61"/>
  <c r="Y71"/>
  <c r="Y81"/>
  <c r="Y100"/>
  <c r="Y128"/>
  <c r="Y130"/>
  <c r="Y168"/>
  <c r="Y66"/>
  <c r="Y74"/>
  <c r="Y76"/>
  <c r="Y84"/>
  <c r="Y92"/>
  <c r="Y101"/>
  <c r="Y122"/>
  <c r="Y155"/>
  <c r="Y194"/>
  <c r="Y89"/>
  <c r="Y97"/>
  <c r="Y107"/>
  <c r="Y117"/>
  <c r="Y140"/>
  <c r="Y161"/>
  <c r="Y169"/>
  <c r="Y186"/>
  <c r="Y93"/>
  <c r="Y103"/>
  <c r="Y113"/>
  <c r="Y121"/>
  <c r="Y165"/>
  <c r="Y88"/>
  <c r="Y96"/>
  <c r="Y106"/>
  <c r="Y116"/>
  <c r="Y127"/>
  <c r="Y131"/>
  <c r="Y151"/>
  <c r="Y166"/>
  <c r="Y179"/>
  <c r="Y224"/>
  <c r="Y125"/>
  <c r="Y133"/>
  <c r="Y143"/>
  <c r="Y153"/>
  <c r="Y163"/>
  <c r="Y173"/>
  <c r="Y200"/>
  <c r="Y201"/>
  <c r="Y126"/>
  <c r="Y134"/>
  <c r="Y136"/>
  <c r="Y144"/>
  <c r="Y154"/>
  <c r="Y164"/>
  <c r="Y174"/>
  <c r="Y196"/>
  <c r="Y204"/>
  <c r="Y212"/>
  <c r="Y129"/>
  <c r="Y139"/>
  <c r="Y149"/>
  <c r="Y157"/>
  <c r="Y167"/>
  <c r="Y177"/>
  <c r="Y190"/>
  <c r="Y191"/>
  <c r="Y132"/>
  <c r="Y142"/>
  <c r="Y152"/>
  <c r="Y162"/>
  <c r="Y170"/>
  <c r="Y172"/>
  <c r="Y180"/>
  <c r="Y184"/>
  <c r="Y192"/>
  <c r="Y189"/>
  <c r="Y199"/>
  <c r="Y210"/>
  <c r="Y211"/>
  <c r="Y218"/>
  <c r="Y187"/>
  <c r="Y197"/>
  <c r="Y185"/>
  <c r="Y193"/>
  <c r="Y203"/>
  <c r="Y206"/>
  <c r="Y220"/>
  <c r="Y221"/>
  <c r="Y228"/>
  <c r="Y229"/>
  <c r="Y188"/>
  <c r="Y198"/>
  <c r="Y222"/>
  <c r="Y230"/>
  <c r="Y208"/>
  <c r="Y216"/>
  <c r="Y226"/>
  <c r="Y236"/>
  <c r="Y239"/>
  <c r="Y234"/>
  <c r="Y242"/>
  <c r="Y209"/>
  <c r="Y217"/>
  <c r="Y227"/>
  <c r="Y237"/>
  <c r="Y232"/>
  <c r="Y240"/>
  <c r="Y205"/>
  <c r="Y215"/>
  <c r="Y225"/>
  <c r="Y235"/>
  <c r="Y238"/>
  <c r="Y213"/>
  <c r="Y223"/>
  <c r="Y233"/>
  <c r="Y241"/>
  <c r="AZ139"/>
  <c r="AZ113"/>
  <c r="AZ6"/>
  <c r="AZ7"/>
  <c r="AZ119"/>
  <c r="AZ70"/>
  <c r="AZ52"/>
  <c r="AZ71"/>
  <c r="AZ9"/>
  <c r="AZ105"/>
  <c r="AZ8"/>
  <c r="AZ16"/>
  <c r="AZ10"/>
  <c r="AZ115"/>
  <c r="AZ49"/>
  <c r="AZ40"/>
  <c r="AZ125"/>
  <c r="AZ13"/>
  <c r="AZ41"/>
  <c r="AZ42"/>
  <c r="AZ110"/>
  <c r="AZ31"/>
  <c r="AZ32"/>
  <c r="AZ22"/>
  <c r="AZ23"/>
  <c r="AZ30"/>
  <c r="AZ4"/>
  <c r="AZ11"/>
  <c r="AZ14"/>
  <c r="AZ24"/>
  <c r="AZ33"/>
  <c r="AZ38"/>
  <c r="AZ43"/>
  <c r="AZ48"/>
  <c r="AZ53"/>
  <c r="AZ58"/>
  <c r="AZ83"/>
  <c r="AZ161"/>
  <c r="AZ17"/>
  <c r="AZ20"/>
  <c r="AZ34"/>
  <c r="AZ44"/>
  <c r="AZ50"/>
  <c r="AZ54"/>
  <c r="AZ5"/>
  <c r="AZ12"/>
  <c r="AZ19"/>
  <c r="AZ21"/>
  <c r="AZ95"/>
  <c r="AZ29"/>
  <c r="AZ37"/>
  <c r="AZ47"/>
  <c r="AZ57"/>
  <c r="AZ76"/>
  <c r="AZ138"/>
  <c r="AZ179"/>
  <c r="AZ25"/>
  <c r="AZ35"/>
  <c r="AZ45"/>
  <c r="AZ55"/>
  <c r="AZ59"/>
  <c r="AZ60"/>
  <c r="AZ169"/>
  <c r="AZ229"/>
  <c r="AZ68"/>
  <c r="AZ84"/>
  <c r="AZ18"/>
  <c r="AZ26"/>
  <c r="AZ28"/>
  <c r="AZ36"/>
  <c r="AZ46"/>
  <c r="AZ56"/>
  <c r="AZ61"/>
  <c r="AZ65"/>
  <c r="AZ69"/>
  <c r="AZ225"/>
  <c r="AZ66"/>
  <c r="AZ74"/>
  <c r="AZ81"/>
  <c r="AZ120"/>
  <c r="AZ121"/>
  <c r="AZ184"/>
  <c r="AZ191"/>
  <c r="AZ78"/>
  <c r="AZ86"/>
  <c r="AZ88"/>
  <c r="AZ131"/>
  <c r="AZ172"/>
  <c r="AZ230"/>
  <c r="AZ73"/>
  <c r="AZ79"/>
  <c r="AZ80"/>
  <c r="AZ103"/>
  <c r="AZ109"/>
  <c r="AZ146"/>
  <c r="AZ152"/>
  <c r="AZ96"/>
  <c r="AZ62"/>
  <c r="AZ64"/>
  <c r="AZ72"/>
  <c r="AZ82"/>
  <c r="AZ92"/>
  <c r="AZ106"/>
  <c r="AZ116"/>
  <c r="AZ132"/>
  <c r="AZ142"/>
  <c r="AZ151"/>
  <c r="AZ166"/>
  <c r="AZ67"/>
  <c r="AZ77"/>
  <c r="AZ85"/>
  <c r="AZ91"/>
  <c r="AZ93"/>
  <c r="AZ101"/>
  <c r="AZ102"/>
  <c r="AZ112"/>
  <c r="AZ192"/>
  <c r="AZ90"/>
  <c r="AZ98"/>
  <c r="AZ100"/>
  <c r="AZ108"/>
  <c r="AZ118"/>
  <c r="AZ167"/>
  <c r="AZ94"/>
  <c r="AZ104"/>
  <c r="AZ114"/>
  <c r="AZ122"/>
  <c r="AZ124"/>
  <c r="AZ128"/>
  <c r="AZ141"/>
  <c r="AZ148"/>
  <c r="AZ156"/>
  <c r="AZ162"/>
  <c r="AZ170"/>
  <c r="AZ176"/>
  <c r="AZ222"/>
  <c r="AZ89"/>
  <c r="AZ97"/>
  <c r="AZ107"/>
  <c r="AZ117"/>
  <c r="AZ129"/>
  <c r="AZ149"/>
  <c r="AZ157"/>
  <c r="AZ177"/>
  <c r="AZ197"/>
  <c r="AZ221"/>
  <c r="AZ126"/>
  <c r="AZ134"/>
  <c r="AZ136"/>
  <c r="AZ144"/>
  <c r="AZ154"/>
  <c r="AZ164"/>
  <c r="AZ174"/>
  <c r="AZ185"/>
  <c r="AZ193"/>
  <c r="AZ127"/>
  <c r="AZ137"/>
  <c r="AZ145"/>
  <c r="AZ155"/>
  <c r="AZ165"/>
  <c r="AZ175"/>
  <c r="AZ187"/>
  <c r="AZ201"/>
  <c r="AZ202"/>
  <c r="AZ130"/>
  <c r="AZ140"/>
  <c r="AZ150"/>
  <c r="AZ158"/>
  <c r="AZ160"/>
  <c r="AZ168"/>
  <c r="AZ178"/>
  <c r="AZ181"/>
  <c r="AZ182"/>
  <c r="AZ203"/>
  <c r="AZ211"/>
  <c r="AZ212"/>
  <c r="AZ215"/>
  <c r="AZ133"/>
  <c r="AZ143"/>
  <c r="AZ153"/>
  <c r="AZ163"/>
  <c r="AZ173"/>
  <c r="AZ180"/>
  <c r="AZ190"/>
  <c r="AZ200"/>
  <c r="AZ223"/>
  <c r="AZ188"/>
  <c r="AZ198"/>
  <c r="AZ205"/>
  <c r="AZ186"/>
  <c r="AZ194"/>
  <c r="AZ196"/>
  <c r="AZ204"/>
  <c r="AZ213"/>
  <c r="AZ189"/>
  <c r="AZ199"/>
  <c r="AZ209"/>
  <c r="AZ217"/>
  <c r="AZ227"/>
  <c r="AZ237"/>
  <c r="AZ232"/>
  <c r="AZ240"/>
  <c r="AZ235"/>
  <c r="AZ210"/>
  <c r="AZ218"/>
  <c r="AZ220"/>
  <c r="AZ228"/>
  <c r="AZ238"/>
  <c r="AZ233"/>
  <c r="AZ241"/>
  <c r="AZ206"/>
  <c r="AZ208"/>
  <c r="AZ216"/>
  <c r="AZ226"/>
  <c r="AZ236"/>
  <c r="AZ239"/>
  <c r="AZ214"/>
  <c r="AZ224"/>
  <c r="AZ234"/>
  <c r="AZ242"/>
  <c r="AE64"/>
  <c r="AE50"/>
  <c r="AE116"/>
  <c r="AE4"/>
  <c r="AE49"/>
  <c r="AE22"/>
  <c r="AE25"/>
  <c r="AE18"/>
  <c r="AE10"/>
  <c r="AE8"/>
  <c r="AE9"/>
  <c r="AE17"/>
  <c r="AE59"/>
  <c r="AE44"/>
  <c r="AE45"/>
  <c r="AE74"/>
  <c r="AE12"/>
  <c r="AE107"/>
  <c r="AE53"/>
  <c r="AE43"/>
  <c r="AE54"/>
  <c r="AE55"/>
  <c r="AE92"/>
  <c r="AE33"/>
  <c r="AE79"/>
  <c r="AE96"/>
  <c r="AE7"/>
  <c r="AE24"/>
  <c r="AE34"/>
  <c r="AE35"/>
  <c r="AE124"/>
  <c r="AE162"/>
  <c r="AE5"/>
  <c r="AE13"/>
  <c r="AE21"/>
  <c r="AE60"/>
  <c r="AE62"/>
  <c r="AE89"/>
  <c r="AE110"/>
  <c r="AE16"/>
  <c r="AE31"/>
  <c r="AE41"/>
  <c r="AE61"/>
  <c r="AE76"/>
  <c r="AE80"/>
  <c r="AE106"/>
  <c r="AE6"/>
  <c r="AE11"/>
  <c r="AE14"/>
  <c r="AE23"/>
  <c r="AE32"/>
  <c r="AE42"/>
  <c r="AE52"/>
  <c r="AE66"/>
  <c r="AE152"/>
  <c r="AE20"/>
  <c r="AE30"/>
  <c r="AE38"/>
  <c r="AE40"/>
  <c r="AE48"/>
  <c r="AE58"/>
  <c r="AE88"/>
  <c r="AE149"/>
  <c r="AE26"/>
  <c r="AE28"/>
  <c r="AE36"/>
  <c r="AE46"/>
  <c r="AE56"/>
  <c r="AE67"/>
  <c r="AE69"/>
  <c r="AE70"/>
  <c r="AE97"/>
  <c r="AE72"/>
  <c r="AE81"/>
  <c r="AE193"/>
  <c r="AE19"/>
  <c r="AE29"/>
  <c r="AE37"/>
  <c r="AE47"/>
  <c r="AE57"/>
  <c r="AE84"/>
  <c r="AE121"/>
  <c r="AE172"/>
  <c r="AE71"/>
  <c r="AE77"/>
  <c r="AE85"/>
  <c r="AE120"/>
  <c r="AE122"/>
  <c r="AE143"/>
  <c r="AE157"/>
  <c r="AE180"/>
  <c r="AE188"/>
  <c r="AE82"/>
  <c r="AE93"/>
  <c r="AE117"/>
  <c r="AE126"/>
  <c r="AE167"/>
  <c r="AE185"/>
  <c r="AE160"/>
  <c r="AE163"/>
  <c r="AE102"/>
  <c r="AE103"/>
  <c r="AE112"/>
  <c r="AE113"/>
  <c r="AE132"/>
  <c r="AE168"/>
  <c r="AE177"/>
  <c r="AE65"/>
  <c r="AE73"/>
  <c r="AE83"/>
  <c r="AE94"/>
  <c r="AE125"/>
  <c r="AE170"/>
  <c r="AE184"/>
  <c r="AE202"/>
  <c r="AE208"/>
  <c r="AE216"/>
  <c r="AE68"/>
  <c r="AE78"/>
  <c r="AE86"/>
  <c r="AE104"/>
  <c r="AE114"/>
  <c r="AE129"/>
  <c r="AE212"/>
  <c r="AE91"/>
  <c r="AE101"/>
  <c r="AE109"/>
  <c r="AE119"/>
  <c r="AE130"/>
  <c r="AE142"/>
  <c r="AE150"/>
  <c r="AE158"/>
  <c r="AE178"/>
  <c r="AE192"/>
  <c r="AE203"/>
  <c r="AE95"/>
  <c r="AE105"/>
  <c r="AE115"/>
  <c r="AE133"/>
  <c r="AE139"/>
  <c r="AE153"/>
  <c r="AE173"/>
  <c r="AE90"/>
  <c r="AE98"/>
  <c r="AE100"/>
  <c r="AE108"/>
  <c r="AE118"/>
  <c r="AE140"/>
  <c r="AE182"/>
  <c r="AE127"/>
  <c r="AE137"/>
  <c r="AE145"/>
  <c r="AE155"/>
  <c r="AE165"/>
  <c r="AE175"/>
  <c r="AE196"/>
  <c r="AE204"/>
  <c r="AE206"/>
  <c r="AE213"/>
  <c r="AE128"/>
  <c r="AE138"/>
  <c r="AE146"/>
  <c r="AE148"/>
  <c r="AE156"/>
  <c r="AE166"/>
  <c r="AE176"/>
  <c r="AE198"/>
  <c r="AE131"/>
  <c r="AE141"/>
  <c r="AE151"/>
  <c r="AE161"/>
  <c r="AE169"/>
  <c r="AE179"/>
  <c r="AE186"/>
  <c r="AE194"/>
  <c r="AE226"/>
  <c r="AE134"/>
  <c r="AE136"/>
  <c r="AE144"/>
  <c r="AE154"/>
  <c r="AE164"/>
  <c r="AE174"/>
  <c r="AE181"/>
  <c r="AE191"/>
  <c r="AE201"/>
  <c r="AE214"/>
  <c r="AE189"/>
  <c r="AE199"/>
  <c r="AE222"/>
  <c r="AE223"/>
  <c r="AE230"/>
  <c r="AE187"/>
  <c r="AE197"/>
  <c r="AE224"/>
  <c r="AE190"/>
  <c r="AE200"/>
  <c r="AE210"/>
  <c r="AE218"/>
  <c r="AE220"/>
  <c r="AE228"/>
  <c r="AE238"/>
  <c r="AE233"/>
  <c r="AE241"/>
  <c r="AE236"/>
  <c r="AE211"/>
  <c r="AE221"/>
  <c r="AE229"/>
  <c r="AE239"/>
  <c r="AE234"/>
  <c r="AE242"/>
  <c r="AE209"/>
  <c r="AE217"/>
  <c r="AE227"/>
  <c r="AE237"/>
  <c r="AE232"/>
  <c r="AE240"/>
  <c r="AE205"/>
  <c r="AE215"/>
  <c r="AE225"/>
  <c r="AE235"/>
  <c r="AT11"/>
  <c r="AT108"/>
  <c r="AT28"/>
  <c r="AT67"/>
  <c r="AT31"/>
  <c r="AT101"/>
  <c r="AT9"/>
  <c r="AT36"/>
  <c r="AT56"/>
  <c r="AT121"/>
  <c r="AT150"/>
  <c r="AT17"/>
  <c r="AT26"/>
  <c r="AT84"/>
  <c r="AT4"/>
  <c r="AT5"/>
  <c r="AT48"/>
  <c r="AT49"/>
  <c r="AT59"/>
  <c r="AT6"/>
  <c r="AT10"/>
  <c r="AT20"/>
  <c r="AT21"/>
  <c r="AT29"/>
  <c r="AT50"/>
  <c r="AT58"/>
  <c r="AT71"/>
  <c r="AT76"/>
  <c r="AT79"/>
  <c r="AT158"/>
  <c r="AT7"/>
  <c r="AT46"/>
  <c r="AT66"/>
  <c r="AT90"/>
  <c r="AT97"/>
  <c r="AT19"/>
  <c r="AT38"/>
  <c r="AT41"/>
  <c r="AT167"/>
  <c r="AT12"/>
  <c r="AT22"/>
  <c r="AT30"/>
  <c r="AT40"/>
  <c r="AT74"/>
  <c r="AT82"/>
  <c r="AT8"/>
  <c r="AT18"/>
  <c r="AT32"/>
  <c r="AT42"/>
  <c r="AT52"/>
  <c r="AT62"/>
  <c r="AT126"/>
  <c r="AT13"/>
  <c r="AT37"/>
  <c r="AT47"/>
  <c r="AT57"/>
  <c r="AT61"/>
  <c r="AT86"/>
  <c r="AT25"/>
  <c r="AT35"/>
  <c r="AT45"/>
  <c r="AT55"/>
  <c r="AT68"/>
  <c r="AT69"/>
  <c r="AT23"/>
  <c r="AT33"/>
  <c r="AT43"/>
  <c r="AT53"/>
  <c r="AT117"/>
  <c r="AT118"/>
  <c r="AT78"/>
  <c r="AT93"/>
  <c r="AT103"/>
  <c r="AT155"/>
  <c r="AT165"/>
  <c r="AT14"/>
  <c r="AT16"/>
  <c r="AT24"/>
  <c r="AT34"/>
  <c r="AT44"/>
  <c r="AT54"/>
  <c r="AT81"/>
  <c r="AT91"/>
  <c r="AT64"/>
  <c r="AT72"/>
  <c r="AT107"/>
  <c r="AT144"/>
  <c r="AT190"/>
  <c r="AT98"/>
  <c r="AT100"/>
  <c r="AT122"/>
  <c r="AT77"/>
  <c r="AT85"/>
  <c r="AT113"/>
  <c r="AT175"/>
  <c r="AT181"/>
  <c r="AT94"/>
  <c r="AT136"/>
  <c r="AT178"/>
  <c r="AT60"/>
  <c r="AT70"/>
  <c r="AT80"/>
  <c r="AT104"/>
  <c r="AT109"/>
  <c r="AT114"/>
  <c r="AT119"/>
  <c r="AT201"/>
  <c r="AT65"/>
  <c r="AT73"/>
  <c r="AT83"/>
  <c r="AT89"/>
  <c r="AT124"/>
  <c r="AT125"/>
  <c r="AT130"/>
  <c r="AT140"/>
  <c r="AT88"/>
  <c r="AT96"/>
  <c r="AT106"/>
  <c r="AT116"/>
  <c r="AT127"/>
  <c r="AT129"/>
  <c r="AT149"/>
  <c r="AT157"/>
  <c r="AT164"/>
  <c r="AT177"/>
  <c r="AT92"/>
  <c r="AT102"/>
  <c r="AT110"/>
  <c r="AT112"/>
  <c r="AT120"/>
  <c r="AT137"/>
  <c r="AT145"/>
  <c r="AT160"/>
  <c r="AT168"/>
  <c r="AT180"/>
  <c r="AT191"/>
  <c r="AT95"/>
  <c r="AT105"/>
  <c r="AT115"/>
  <c r="AT134"/>
  <c r="AT139"/>
  <c r="AT154"/>
  <c r="AT174"/>
  <c r="AT203"/>
  <c r="AT132"/>
  <c r="AT142"/>
  <c r="AT152"/>
  <c r="AT162"/>
  <c r="AT170"/>
  <c r="AT172"/>
  <c r="AT189"/>
  <c r="AT220"/>
  <c r="AT223"/>
  <c r="AT228"/>
  <c r="AT133"/>
  <c r="AT143"/>
  <c r="AT153"/>
  <c r="AT163"/>
  <c r="AT173"/>
  <c r="AT185"/>
  <c r="AT193"/>
  <c r="AT128"/>
  <c r="AT138"/>
  <c r="AT146"/>
  <c r="AT148"/>
  <c r="AT156"/>
  <c r="AT166"/>
  <c r="AT176"/>
  <c r="AT199"/>
  <c r="AT131"/>
  <c r="AT141"/>
  <c r="AT151"/>
  <c r="AT161"/>
  <c r="AT169"/>
  <c r="AT179"/>
  <c r="AT200"/>
  <c r="AT211"/>
  <c r="AT213"/>
  <c r="AT188"/>
  <c r="AT198"/>
  <c r="AT227"/>
  <c r="AT186"/>
  <c r="AT194"/>
  <c r="AT196"/>
  <c r="AT204"/>
  <c r="AT221"/>
  <c r="AT229"/>
  <c r="AT182"/>
  <c r="AT184"/>
  <c r="AT192"/>
  <c r="AT202"/>
  <c r="AT209"/>
  <c r="AT217"/>
  <c r="AT187"/>
  <c r="AT197"/>
  <c r="AT205"/>
  <c r="AT210"/>
  <c r="AT218"/>
  <c r="AT215"/>
  <c r="AT225"/>
  <c r="AT235"/>
  <c r="AT238"/>
  <c r="AT233"/>
  <c r="AT241"/>
  <c r="AT206"/>
  <c r="AT208"/>
  <c r="AT216"/>
  <c r="AT226"/>
  <c r="AT236"/>
  <c r="AT239"/>
  <c r="AT214"/>
  <c r="AT224"/>
  <c r="AT234"/>
  <c r="AT242"/>
  <c r="AT237"/>
  <c r="AT212"/>
  <c r="AT222"/>
  <c r="AT230"/>
  <c r="AT232"/>
  <c r="AT240"/>
  <c r="X26"/>
  <c r="X66"/>
  <c r="X10"/>
  <c r="X35"/>
  <c r="X82"/>
  <c r="X117"/>
  <c r="X24"/>
  <c r="X37"/>
  <c r="X18"/>
  <c r="X36"/>
  <c r="X172"/>
  <c r="X13"/>
  <c r="X7"/>
  <c r="X14"/>
  <c r="X30"/>
  <c r="X40"/>
  <c r="X69"/>
  <c r="X163"/>
  <c r="X5"/>
  <c r="X20"/>
  <c r="X29"/>
  <c r="X11"/>
  <c r="X55"/>
  <c r="X56"/>
  <c r="X57"/>
  <c r="X4"/>
  <c r="X45"/>
  <c r="X46"/>
  <c r="X47"/>
  <c r="X76"/>
  <c r="X180"/>
  <c r="X8"/>
  <c r="X16"/>
  <c r="X19"/>
  <c r="X67"/>
  <c r="X90"/>
  <c r="X112"/>
  <c r="X6"/>
  <c r="X17"/>
  <c r="X38"/>
  <c r="X48"/>
  <c r="X58"/>
  <c r="X70"/>
  <c r="X9"/>
  <c r="X25"/>
  <c r="X28"/>
  <c r="X34"/>
  <c r="X44"/>
  <c r="X54"/>
  <c r="X62"/>
  <c r="X79"/>
  <c r="X155"/>
  <c r="X23"/>
  <c r="X33"/>
  <c r="X43"/>
  <c r="X53"/>
  <c r="X60"/>
  <c r="X65"/>
  <c r="X84"/>
  <c r="X101"/>
  <c r="X119"/>
  <c r="X21"/>
  <c r="X31"/>
  <c r="X41"/>
  <c r="X49"/>
  <c r="X59"/>
  <c r="X74"/>
  <c r="X107"/>
  <c r="X133"/>
  <c r="X80"/>
  <c r="X175"/>
  <c r="X12"/>
  <c r="X22"/>
  <c r="X32"/>
  <c r="X42"/>
  <c r="X50"/>
  <c r="X52"/>
  <c r="X73"/>
  <c r="X125"/>
  <c r="X173"/>
  <c r="X64"/>
  <c r="X72"/>
  <c r="X109"/>
  <c r="X156"/>
  <c r="X83"/>
  <c r="X91"/>
  <c r="X102"/>
  <c r="X152"/>
  <c r="X77"/>
  <c r="X85"/>
  <c r="X92"/>
  <c r="X137"/>
  <c r="X148"/>
  <c r="X170"/>
  <c r="X198"/>
  <c r="X88"/>
  <c r="X95"/>
  <c r="X110"/>
  <c r="X120"/>
  <c r="X127"/>
  <c r="X145"/>
  <c r="X176"/>
  <c r="X188"/>
  <c r="X68"/>
  <c r="X78"/>
  <c r="X86"/>
  <c r="X96"/>
  <c r="X105"/>
  <c r="X115"/>
  <c r="X132"/>
  <c r="X162"/>
  <c r="X61"/>
  <c r="X71"/>
  <c r="X81"/>
  <c r="X89"/>
  <c r="X97"/>
  <c r="X106"/>
  <c r="X116"/>
  <c r="X128"/>
  <c r="X142"/>
  <c r="X153"/>
  <c r="X166"/>
  <c r="X187"/>
  <c r="X216"/>
  <c r="X94"/>
  <c r="X104"/>
  <c r="X114"/>
  <c r="X122"/>
  <c r="X124"/>
  <c r="X138"/>
  <c r="X146"/>
  <c r="X181"/>
  <c r="X208"/>
  <c r="X98"/>
  <c r="X100"/>
  <c r="X108"/>
  <c r="X118"/>
  <c r="X143"/>
  <c r="X199"/>
  <c r="X201"/>
  <c r="X225"/>
  <c r="X93"/>
  <c r="X103"/>
  <c r="X113"/>
  <c r="X121"/>
  <c r="X165"/>
  <c r="X130"/>
  <c r="X140"/>
  <c r="X150"/>
  <c r="X158"/>
  <c r="X160"/>
  <c r="X168"/>
  <c r="X178"/>
  <c r="X131"/>
  <c r="X141"/>
  <c r="X151"/>
  <c r="X161"/>
  <c r="X169"/>
  <c r="X179"/>
  <c r="X189"/>
  <c r="X209"/>
  <c r="X211"/>
  <c r="X217"/>
  <c r="X126"/>
  <c r="X134"/>
  <c r="X136"/>
  <c r="X144"/>
  <c r="X154"/>
  <c r="X164"/>
  <c r="X174"/>
  <c r="X129"/>
  <c r="X139"/>
  <c r="X149"/>
  <c r="X157"/>
  <c r="X167"/>
  <c r="X177"/>
  <c r="X191"/>
  <c r="X197"/>
  <c r="X205"/>
  <c r="X227"/>
  <c r="X186"/>
  <c r="X194"/>
  <c r="X196"/>
  <c r="X204"/>
  <c r="X182"/>
  <c r="X184"/>
  <c r="X192"/>
  <c r="X202"/>
  <c r="X226"/>
  <c r="X190"/>
  <c r="X200"/>
  <c r="X185"/>
  <c r="X193"/>
  <c r="X203"/>
  <c r="X206"/>
  <c r="X215"/>
  <c r="X221"/>
  <c r="X229"/>
  <c r="X213"/>
  <c r="X223"/>
  <c r="X233"/>
  <c r="X241"/>
  <c r="X236"/>
  <c r="X239"/>
  <c r="X214"/>
  <c r="X224"/>
  <c r="X234"/>
  <c r="X242"/>
  <c r="X237"/>
  <c r="X212"/>
  <c r="X222"/>
  <c r="X230"/>
  <c r="X232"/>
  <c r="X240"/>
  <c r="X235"/>
  <c r="X210"/>
  <c r="X218"/>
  <c r="X220"/>
  <c r="X228"/>
  <c r="X238"/>
  <c r="AS9"/>
  <c r="AS16"/>
  <c r="AS98"/>
  <c r="AS4"/>
  <c r="AS57"/>
  <c r="AS179"/>
  <c r="AS64"/>
  <c r="AS34"/>
  <c r="AS122"/>
  <c r="AS37"/>
  <c r="AS24"/>
  <c r="AS25"/>
  <c r="AS33"/>
  <c r="AS53"/>
  <c r="AS144"/>
  <c r="AS12"/>
  <c r="AS142"/>
  <c r="AS6"/>
  <c r="AS10"/>
  <c r="AS28"/>
  <c r="AS14"/>
  <c r="AS43"/>
  <c r="AS47"/>
  <c r="AS54"/>
  <c r="AS59"/>
  <c r="AS124"/>
  <c r="AS13"/>
  <c r="AS44"/>
  <c r="AS69"/>
  <c r="AS7"/>
  <c r="AS17"/>
  <c r="AS19"/>
  <c r="AS26"/>
  <c r="AS29"/>
  <c r="AS35"/>
  <c r="AS45"/>
  <c r="AS55"/>
  <c r="AS134"/>
  <c r="AS200"/>
  <c r="AS5"/>
  <c r="AS23"/>
  <c r="AS36"/>
  <c r="AS46"/>
  <c r="AS56"/>
  <c r="AS84"/>
  <c r="AS8"/>
  <c r="AS18"/>
  <c r="AS65"/>
  <c r="AS196"/>
  <c r="AS22"/>
  <c r="AS32"/>
  <c r="AS42"/>
  <c r="AS50"/>
  <c r="AS52"/>
  <c r="AS71"/>
  <c r="AS73"/>
  <c r="AS90"/>
  <c r="AS131"/>
  <c r="AS20"/>
  <c r="AS30"/>
  <c r="AS38"/>
  <c r="AS40"/>
  <c r="AS48"/>
  <c r="AS58"/>
  <c r="AS61"/>
  <c r="AS62"/>
  <c r="AS66"/>
  <c r="AS100"/>
  <c r="AS115"/>
  <c r="AS72"/>
  <c r="AS76"/>
  <c r="AS83"/>
  <c r="AS86"/>
  <c r="AS101"/>
  <c r="AS162"/>
  <c r="AS11"/>
  <c r="AS21"/>
  <c r="AS31"/>
  <c r="AS41"/>
  <c r="AS49"/>
  <c r="AS78"/>
  <c r="AS96"/>
  <c r="AS106"/>
  <c r="AS68"/>
  <c r="AS82"/>
  <c r="AS89"/>
  <c r="AS91"/>
  <c r="AS105"/>
  <c r="AS141"/>
  <c r="AS79"/>
  <c r="AS151"/>
  <c r="AS170"/>
  <c r="AS74"/>
  <c r="AS81"/>
  <c r="AS116"/>
  <c r="AS187"/>
  <c r="AS88"/>
  <c r="AS108"/>
  <c r="AS118"/>
  <c r="AS126"/>
  <c r="AS127"/>
  <c r="AS154"/>
  <c r="AS165"/>
  <c r="AS67"/>
  <c r="AS77"/>
  <c r="AS85"/>
  <c r="AS94"/>
  <c r="AS136"/>
  <c r="AS174"/>
  <c r="AS205"/>
  <c r="AS60"/>
  <c r="AS70"/>
  <c r="AS80"/>
  <c r="AS95"/>
  <c r="AS104"/>
  <c r="AS109"/>
  <c r="AS114"/>
  <c r="AS119"/>
  <c r="AS164"/>
  <c r="AS197"/>
  <c r="AS93"/>
  <c r="AS103"/>
  <c r="AS113"/>
  <c r="AS121"/>
  <c r="AS155"/>
  <c r="AS175"/>
  <c r="AS97"/>
  <c r="AS107"/>
  <c r="AS117"/>
  <c r="AS132"/>
  <c r="AS152"/>
  <c r="AS172"/>
  <c r="AS190"/>
  <c r="AS92"/>
  <c r="AS102"/>
  <c r="AS110"/>
  <c r="AS112"/>
  <c r="AS120"/>
  <c r="AS137"/>
  <c r="AS145"/>
  <c r="AS161"/>
  <c r="AS169"/>
  <c r="AS180"/>
  <c r="AS204"/>
  <c r="AS129"/>
  <c r="AS139"/>
  <c r="AS149"/>
  <c r="AS157"/>
  <c r="AS167"/>
  <c r="AS177"/>
  <c r="AS188"/>
  <c r="AS225"/>
  <c r="AS130"/>
  <c r="AS140"/>
  <c r="AS150"/>
  <c r="AS158"/>
  <c r="AS160"/>
  <c r="AS168"/>
  <c r="AS178"/>
  <c r="AS125"/>
  <c r="AS133"/>
  <c r="AS143"/>
  <c r="AS153"/>
  <c r="AS163"/>
  <c r="AS173"/>
  <c r="AS198"/>
  <c r="AS128"/>
  <c r="AS138"/>
  <c r="AS146"/>
  <c r="AS148"/>
  <c r="AS156"/>
  <c r="AS166"/>
  <c r="AS176"/>
  <c r="AS186"/>
  <c r="AS194"/>
  <c r="AS210"/>
  <c r="AS214"/>
  <c r="AS218"/>
  <c r="AS185"/>
  <c r="AS193"/>
  <c r="AS203"/>
  <c r="AS206"/>
  <c r="AS226"/>
  <c r="AS181"/>
  <c r="AS191"/>
  <c r="AS201"/>
  <c r="AS215"/>
  <c r="AS220"/>
  <c r="AS228"/>
  <c r="AS189"/>
  <c r="AS199"/>
  <c r="AS208"/>
  <c r="AS216"/>
  <c r="AS182"/>
  <c r="AS184"/>
  <c r="AS192"/>
  <c r="AS202"/>
  <c r="AS224"/>
  <c r="AS212"/>
  <c r="AS222"/>
  <c r="AS230"/>
  <c r="AS232"/>
  <c r="AS240"/>
  <c r="AS235"/>
  <c r="AS238"/>
  <c r="AS213"/>
  <c r="AS223"/>
  <c r="AS233"/>
  <c r="AS241"/>
  <c r="AS236"/>
  <c r="AS211"/>
  <c r="AS221"/>
  <c r="AS229"/>
  <c r="AS239"/>
  <c r="AS234"/>
  <c r="AS242"/>
  <c r="AS209"/>
  <c r="AS217"/>
  <c r="AS227"/>
  <c r="AS237"/>
  <c r="AH214"/>
  <c r="AH36"/>
  <c r="AH42"/>
  <c r="AH52"/>
  <c r="AH9"/>
  <c r="AH13"/>
  <c r="AH46"/>
  <c r="AH5"/>
  <c r="AH16"/>
  <c r="AH44"/>
  <c r="AH50"/>
  <c r="AH28"/>
  <c r="AH90"/>
  <c r="AH18"/>
  <c r="AH32"/>
  <c r="AH80"/>
  <c r="AH34"/>
  <c r="AH54"/>
  <c r="AH55"/>
  <c r="AH56"/>
  <c r="AH97"/>
  <c r="AH45"/>
  <c r="AH61"/>
  <c r="AH70"/>
  <c r="AH103"/>
  <c r="AH8"/>
  <c r="AH23"/>
  <c r="AH25"/>
  <c r="AH35"/>
  <c r="AH65"/>
  <c r="AH93"/>
  <c r="AH130"/>
  <c r="AH22"/>
  <c r="AH26"/>
  <c r="AH73"/>
  <c r="AH6"/>
  <c r="AH11"/>
  <c r="AH14"/>
  <c r="AH108"/>
  <c r="AH4"/>
  <c r="AH17"/>
  <c r="AH81"/>
  <c r="AH82"/>
  <c r="AH143"/>
  <c r="AH7"/>
  <c r="AH12"/>
  <c r="AH24"/>
  <c r="AH33"/>
  <c r="AH43"/>
  <c r="AH53"/>
  <c r="AH126"/>
  <c r="AH164"/>
  <c r="AH21"/>
  <c r="AH31"/>
  <c r="AH41"/>
  <c r="AH49"/>
  <c r="AH59"/>
  <c r="AH60"/>
  <c r="AH62"/>
  <c r="AH67"/>
  <c r="AH68"/>
  <c r="AH71"/>
  <c r="AH107"/>
  <c r="AH133"/>
  <c r="AH140"/>
  <c r="AH153"/>
  <c r="AH19"/>
  <c r="AH29"/>
  <c r="AH37"/>
  <c r="AH47"/>
  <c r="AH57"/>
  <c r="AH98"/>
  <c r="AH178"/>
  <c r="AH204"/>
  <c r="AH121"/>
  <c r="AH127"/>
  <c r="AH169"/>
  <c r="AH10"/>
  <c r="AH20"/>
  <c r="AH30"/>
  <c r="AH38"/>
  <c r="AH40"/>
  <c r="AH48"/>
  <c r="AH58"/>
  <c r="AH100"/>
  <c r="AH122"/>
  <c r="AH160"/>
  <c r="AH64"/>
  <c r="AH72"/>
  <c r="AH78"/>
  <c r="AH86"/>
  <c r="AH94"/>
  <c r="AH117"/>
  <c r="AH118"/>
  <c r="AH136"/>
  <c r="AH83"/>
  <c r="AH113"/>
  <c r="AH77"/>
  <c r="AH85"/>
  <c r="AH89"/>
  <c r="AH168"/>
  <c r="AH104"/>
  <c r="AH114"/>
  <c r="AH144"/>
  <c r="AH173"/>
  <c r="AH199"/>
  <c r="AH66"/>
  <c r="AH74"/>
  <c r="AH76"/>
  <c r="AH84"/>
  <c r="AH88"/>
  <c r="AH95"/>
  <c r="AH124"/>
  <c r="AH150"/>
  <c r="AH194"/>
  <c r="AH69"/>
  <c r="AH79"/>
  <c r="AH105"/>
  <c r="AH115"/>
  <c r="AH158"/>
  <c r="AH161"/>
  <c r="AH186"/>
  <c r="AH193"/>
  <c r="AH227"/>
  <c r="AH92"/>
  <c r="AH102"/>
  <c r="AH110"/>
  <c r="AH112"/>
  <c r="AH120"/>
  <c r="AH125"/>
  <c r="AH131"/>
  <c r="AH151"/>
  <c r="AH179"/>
  <c r="AH196"/>
  <c r="AH96"/>
  <c r="AH106"/>
  <c r="AH116"/>
  <c r="AH134"/>
  <c r="AH154"/>
  <c r="AH174"/>
  <c r="AH91"/>
  <c r="AH101"/>
  <c r="AH109"/>
  <c r="AH119"/>
  <c r="AH141"/>
  <c r="AH163"/>
  <c r="AH185"/>
  <c r="AH189"/>
  <c r="AH128"/>
  <c r="AH138"/>
  <c r="AH146"/>
  <c r="AH148"/>
  <c r="AH156"/>
  <c r="AH166"/>
  <c r="AH176"/>
  <c r="AH197"/>
  <c r="AH129"/>
  <c r="AH139"/>
  <c r="AH149"/>
  <c r="AH157"/>
  <c r="AH167"/>
  <c r="AH177"/>
  <c r="AH223"/>
  <c r="AH132"/>
  <c r="AH142"/>
  <c r="AH152"/>
  <c r="AH162"/>
  <c r="AH170"/>
  <c r="AH172"/>
  <c r="AH180"/>
  <c r="AH187"/>
  <c r="AH137"/>
  <c r="AH145"/>
  <c r="AH155"/>
  <c r="AH165"/>
  <c r="AH175"/>
  <c r="AH203"/>
  <c r="AH182"/>
  <c r="AH184"/>
  <c r="AH192"/>
  <c r="AH202"/>
  <c r="AH215"/>
  <c r="AH190"/>
  <c r="AH200"/>
  <c r="AH209"/>
  <c r="AH217"/>
  <c r="AH224"/>
  <c r="AH188"/>
  <c r="AH198"/>
  <c r="AH225"/>
  <c r="AH181"/>
  <c r="AH191"/>
  <c r="AH201"/>
  <c r="AH205"/>
  <c r="AH213"/>
  <c r="AH211"/>
  <c r="AH221"/>
  <c r="AH229"/>
  <c r="AH239"/>
  <c r="AH234"/>
  <c r="AH242"/>
  <c r="AH237"/>
  <c r="AH212"/>
  <c r="AH222"/>
  <c r="AH230"/>
  <c r="AH232"/>
  <c r="AH240"/>
  <c r="AH235"/>
  <c r="AH210"/>
  <c r="AH218"/>
  <c r="AH220"/>
  <c r="AH228"/>
  <c r="AH238"/>
  <c r="AH233"/>
  <c r="AH241"/>
  <c r="AH206"/>
  <c r="AH208"/>
  <c r="AH216"/>
  <c r="AH226"/>
  <c r="AH236"/>
  <c r="BM14"/>
  <c r="BM37"/>
  <c r="BM70"/>
  <c r="BM110"/>
  <c r="BM7"/>
  <c r="BM22"/>
  <c r="BM31"/>
  <c r="BM83"/>
  <c r="BM30"/>
  <c r="BM40"/>
  <c r="BM166"/>
  <c r="BM16"/>
  <c r="BM18"/>
  <c r="BM137"/>
  <c r="BM32"/>
  <c r="BM128"/>
  <c r="BM6"/>
  <c r="BM8"/>
  <c r="BM23"/>
  <c r="BM73"/>
  <c r="BM104"/>
  <c r="BM19"/>
  <c r="BM49"/>
  <c r="BM52"/>
  <c r="BM57"/>
  <c r="BM94"/>
  <c r="BM5"/>
  <c r="BM11"/>
  <c r="BM41"/>
  <c r="BM42"/>
  <c r="BM47"/>
  <c r="BM59"/>
  <c r="BM108"/>
  <c r="BM138"/>
  <c r="BM12"/>
  <c r="BM33"/>
  <c r="BM38"/>
  <c r="BM43"/>
  <c r="BM48"/>
  <c r="BM53"/>
  <c r="BM58"/>
  <c r="BM60"/>
  <c r="BM77"/>
  <c r="BM179"/>
  <c r="BM9"/>
  <c r="BM13"/>
  <c r="BM20"/>
  <c r="BM50"/>
  <c r="BM62"/>
  <c r="BM69"/>
  <c r="BM80"/>
  <c r="BM184"/>
  <c r="BM4"/>
  <c r="BM10"/>
  <c r="BM21"/>
  <c r="BM29"/>
  <c r="BM115"/>
  <c r="BM26"/>
  <c r="BM28"/>
  <c r="BM36"/>
  <c r="BM46"/>
  <c r="BM56"/>
  <c r="BM72"/>
  <c r="BM85"/>
  <c r="BM95"/>
  <c r="BM168"/>
  <c r="BM24"/>
  <c r="BM34"/>
  <c r="BM44"/>
  <c r="BM54"/>
  <c r="BM90"/>
  <c r="BM109"/>
  <c r="BM67"/>
  <c r="BM68"/>
  <c r="BM78"/>
  <c r="BM17"/>
  <c r="BM25"/>
  <c r="BM35"/>
  <c r="BM45"/>
  <c r="BM55"/>
  <c r="BM64"/>
  <c r="BM65"/>
  <c r="BM118"/>
  <c r="BM119"/>
  <c r="BM120"/>
  <c r="BM130"/>
  <c r="BM151"/>
  <c r="BM82"/>
  <c r="BM145"/>
  <c r="BM79"/>
  <c r="BM98"/>
  <c r="BM105"/>
  <c r="BM114"/>
  <c r="BM124"/>
  <c r="BM160"/>
  <c r="BM91"/>
  <c r="BM100"/>
  <c r="BM146"/>
  <c r="BM148"/>
  <c r="BM150"/>
  <c r="BM192"/>
  <c r="BM61"/>
  <c r="BM71"/>
  <c r="BM81"/>
  <c r="BM92"/>
  <c r="BM101"/>
  <c r="BM122"/>
  <c r="BM131"/>
  <c r="BM141"/>
  <c r="BM156"/>
  <c r="BM158"/>
  <c r="BM196"/>
  <c r="BM66"/>
  <c r="BM74"/>
  <c r="BM76"/>
  <c r="BM84"/>
  <c r="BM102"/>
  <c r="BM112"/>
  <c r="BM176"/>
  <c r="BM178"/>
  <c r="BM89"/>
  <c r="BM97"/>
  <c r="BM107"/>
  <c r="BM117"/>
  <c r="BM165"/>
  <c r="BM204"/>
  <c r="BM93"/>
  <c r="BM103"/>
  <c r="BM113"/>
  <c r="BM121"/>
  <c r="BM140"/>
  <c r="BM161"/>
  <c r="BM169"/>
  <c r="BM182"/>
  <c r="BM86"/>
  <c r="BM88"/>
  <c r="BM96"/>
  <c r="BM106"/>
  <c r="BM116"/>
  <c r="BM127"/>
  <c r="BM155"/>
  <c r="BM175"/>
  <c r="BM125"/>
  <c r="BM133"/>
  <c r="BM143"/>
  <c r="BM153"/>
  <c r="BM163"/>
  <c r="BM173"/>
  <c r="BM190"/>
  <c r="BM191"/>
  <c r="BM214"/>
  <c r="BM126"/>
  <c r="BM134"/>
  <c r="BM136"/>
  <c r="BM144"/>
  <c r="BM154"/>
  <c r="BM164"/>
  <c r="BM174"/>
  <c r="BM186"/>
  <c r="BM194"/>
  <c r="BM129"/>
  <c r="BM139"/>
  <c r="BM149"/>
  <c r="BM157"/>
  <c r="BM167"/>
  <c r="BM177"/>
  <c r="BM200"/>
  <c r="BM201"/>
  <c r="BM222"/>
  <c r="BM224"/>
  <c r="BM230"/>
  <c r="BM132"/>
  <c r="BM142"/>
  <c r="BM152"/>
  <c r="BM162"/>
  <c r="BM170"/>
  <c r="BM172"/>
  <c r="BM180"/>
  <c r="BM181"/>
  <c r="BM202"/>
  <c r="BM189"/>
  <c r="BM199"/>
  <c r="BM220"/>
  <c r="BM221"/>
  <c r="BM228"/>
  <c r="BM229"/>
  <c r="BM187"/>
  <c r="BM197"/>
  <c r="BM185"/>
  <c r="BM193"/>
  <c r="BM203"/>
  <c r="BM210"/>
  <c r="BM211"/>
  <c r="BM218"/>
  <c r="BM188"/>
  <c r="BM198"/>
  <c r="BM212"/>
  <c r="BM206"/>
  <c r="BM208"/>
  <c r="BM216"/>
  <c r="BM226"/>
  <c r="BM236"/>
  <c r="BM239"/>
  <c r="BM234"/>
  <c r="BM242"/>
  <c r="BM209"/>
  <c r="BM217"/>
  <c r="BM227"/>
  <c r="BM237"/>
  <c r="BM232"/>
  <c r="BM240"/>
  <c r="BM205"/>
  <c r="BM215"/>
  <c r="BM225"/>
  <c r="BM235"/>
  <c r="BM238"/>
  <c r="BM213"/>
  <c r="BM223"/>
  <c r="BM233"/>
  <c r="BM241"/>
  <c r="BK76"/>
  <c r="BK42"/>
  <c r="BK10"/>
  <c r="BK45"/>
  <c r="BK43"/>
  <c r="BK59"/>
  <c r="BK14"/>
  <c r="BK24"/>
  <c r="BK32"/>
  <c r="BK35"/>
  <c r="BK41"/>
  <c r="BK11"/>
  <c r="BK103"/>
  <c r="BK31"/>
  <c r="BK157"/>
  <c r="BK9"/>
  <c r="BK13"/>
  <c r="BK22"/>
  <c r="BK33"/>
  <c r="BK7"/>
  <c r="BK16"/>
  <c r="BK23"/>
  <c r="BK8"/>
  <c r="BK21"/>
  <c r="BK93"/>
  <c r="BK60"/>
  <c r="BK84"/>
  <c r="BK102"/>
  <c r="BK4"/>
  <c r="BK12"/>
  <c r="BK52"/>
  <c r="BK53"/>
  <c r="BK55"/>
  <c r="BK172"/>
  <c r="BK5"/>
  <c r="BK17"/>
  <c r="BK66"/>
  <c r="BK177"/>
  <c r="BK49"/>
  <c r="BK79"/>
  <c r="BK202"/>
  <c r="BK6"/>
  <c r="BK18"/>
  <c r="BK25"/>
  <c r="BK34"/>
  <c r="BK44"/>
  <c r="BK50"/>
  <c r="BK54"/>
  <c r="BK62"/>
  <c r="BK64"/>
  <c r="BK20"/>
  <c r="BK30"/>
  <c r="BK38"/>
  <c r="BK40"/>
  <c r="BK48"/>
  <c r="BK58"/>
  <c r="BK92"/>
  <c r="BK94"/>
  <c r="BK170"/>
  <c r="BK208"/>
  <c r="BK26"/>
  <c r="BK28"/>
  <c r="BK36"/>
  <c r="BK46"/>
  <c r="BK56"/>
  <c r="BK72"/>
  <c r="BK80"/>
  <c r="BK124"/>
  <c r="BK160"/>
  <c r="BK162"/>
  <c r="BK74"/>
  <c r="BK86"/>
  <c r="BK149"/>
  <c r="BK184"/>
  <c r="BK212"/>
  <c r="BK19"/>
  <c r="BK29"/>
  <c r="BK37"/>
  <c r="BK47"/>
  <c r="BK57"/>
  <c r="BK61"/>
  <c r="BK67"/>
  <c r="BK69"/>
  <c r="BK70"/>
  <c r="BK81"/>
  <c r="BK112"/>
  <c r="BK114"/>
  <c r="BK117"/>
  <c r="BK132"/>
  <c r="BK71"/>
  <c r="BK77"/>
  <c r="BK85"/>
  <c r="BK89"/>
  <c r="BK107"/>
  <c r="BK168"/>
  <c r="BK82"/>
  <c r="BK104"/>
  <c r="BK193"/>
  <c r="BK88"/>
  <c r="BK113"/>
  <c r="BK110"/>
  <c r="BK120"/>
  <c r="BK121"/>
  <c r="BK129"/>
  <c r="BK185"/>
  <c r="BK206"/>
  <c r="BK65"/>
  <c r="BK73"/>
  <c r="BK83"/>
  <c r="BK96"/>
  <c r="BK126"/>
  <c r="BK163"/>
  <c r="BK167"/>
  <c r="BK68"/>
  <c r="BK78"/>
  <c r="BK97"/>
  <c r="BK106"/>
  <c r="BK116"/>
  <c r="BK122"/>
  <c r="BK125"/>
  <c r="BK143"/>
  <c r="BK152"/>
  <c r="BK188"/>
  <c r="BK91"/>
  <c r="BK101"/>
  <c r="BK109"/>
  <c r="BK119"/>
  <c r="BK130"/>
  <c r="BK142"/>
  <c r="BK150"/>
  <c r="BK158"/>
  <c r="BK178"/>
  <c r="BK192"/>
  <c r="BK203"/>
  <c r="BK95"/>
  <c r="BK105"/>
  <c r="BK115"/>
  <c r="BK133"/>
  <c r="BK139"/>
  <c r="BK153"/>
  <c r="BK173"/>
  <c r="BK90"/>
  <c r="BK98"/>
  <c r="BK100"/>
  <c r="BK108"/>
  <c r="BK118"/>
  <c r="BK140"/>
  <c r="BK182"/>
  <c r="BK216"/>
  <c r="BK127"/>
  <c r="BK137"/>
  <c r="BK145"/>
  <c r="BK155"/>
  <c r="BK165"/>
  <c r="BK175"/>
  <c r="BK196"/>
  <c r="BK204"/>
  <c r="BK213"/>
  <c r="BK128"/>
  <c r="BK138"/>
  <c r="BK146"/>
  <c r="BK148"/>
  <c r="BK156"/>
  <c r="BK166"/>
  <c r="BK176"/>
  <c r="BK198"/>
  <c r="BK131"/>
  <c r="BK141"/>
  <c r="BK151"/>
  <c r="BK161"/>
  <c r="BK169"/>
  <c r="BK179"/>
  <c r="BK186"/>
  <c r="BK194"/>
  <c r="BK226"/>
  <c r="BK134"/>
  <c r="BK136"/>
  <c r="BK144"/>
  <c r="BK154"/>
  <c r="BK164"/>
  <c r="BK174"/>
  <c r="BK181"/>
  <c r="BK191"/>
  <c r="BK201"/>
  <c r="BK214"/>
  <c r="BK189"/>
  <c r="BK199"/>
  <c r="BK222"/>
  <c r="BK223"/>
  <c r="BK230"/>
  <c r="BK187"/>
  <c r="BK197"/>
  <c r="BK224"/>
  <c r="BK180"/>
  <c r="BK190"/>
  <c r="BK200"/>
  <c r="BK210"/>
  <c r="BK218"/>
  <c r="BK220"/>
  <c r="BK228"/>
  <c r="BK238"/>
  <c r="BK233"/>
  <c r="BK241"/>
  <c r="BK236"/>
  <c r="BK211"/>
  <c r="BK221"/>
  <c r="BK229"/>
  <c r="BK239"/>
  <c r="BK234"/>
  <c r="BK242"/>
  <c r="BK209"/>
  <c r="BK217"/>
  <c r="BK227"/>
  <c r="BK237"/>
  <c r="BK232"/>
  <c r="BK240"/>
  <c r="BK205"/>
  <c r="BK215"/>
  <c r="BK225"/>
  <c r="BK235"/>
  <c r="U162"/>
  <c r="U55"/>
  <c r="U23"/>
  <c r="U25"/>
  <c r="U34"/>
  <c r="U35"/>
  <c r="U4"/>
  <c r="U36"/>
  <c r="U61"/>
  <c r="U169"/>
  <c r="U46"/>
  <c r="U13"/>
  <c r="U44"/>
  <c r="U194"/>
  <c r="U73"/>
  <c r="U86"/>
  <c r="U9"/>
  <c r="U28"/>
  <c r="U45"/>
  <c r="U81"/>
  <c r="U220"/>
  <c r="U76"/>
  <c r="U6"/>
  <c r="U26"/>
  <c r="U69"/>
  <c r="U228"/>
  <c r="U12"/>
  <c r="U17"/>
  <c r="U29"/>
  <c r="U54"/>
  <c r="U56"/>
  <c r="U79"/>
  <c r="U83"/>
  <c r="U96"/>
  <c r="U7"/>
  <c r="U18"/>
  <c r="U5"/>
  <c r="U10"/>
  <c r="U16"/>
  <c r="U19"/>
  <c r="U89"/>
  <c r="U122"/>
  <c r="U134"/>
  <c r="U161"/>
  <c r="U224"/>
  <c r="U8"/>
  <c r="U14"/>
  <c r="U24"/>
  <c r="U33"/>
  <c r="U37"/>
  <c r="U43"/>
  <c r="U47"/>
  <c r="U53"/>
  <c r="U57"/>
  <c r="U64"/>
  <c r="U65"/>
  <c r="U187"/>
  <c r="U22"/>
  <c r="U32"/>
  <c r="U42"/>
  <c r="U50"/>
  <c r="U52"/>
  <c r="U68"/>
  <c r="U78"/>
  <c r="U100"/>
  <c r="U116"/>
  <c r="U205"/>
  <c r="U20"/>
  <c r="U30"/>
  <c r="U38"/>
  <c r="U40"/>
  <c r="U48"/>
  <c r="U58"/>
  <c r="U62"/>
  <c r="U66"/>
  <c r="U72"/>
  <c r="U84"/>
  <c r="U74"/>
  <c r="U108"/>
  <c r="U137"/>
  <c r="U186"/>
  <c r="U11"/>
  <c r="U21"/>
  <c r="U31"/>
  <c r="U41"/>
  <c r="U49"/>
  <c r="U59"/>
  <c r="U98"/>
  <c r="U170"/>
  <c r="U71"/>
  <c r="U90"/>
  <c r="U131"/>
  <c r="U165"/>
  <c r="U82"/>
  <c r="U106"/>
  <c r="U101"/>
  <c r="U118"/>
  <c r="U141"/>
  <c r="U144"/>
  <c r="U179"/>
  <c r="U94"/>
  <c r="U136"/>
  <c r="U154"/>
  <c r="U200"/>
  <c r="U67"/>
  <c r="U77"/>
  <c r="U85"/>
  <c r="U91"/>
  <c r="U95"/>
  <c r="U104"/>
  <c r="U109"/>
  <c r="U114"/>
  <c r="U119"/>
  <c r="U126"/>
  <c r="U145"/>
  <c r="U174"/>
  <c r="U60"/>
  <c r="U70"/>
  <c r="U80"/>
  <c r="U88"/>
  <c r="U105"/>
  <c r="U115"/>
  <c r="U124"/>
  <c r="U151"/>
  <c r="U190"/>
  <c r="U93"/>
  <c r="U103"/>
  <c r="U113"/>
  <c r="U121"/>
  <c r="U127"/>
  <c r="U132"/>
  <c r="U152"/>
  <c r="U172"/>
  <c r="U180"/>
  <c r="U97"/>
  <c r="U107"/>
  <c r="U117"/>
  <c r="U155"/>
  <c r="U175"/>
  <c r="U197"/>
  <c r="U92"/>
  <c r="U102"/>
  <c r="U110"/>
  <c r="U112"/>
  <c r="U120"/>
  <c r="U142"/>
  <c r="U164"/>
  <c r="U129"/>
  <c r="U139"/>
  <c r="U149"/>
  <c r="U157"/>
  <c r="U167"/>
  <c r="U177"/>
  <c r="U198"/>
  <c r="U130"/>
  <c r="U140"/>
  <c r="U150"/>
  <c r="U158"/>
  <c r="U160"/>
  <c r="U168"/>
  <c r="U178"/>
  <c r="U206"/>
  <c r="U215"/>
  <c r="U125"/>
  <c r="U133"/>
  <c r="U143"/>
  <c r="U153"/>
  <c r="U163"/>
  <c r="U173"/>
  <c r="U188"/>
  <c r="U128"/>
  <c r="U138"/>
  <c r="U146"/>
  <c r="U148"/>
  <c r="U156"/>
  <c r="U166"/>
  <c r="U176"/>
  <c r="U196"/>
  <c r="U204"/>
  <c r="U185"/>
  <c r="U193"/>
  <c r="U203"/>
  <c r="U208"/>
  <c r="U216"/>
  <c r="U181"/>
  <c r="U191"/>
  <c r="U201"/>
  <c r="U210"/>
  <c r="U218"/>
  <c r="U225"/>
  <c r="U189"/>
  <c r="U199"/>
  <c r="U226"/>
  <c r="U182"/>
  <c r="U184"/>
  <c r="U192"/>
  <c r="U202"/>
  <c r="U214"/>
  <c r="U212"/>
  <c r="U222"/>
  <c r="U230"/>
  <c r="U232"/>
  <c r="U240"/>
  <c r="U235"/>
  <c r="U238"/>
  <c r="U213"/>
  <c r="U223"/>
  <c r="U233"/>
  <c r="U241"/>
  <c r="U236"/>
  <c r="U211"/>
  <c r="U221"/>
  <c r="U229"/>
  <c r="U239"/>
  <c r="U234"/>
  <c r="U242"/>
  <c r="U209"/>
  <c r="U217"/>
  <c r="U227"/>
  <c r="U237"/>
  <c r="BJ5"/>
  <c r="BJ109"/>
  <c r="BJ46"/>
  <c r="BJ50"/>
  <c r="BJ4"/>
  <c r="BJ17"/>
  <c r="BJ107"/>
  <c r="BJ36"/>
  <c r="BJ31"/>
  <c r="BJ101"/>
  <c r="BJ40"/>
  <c r="BJ47"/>
  <c r="BJ114"/>
  <c r="BJ26"/>
  <c r="BJ37"/>
  <c r="BJ62"/>
  <c r="BJ82"/>
  <c r="BJ29"/>
  <c r="BJ41"/>
  <c r="BJ61"/>
  <c r="BJ20"/>
  <c r="BJ21"/>
  <c r="BJ125"/>
  <c r="BJ6"/>
  <c r="BJ122"/>
  <c r="BJ7"/>
  <c r="BJ10"/>
  <c r="BJ22"/>
  <c r="BJ30"/>
  <c r="BJ130"/>
  <c r="BJ9"/>
  <c r="BJ13"/>
  <c r="BJ18"/>
  <c r="BJ77"/>
  <c r="BJ56"/>
  <c r="BJ57"/>
  <c r="BJ84"/>
  <c r="BJ11"/>
  <c r="BJ32"/>
  <c r="BJ42"/>
  <c r="BJ52"/>
  <c r="BJ72"/>
  <c r="BJ118"/>
  <c r="BJ8"/>
  <c r="BJ12"/>
  <c r="BJ38"/>
  <c r="BJ48"/>
  <c r="BJ58"/>
  <c r="BJ19"/>
  <c r="BJ28"/>
  <c r="BJ49"/>
  <c r="BJ67"/>
  <c r="BJ69"/>
  <c r="BJ25"/>
  <c r="BJ35"/>
  <c r="BJ45"/>
  <c r="BJ55"/>
  <c r="BJ64"/>
  <c r="BJ104"/>
  <c r="BJ201"/>
  <c r="BJ23"/>
  <c r="BJ33"/>
  <c r="BJ43"/>
  <c r="BJ53"/>
  <c r="BJ59"/>
  <c r="BJ76"/>
  <c r="BJ85"/>
  <c r="BJ97"/>
  <c r="BJ98"/>
  <c r="BJ71"/>
  <c r="BJ113"/>
  <c r="BJ144"/>
  <c r="BJ14"/>
  <c r="BJ16"/>
  <c r="BJ24"/>
  <c r="BJ34"/>
  <c r="BJ44"/>
  <c r="BJ54"/>
  <c r="BJ68"/>
  <c r="BJ89"/>
  <c r="BJ66"/>
  <c r="BJ74"/>
  <c r="BJ81"/>
  <c r="BJ108"/>
  <c r="BJ140"/>
  <c r="BJ78"/>
  <c r="BJ103"/>
  <c r="BJ136"/>
  <c r="BJ178"/>
  <c r="BJ180"/>
  <c r="BJ79"/>
  <c r="BJ93"/>
  <c r="BJ94"/>
  <c r="BJ117"/>
  <c r="BJ119"/>
  <c r="BJ155"/>
  <c r="BJ190"/>
  <c r="BJ90"/>
  <c r="BJ124"/>
  <c r="BJ175"/>
  <c r="BJ60"/>
  <c r="BJ70"/>
  <c r="BJ80"/>
  <c r="BJ100"/>
  <c r="BJ121"/>
  <c r="BJ150"/>
  <c r="BJ203"/>
  <c r="BJ213"/>
  <c r="BJ65"/>
  <c r="BJ73"/>
  <c r="BJ83"/>
  <c r="BJ91"/>
  <c r="BJ127"/>
  <c r="BJ158"/>
  <c r="BJ165"/>
  <c r="BJ167"/>
  <c r="BJ181"/>
  <c r="BJ86"/>
  <c r="BJ88"/>
  <c r="BJ96"/>
  <c r="BJ106"/>
  <c r="BJ116"/>
  <c r="BJ129"/>
  <c r="BJ149"/>
  <c r="BJ157"/>
  <c r="BJ164"/>
  <c r="BJ177"/>
  <c r="BJ191"/>
  <c r="BJ211"/>
  <c r="BJ92"/>
  <c r="BJ102"/>
  <c r="BJ110"/>
  <c r="BJ112"/>
  <c r="BJ120"/>
  <c r="BJ126"/>
  <c r="BJ137"/>
  <c r="BJ145"/>
  <c r="BJ160"/>
  <c r="BJ168"/>
  <c r="BJ95"/>
  <c r="BJ105"/>
  <c r="BJ115"/>
  <c r="BJ134"/>
  <c r="BJ139"/>
  <c r="BJ154"/>
  <c r="BJ174"/>
  <c r="BJ205"/>
  <c r="BJ132"/>
  <c r="BJ142"/>
  <c r="BJ152"/>
  <c r="BJ162"/>
  <c r="BJ170"/>
  <c r="BJ172"/>
  <c r="BJ189"/>
  <c r="BJ133"/>
  <c r="BJ143"/>
  <c r="BJ153"/>
  <c r="BJ163"/>
  <c r="BJ173"/>
  <c r="BJ185"/>
  <c r="BJ193"/>
  <c r="BJ128"/>
  <c r="BJ138"/>
  <c r="BJ146"/>
  <c r="BJ148"/>
  <c r="BJ156"/>
  <c r="BJ166"/>
  <c r="BJ176"/>
  <c r="BJ199"/>
  <c r="BJ220"/>
  <c r="BJ223"/>
  <c r="BJ228"/>
  <c r="BJ131"/>
  <c r="BJ141"/>
  <c r="BJ151"/>
  <c r="BJ161"/>
  <c r="BJ169"/>
  <c r="BJ179"/>
  <c r="BJ200"/>
  <c r="BJ188"/>
  <c r="BJ198"/>
  <c r="BJ227"/>
  <c r="BJ186"/>
  <c r="BJ194"/>
  <c r="BJ196"/>
  <c r="BJ204"/>
  <c r="BJ221"/>
  <c r="BJ229"/>
  <c r="BJ182"/>
  <c r="BJ184"/>
  <c r="BJ192"/>
  <c r="BJ202"/>
  <c r="BJ209"/>
  <c r="BJ217"/>
  <c r="BJ187"/>
  <c r="BJ197"/>
  <c r="BJ210"/>
  <c r="BJ218"/>
  <c r="BJ215"/>
  <c r="BJ225"/>
  <c r="BJ235"/>
  <c r="BJ238"/>
  <c r="BJ233"/>
  <c r="BJ241"/>
  <c r="BJ206"/>
  <c r="BJ208"/>
  <c r="BJ216"/>
  <c r="BJ226"/>
  <c r="BJ236"/>
  <c r="BJ239"/>
  <c r="BJ214"/>
  <c r="BJ224"/>
  <c r="BJ234"/>
  <c r="BJ242"/>
  <c r="BJ237"/>
  <c r="BJ212"/>
  <c r="BJ222"/>
  <c r="BJ230"/>
  <c r="BJ232"/>
  <c r="BJ240"/>
  <c r="Q32"/>
  <c r="Q8"/>
  <c r="Q37"/>
  <c r="Q52"/>
  <c r="Q59"/>
  <c r="Q57"/>
  <c r="Q5"/>
  <c r="Q11"/>
  <c r="Q53"/>
  <c r="Q19"/>
  <c r="Q58"/>
  <c r="Q38"/>
  <c r="Q42"/>
  <c r="Q47"/>
  <c r="Q48"/>
  <c r="Q49"/>
  <c r="Q82"/>
  <c r="Q16"/>
  <c r="Q43"/>
  <c r="Q10"/>
  <c r="Q23"/>
  <c r="Q33"/>
  <c r="Q95"/>
  <c r="Q13"/>
  <c r="Q14"/>
  <c r="Q146"/>
  <c r="Q6"/>
  <c r="Q7"/>
  <c r="Q21"/>
  <c r="Q29"/>
  <c r="Q62"/>
  <c r="Q110"/>
  <c r="Q130"/>
  <c r="Q20"/>
  <c r="Q50"/>
  <c r="Q9"/>
  <c r="Q12"/>
  <c r="Q22"/>
  <c r="Q30"/>
  <c r="Q40"/>
  <c r="Q67"/>
  <c r="Q69"/>
  <c r="Q4"/>
  <c r="Q18"/>
  <c r="Q31"/>
  <c r="Q41"/>
  <c r="Q101"/>
  <c r="Q105"/>
  <c r="Q184"/>
  <c r="Q26"/>
  <c r="Q28"/>
  <c r="Q36"/>
  <c r="Q46"/>
  <c r="Q56"/>
  <c r="Q77"/>
  <c r="Q114"/>
  <c r="Q24"/>
  <c r="Q34"/>
  <c r="Q44"/>
  <c r="Q54"/>
  <c r="Q70"/>
  <c r="Q83"/>
  <c r="Q100"/>
  <c r="Q104"/>
  <c r="Q122"/>
  <c r="Q148"/>
  <c r="Q68"/>
  <c r="Q79"/>
  <c r="Q92"/>
  <c r="Q17"/>
  <c r="Q25"/>
  <c r="Q35"/>
  <c r="Q45"/>
  <c r="Q55"/>
  <c r="Q60"/>
  <c r="Q64"/>
  <c r="Q91"/>
  <c r="Q109"/>
  <c r="Q124"/>
  <c r="Q137"/>
  <c r="Q179"/>
  <c r="Q65"/>
  <c r="Q73"/>
  <c r="Q80"/>
  <c r="Q115"/>
  <c r="Q151"/>
  <c r="Q168"/>
  <c r="Q85"/>
  <c r="Q138"/>
  <c r="Q166"/>
  <c r="Q72"/>
  <c r="Q78"/>
  <c r="Q86"/>
  <c r="Q119"/>
  <c r="Q120"/>
  <c r="Q127"/>
  <c r="Q128"/>
  <c r="Q150"/>
  <c r="Q102"/>
  <c r="Q112"/>
  <c r="Q131"/>
  <c r="Q141"/>
  <c r="Q156"/>
  <c r="Q158"/>
  <c r="Q192"/>
  <c r="Q61"/>
  <c r="Q71"/>
  <c r="Q81"/>
  <c r="Q98"/>
  <c r="Q176"/>
  <c r="Q178"/>
  <c r="Q66"/>
  <c r="Q74"/>
  <c r="Q76"/>
  <c r="Q84"/>
  <c r="Q90"/>
  <c r="Q94"/>
  <c r="Q108"/>
  <c r="Q118"/>
  <c r="Q145"/>
  <c r="Q160"/>
  <c r="Q89"/>
  <c r="Q97"/>
  <c r="Q107"/>
  <c r="Q117"/>
  <c r="Q165"/>
  <c r="Q182"/>
  <c r="Q93"/>
  <c r="Q103"/>
  <c r="Q113"/>
  <c r="Q121"/>
  <c r="Q140"/>
  <c r="Q161"/>
  <c r="Q169"/>
  <c r="Q204"/>
  <c r="Q88"/>
  <c r="Q96"/>
  <c r="Q106"/>
  <c r="Q116"/>
  <c r="Q155"/>
  <c r="Q175"/>
  <c r="Q196"/>
  <c r="Q125"/>
  <c r="Q133"/>
  <c r="Q143"/>
  <c r="Q153"/>
  <c r="Q163"/>
  <c r="Q173"/>
  <c r="Q190"/>
  <c r="Q191"/>
  <c r="Q222"/>
  <c r="Q224"/>
  <c r="Q230"/>
  <c r="Q126"/>
  <c r="Q134"/>
  <c r="Q136"/>
  <c r="Q144"/>
  <c r="Q154"/>
  <c r="Q164"/>
  <c r="Q174"/>
  <c r="Q186"/>
  <c r="Q194"/>
  <c r="Q129"/>
  <c r="Q139"/>
  <c r="Q149"/>
  <c r="Q157"/>
  <c r="Q167"/>
  <c r="Q177"/>
  <c r="Q200"/>
  <c r="Q201"/>
  <c r="Q206"/>
  <c r="Q214"/>
  <c r="Q132"/>
  <c r="Q142"/>
  <c r="Q152"/>
  <c r="Q162"/>
  <c r="Q170"/>
  <c r="Q172"/>
  <c r="Q180"/>
  <c r="Q181"/>
  <c r="Q202"/>
  <c r="Q189"/>
  <c r="Q199"/>
  <c r="Q220"/>
  <c r="Q221"/>
  <c r="Q228"/>
  <c r="Q229"/>
  <c r="Q187"/>
  <c r="Q197"/>
  <c r="Q205"/>
  <c r="Q185"/>
  <c r="Q193"/>
  <c r="Q203"/>
  <c r="Q210"/>
  <c r="Q211"/>
  <c r="Q218"/>
  <c r="Q188"/>
  <c r="Q198"/>
  <c r="Q212"/>
  <c r="Q208"/>
  <c r="Q216"/>
  <c r="Q226"/>
  <c r="Q236"/>
  <c r="Q239"/>
  <c r="Q234"/>
  <c r="Q242"/>
  <c r="Q209"/>
  <c r="Q217"/>
  <c r="Q227"/>
  <c r="Q237"/>
  <c r="Q232"/>
  <c r="Q240"/>
  <c r="Q215"/>
  <c r="Q225"/>
  <c r="Q235"/>
  <c r="Q238"/>
  <c r="Q213"/>
  <c r="Q223"/>
  <c r="Q233"/>
  <c r="Q241"/>
  <c r="BF86"/>
  <c r="BF44"/>
  <c r="BF178"/>
  <c r="BF88"/>
  <c r="BF54"/>
  <c r="BF65"/>
  <c r="BF9"/>
  <c r="BF73"/>
  <c r="BF5"/>
  <c r="BF17"/>
  <c r="BF25"/>
  <c r="BF68"/>
  <c r="BF18"/>
  <c r="BF43"/>
  <c r="BF100"/>
  <c r="BF126"/>
  <c r="BF12"/>
  <c r="BF33"/>
  <c r="BF53"/>
  <c r="BF24"/>
  <c r="BF34"/>
  <c r="BF85"/>
  <c r="BF8"/>
  <c r="BF28"/>
  <c r="BF50"/>
  <c r="BF70"/>
  <c r="BF115"/>
  <c r="BF6"/>
  <c r="BF13"/>
  <c r="BF22"/>
  <c r="BF26"/>
  <c r="BF35"/>
  <c r="BF45"/>
  <c r="BF55"/>
  <c r="BF125"/>
  <c r="BF4"/>
  <c r="BF16"/>
  <c r="BF23"/>
  <c r="BF32"/>
  <c r="BF36"/>
  <c r="BF42"/>
  <c r="BF46"/>
  <c r="BF52"/>
  <c r="BF56"/>
  <c r="BF78"/>
  <c r="BF117"/>
  <c r="BF7"/>
  <c r="BF11"/>
  <c r="BF14"/>
  <c r="BF60"/>
  <c r="BF97"/>
  <c r="BF169"/>
  <c r="BF199"/>
  <c r="BF21"/>
  <c r="BF31"/>
  <c r="BF41"/>
  <c r="BF49"/>
  <c r="BF67"/>
  <c r="BF71"/>
  <c r="BF81"/>
  <c r="BF105"/>
  <c r="BF19"/>
  <c r="BF29"/>
  <c r="BF37"/>
  <c r="BF47"/>
  <c r="BF57"/>
  <c r="BF61"/>
  <c r="BF64"/>
  <c r="BF107"/>
  <c r="BF186"/>
  <c r="BF72"/>
  <c r="BF77"/>
  <c r="BF80"/>
  <c r="BF98"/>
  <c r="BF143"/>
  <c r="BF10"/>
  <c r="BF20"/>
  <c r="BF30"/>
  <c r="BF38"/>
  <c r="BF40"/>
  <c r="BF48"/>
  <c r="BF58"/>
  <c r="BF133"/>
  <c r="BF140"/>
  <c r="BF141"/>
  <c r="BF153"/>
  <c r="BF62"/>
  <c r="BF83"/>
  <c r="BF93"/>
  <c r="BF196"/>
  <c r="BF82"/>
  <c r="BF90"/>
  <c r="BF121"/>
  <c r="BF122"/>
  <c r="BF130"/>
  <c r="BF158"/>
  <c r="BF164"/>
  <c r="BF94"/>
  <c r="BF103"/>
  <c r="BF108"/>
  <c r="BF113"/>
  <c r="BF118"/>
  <c r="BF173"/>
  <c r="BF204"/>
  <c r="BF205"/>
  <c r="BF66"/>
  <c r="BF74"/>
  <c r="BF76"/>
  <c r="BF84"/>
  <c r="BF89"/>
  <c r="BF104"/>
  <c r="BF114"/>
  <c r="BF59"/>
  <c r="BF69"/>
  <c r="BF79"/>
  <c r="BF95"/>
  <c r="BF124"/>
  <c r="BF150"/>
  <c r="BF161"/>
  <c r="BF163"/>
  <c r="BF203"/>
  <c r="BF209"/>
  <c r="BF213"/>
  <c r="BF92"/>
  <c r="BF102"/>
  <c r="BF110"/>
  <c r="BF112"/>
  <c r="BF120"/>
  <c r="BF134"/>
  <c r="BF154"/>
  <c r="BF174"/>
  <c r="BF189"/>
  <c r="BF194"/>
  <c r="BF96"/>
  <c r="BF106"/>
  <c r="BF116"/>
  <c r="BF131"/>
  <c r="BF151"/>
  <c r="BF179"/>
  <c r="BF91"/>
  <c r="BF101"/>
  <c r="BF109"/>
  <c r="BF119"/>
  <c r="BF136"/>
  <c r="BF144"/>
  <c r="BF160"/>
  <c r="BF168"/>
  <c r="BF217"/>
  <c r="BF128"/>
  <c r="BF138"/>
  <c r="BF146"/>
  <c r="BF148"/>
  <c r="BF156"/>
  <c r="BF166"/>
  <c r="BF176"/>
  <c r="BF187"/>
  <c r="BF129"/>
  <c r="BF139"/>
  <c r="BF149"/>
  <c r="BF157"/>
  <c r="BF167"/>
  <c r="BF177"/>
  <c r="BF132"/>
  <c r="BF142"/>
  <c r="BF152"/>
  <c r="BF162"/>
  <c r="BF170"/>
  <c r="BF172"/>
  <c r="BF197"/>
  <c r="BF127"/>
  <c r="BF137"/>
  <c r="BF145"/>
  <c r="BF155"/>
  <c r="BF165"/>
  <c r="BF175"/>
  <c r="BF185"/>
  <c r="BF193"/>
  <c r="BF224"/>
  <c r="BF182"/>
  <c r="BF184"/>
  <c r="BF192"/>
  <c r="BF202"/>
  <c r="BF225"/>
  <c r="BF180"/>
  <c r="BF190"/>
  <c r="BF200"/>
  <c r="BF214"/>
  <c r="BF227"/>
  <c r="BF188"/>
  <c r="BF198"/>
  <c r="BF215"/>
  <c r="BF181"/>
  <c r="BF191"/>
  <c r="BF201"/>
  <c r="BF223"/>
  <c r="BF211"/>
  <c r="BF221"/>
  <c r="BF229"/>
  <c r="BF239"/>
  <c r="BF234"/>
  <c r="BF242"/>
  <c r="BF237"/>
  <c r="BF212"/>
  <c r="BF222"/>
  <c r="BF230"/>
  <c r="BF232"/>
  <c r="BF240"/>
  <c r="BF235"/>
  <c r="BF210"/>
  <c r="BF218"/>
  <c r="BF220"/>
  <c r="BF228"/>
  <c r="BF238"/>
  <c r="BF233"/>
  <c r="BF241"/>
  <c r="BF206"/>
  <c r="BF208"/>
  <c r="BF216"/>
  <c r="BF226"/>
  <c r="BF236"/>
  <c r="BE158"/>
  <c r="BE13"/>
  <c r="BE168"/>
  <c r="BE82"/>
  <c r="BE160"/>
  <c r="BE43"/>
  <c r="BE57"/>
  <c r="BE8"/>
  <c r="BE37"/>
  <c r="BE53"/>
  <c r="BE130"/>
  <c r="BE19"/>
  <c r="BE83"/>
  <c r="BE58"/>
  <c r="BE124"/>
  <c r="BE11"/>
  <c r="BE38"/>
  <c r="BE47"/>
  <c r="BE48"/>
  <c r="BE49"/>
  <c r="BE50"/>
  <c r="BE105"/>
  <c r="BE12"/>
  <c r="BE20"/>
  <c r="BE5"/>
  <c r="BE33"/>
  <c r="BE40"/>
  <c r="BE62"/>
  <c r="BE101"/>
  <c r="BE6"/>
  <c r="BE7"/>
  <c r="BE22"/>
  <c r="BE30"/>
  <c r="BE64"/>
  <c r="BE67"/>
  <c r="BE14"/>
  <c r="BE60"/>
  <c r="BE102"/>
  <c r="BE18"/>
  <c r="BE21"/>
  <c r="BE29"/>
  <c r="BE194"/>
  <c r="BE9"/>
  <c r="BE10"/>
  <c r="BE31"/>
  <c r="BE41"/>
  <c r="BE95"/>
  <c r="BE138"/>
  <c r="BE4"/>
  <c r="BE16"/>
  <c r="BE23"/>
  <c r="BE32"/>
  <c r="BE42"/>
  <c r="BE52"/>
  <c r="BE26"/>
  <c r="BE28"/>
  <c r="BE36"/>
  <c r="BE46"/>
  <c r="BE56"/>
  <c r="BE69"/>
  <c r="BE70"/>
  <c r="BE78"/>
  <c r="BE100"/>
  <c r="BE122"/>
  <c r="BE127"/>
  <c r="BE128"/>
  <c r="BE176"/>
  <c r="BE178"/>
  <c r="BE24"/>
  <c r="BE34"/>
  <c r="BE44"/>
  <c r="BE54"/>
  <c r="BE65"/>
  <c r="BE73"/>
  <c r="BE92"/>
  <c r="BE181"/>
  <c r="BE85"/>
  <c r="BE90"/>
  <c r="BE110"/>
  <c r="BE202"/>
  <c r="BE17"/>
  <c r="BE25"/>
  <c r="BE35"/>
  <c r="BE45"/>
  <c r="BE55"/>
  <c r="BE59"/>
  <c r="BE72"/>
  <c r="BE77"/>
  <c r="BE150"/>
  <c r="BE68"/>
  <c r="BE79"/>
  <c r="BE115"/>
  <c r="BE156"/>
  <c r="BE80"/>
  <c r="BE91"/>
  <c r="BE112"/>
  <c r="BE145"/>
  <c r="BE214"/>
  <c r="BE120"/>
  <c r="BE141"/>
  <c r="BE148"/>
  <c r="BE98"/>
  <c r="BE155"/>
  <c r="BE182"/>
  <c r="BE61"/>
  <c r="BE71"/>
  <c r="BE81"/>
  <c r="BE94"/>
  <c r="BE108"/>
  <c r="BE118"/>
  <c r="BE137"/>
  <c r="BE175"/>
  <c r="BE224"/>
  <c r="BE66"/>
  <c r="BE74"/>
  <c r="BE76"/>
  <c r="BE84"/>
  <c r="BE104"/>
  <c r="BE109"/>
  <c r="BE114"/>
  <c r="BE119"/>
  <c r="BE146"/>
  <c r="BE89"/>
  <c r="BE97"/>
  <c r="BE107"/>
  <c r="BE117"/>
  <c r="BE140"/>
  <c r="BE161"/>
  <c r="BE169"/>
  <c r="BE180"/>
  <c r="BE186"/>
  <c r="BE93"/>
  <c r="BE103"/>
  <c r="BE113"/>
  <c r="BE121"/>
  <c r="BE165"/>
  <c r="BE86"/>
  <c r="BE88"/>
  <c r="BE96"/>
  <c r="BE106"/>
  <c r="BE116"/>
  <c r="BE131"/>
  <c r="BE151"/>
  <c r="BE166"/>
  <c r="BE179"/>
  <c r="BE125"/>
  <c r="BE133"/>
  <c r="BE143"/>
  <c r="BE153"/>
  <c r="BE163"/>
  <c r="BE173"/>
  <c r="BE200"/>
  <c r="BE201"/>
  <c r="BE126"/>
  <c r="BE134"/>
  <c r="BE136"/>
  <c r="BE144"/>
  <c r="BE154"/>
  <c r="BE164"/>
  <c r="BE174"/>
  <c r="BE196"/>
  <c r="BE204"/>
  <c r="BE212"/>
  <c r="BE129"/>
  <c r="BE139"/>
  <c r="BE149"/>
  <c r="BE157"/>
  <c r="BE167"/>
  <c r="BE177"/>
  <c r="BE190"/>
  <c r="BE191"/>
  <c r="BE132"/>
  <c r="BE142"/>
  <c r="BE152"/>
  <c r="BE162"/>
  <c r="BE170"/>
  <c r="BE172"/>
  <c r="BE184"/>
  <c r="BE192"/>
  <c r="BE189"/>
  <c r="BE199"/>
  <c r="BE210"/>
  <c r="BE211"/>
  <c r="BE218"/>
  <c r="BE187"/>
  <c r="BE197"/>
  <c r="BE185"/>
  <c r="BE193"/>
  <c r="BE203"/>
  <c r="BE220"/>
  <c r="BE221"/>
  <c r="BE228"/>
  <c r="BE229"/>
  <c r="BE188"/>
  <c r="BE198"/>
  <c r="BE222"/>
  <c r="BE230"/>
  <c r="BE206"/>
  <c r="BE208"/>
  <c r="BE216"/>
  <c r="BE226"/>
  <c r="BE236"/>
  <c r="BE239"/>
  <c r="BE234"/>
  <c r="BE242"/>
  <c r="BE209"/>
  <c r="BE217"/>
  <c r="BE227"/>
  <c r="BE237"/>
  <c r="BE232"/>
  <c r="BE240"/>
  <c r="BE205"/>
  <c r="BE215"/>
  <c r="BE225"/>
  <c r="BE235"/>
  <c r="BE238"/>
  <c r="BE213"/>
  <c r="BE223"/>
  <c r="BE233"/>
  <c r="BE241"/>
  <c r="BE241" i="2" l="1"/>
  <c r="BE233"/>
  <c r="BE223"/>
  <c r="BE213"/>
  <c r="BE238"/>
  <c r="BE235"/>
  <c r="BE225"/>
  <c r="BE215"/>
  <c r="BE205"/>
  <c r="BE240"/>
  <c r="BE232"/>
  <c r="BE231" i="3"/>
  <c r="BE231" i="2" s="1"/>
  <c r="BE237"/>
  <c r="BE227"/>
  <c r="BE217"/>
  <c r="BE209"/>
  <c r="BE242"/>
  <c r="BE234"/>
  <c r="BE239"/>
  <c r="BE236"/>
  <c r="BE226"/>
  <c r="BE216"/>
  <c r="BE207" i="3"/>
  <c r="BE207" i="2" s="1"/>
  <c r="BE208"/>
  <c r="BE206"/>
  <c r="BE230"/>
  <c r="BE222"/>
  <c r="BE198"/>
  <c r="BE188"/>
  <c r="BE229"/>
  <c r="BE228"/>
  <c r="BE221"/>
  <c r="BE219" i="3"/>
  <c r="BE219" i="2" s="1"/>
  <c r="BE220"/>
  <c r="BE203"/>
  <c r="BE193"/>
  <c r="BE185"/>
  <c r="BE197"/>
  <c r="BE187"/>
  <c r="BE218"/>
  <c r="BE211"/>
  <c r="BE210"/>
  <c r="BE199"/>
  <c r="BE189"/>
  <c r="BE192"/>
  <c r="BE183" i="3"/>
  <c r="BE183" i="2" s="1"/>
  <c r="BE184"/>
  <c r="BE171" i="3"/>
  <c r="BE171" i="2" s="1"/>
  <c r="BE172"/>
  <c r="BE170"/>
  <c r="BE162"/>
  <c r="BE152"/>
  <c r="BE142"/>
  <c r="BE132"/>
  <c r="BE191"/>
  <c r="BE190"/>
  <c r="BE177"/>
  <c r="BE167"/>
  <c r="BE157"/>
  <c r="BE149"/>
  <c r="BE139"/>
  <c r="BE129"/>
  <c r="BE212"/>
  <c r="BE204"/>
  <c r="BE195" i="3"/>
  <c r="BE195" i="2" s="1"/>
  <c r="BE196"/>
  <c r="BE174"/>
  <c r="BE164"/>
  <c r="BE154"/>
  <c r="BE144"/>
  <c r="BE135" i="3"/>
  <c r="BE135" i="2" s="1"/>
  <c r="BE136"/>
  <c r="BE134"/>
  <c r="BE126"/>
  <c r="BE201"/>
  <c r="BE200"/>
  <c r="BE173"/>
  <c r="BE163"/>
  <c r="BE153"/>
  <c r="BE143"/>
  <c r="BE133"/>
  <c r="BE125"/>
  <c r="BE179"/>
  <c r="BE166"/>
  <c r="BE151"/>
  <c r="BE131"/>
  <c r="BE116"/>
  <c r="BE106"/>
  <c r="BE96"/>
  <c r="BE87" i="3"/>
  <c r="BE87" i="2" s="1"/>
  <c r="BE88"/>
  <c r="BE86"/>
  <c r="BE165"/>
  <c r="BE121"/>
  <c r="BE113"/>
  <c r="BE103"/>
  <c r="BE93"/>
  <c r="BE186"/>
  <c r="BE180"/>
  <c r="BE169"/>
  <c r="BE161"/>
  <c r="BE140"/>
  <c r="BE117"/>
  <c r="BE107"/>
  <c r="BE97"/>
  <c r="BE89"/>
  <c r="BE146"/>
  <c r="BE119"/>
  <c r="BE114"/>
  <c r="BE109"/>
  <c r="BE104"/>
  <c r="BE84"/>
  <c r="BE75" i="3"/>
  <c r="BE75" i="2" s="1"/>
  <c r="BE76"/>
  <c r="BE74"/>
  <c r="BE66"/>
  <c r="BE224"/>
  <c r="BE175"/>
  <c r="BE137"/>
  <c r="BE118"/>
  <c r="BE108"/>
  <c r="BE94"/>
  <c r="BE81"/>
  <c r="BE71"/>
  <c r="BE61"/>
  <c r="BE182"/>
  <c r="BE155"/>
  <c r="BE98"/>
  <c r="BE147" i="3"/>
  <c r="BE147" i="2" s="1"/>
  <c r="BE148"/>
  <c r="BE141"/>
  <c r="BE120"/>
  <c r="BE214"/>
  <c r="BE145"/>
  <c r="BE111" i="3"/>
  <c r="BE111" i="2" s="1"/>
  <c r="BE112"/>
  <c r="BE91"/>
  <c r="BE80"/>
  <c r="BE156"/>
  <c r="BE115"/>
  <c r="BE79"/>
  <c r="BE68"/>
  <c r="BE150"/>
  <c r="BE77"/>
  <c r="BE72"/>
  <c r="BE59"/>
  <c r="BE55"/>
  <c r="BE45"/>
  <c r="BE35"/>
  <c r="BE25"/>
  <c r="BE17"/>
  <c r="BE202"/>
  <c r="BE110"/>
  <c r="BE90"/>
  <c r="BE85"/>
  <c r="BE181"/>
  <c r="BE92"/>
  <c r="BE73"/>
  <c r="BE65"/>
  <c r="BE54"/>
  <c r="BE44"/>
  <c r="BE34"/>
  <c r="BE24"/>
  <c r="BE178"/>
  <c r="BE176"/>
  <c r="BE128"/>
  <c r="BE127"/>
  <c r="BE122"/>
  <c r="BE99" i="3"/>
  <c r="BE99" i="2" s="1"/>
  <c r="BE100"/>
  <c r="BE78"/>
  <c r="BE70"/>
  <c r="BE69"/>
  <c r="BE56"/>
  <c r="BE46"/>
  <c r="BE36"/>
  <c r="BE27" i="3"/>
  <c r="BE27" i="2" s="1"/>
  <c r="BE28"/>
  <c r="BE26"/>
  <c r="BE51" i="3"/>
  <c r="BE51" i="2" s="1"/>
  <c r="BE52"/>
  <c r="BE42"/>
  <c r="BE32"/>
  <c r="BE23"/>
  <c r="BE15" i="3"/>
  <c r="BE15" i="2" s="1"/>
  <c r="BE16"/>
  <c r="BE3" i="3"/>
  <c r="BE3" i="2" s="1"/>
  <c r="BE4"/>
  <c r="BE138"/>
  <c r="BE95"/>
  <c r="BE41"/>
  <c r="BE31"/>
  <c r="BE10"/>
  <c r="BE9"/>
  <c r="BE194"/>
  <c r="BE29"/>
  <c r="BE21"/>
  <c r="BE18"/>
  <c r="BE102"/>
  <c r="BE60"/>
  <c r="BE14"/>
  <c r="BE67"/>
  <c r="BE63" i="3"/>
  <c r="BE63" i="2" s="1"/>
  <c r="BE64"/>
  <c r="BE30"/>
  <c r="BE22"/>
  <c r="BE7"/>
  <c r="BE6"/>
  <c r="BE101"/>
  <c r="BE62"/>
  <c r="BE39" i="3"/>
  <c r="BE39" i="2" s="1"/>
  <c r="BE40"/>
  <c r="BE33"/>
  <c r="BE5"/>
  <c r="BE20"/>
  <c r="BE12"/>
  <c r="BE105"/>
  <c r="BE50"/>
  <c r="BE49"/>
  <c r="BE48"/>
  <c r="BE47"/>
  <c r="BE38"/>
  <c r="BE11"/>
  <c r="BE123" i="3"/>
  <c r="BE123" i="2" s="1"/>
  <c r="BE124"/>
  <c r="BE58"/>
  <c r="BE83"/>
  <c r="BE19"/>
  <c r="BE130"/>
  <c r="BE53"/>
  <c r="BE37"/>
  <c r="BE8"/>
  <c r="BE57"/>
  <c r="BE43"/>
  <c r="BE159" i="3"/>
  <c r="BE159" i="2" s="1"/>
  <c r="BE160"/>
  <c r="BE82"/>
  <c r="BE168"/>
  <c r="BE13"/>
  <c r="BE158"/>
  <c r="BF236"/>
  <c r="BF226"/>
  <c r="BF216"/>
  <c r="BF207" i="3"/>
  <c r="BF207" i="2" s="1"/>
  <c r="BF208"/>
  <c r="BF206"/>
  <c r="BF241"/>
  <c r="BF233"/>
  <c r="BF238"/>
  <c r="BF228"/>
  <c r="BF219" i="3"/>
  <c r="BF219" i="2" s="1"/>
  <c r="BF220"/>
  <c r="BF218"/>
  <c r="BF210"/>
  <c r="BF235"/>
  <c r="BF240"/>
  <c r="BF231" i="3"/>
  <c r="BF231" i="2" s="1"/>
  <c r="BF232"/>
  <c r="BF230"/>
  <c r="BF222"/>
  <c r="BF212"/>
  <c r="BF237"/>
  <c r="BF242"/>
  <c r="BF234"/>
  <c r="BF239"/>
  <c r="BF229"/>
  <c r="BF221"/>
  <c r="BF211"/>
  <c r="BF223"/>
  <c r="BF201"/>
  <c r="BF191"/>
  <c r="BF181"/>
  <c r="BF215"/>
  <c r="BF198"/>
  <c r="BF188"/>
  <c r="BF227"/>
  <c r="BF214"/>
  <c r="BF200"/>
  <c r="BF190"/>
  <c r="BF180"/>
  <c r="BF225"/>
  <c r="BF202"/>
  <c r="BF192"/>
  <c r="BF183" i="3"/>
  <c r="BF183" i="2" s="1"/>
  <c r="BF184"/>
  <c r="BF182"/>
  <c r="BF224"/>
  <c r="BF193"/>
  <c r="BF185"/>
  <c r="BF175"/>
  <c r="BF165"/>
  <c r="BF155"/>
  <c r="BF145"/>
  <c r="BF137"/>
  <c r="BF127"/>
  <c r="BF197"/>
  <c r="BF171" i="3"/>
  <c r="BF171" i="2" s="1"/>
  <c r="BF172"/>
  <c r="BF170"/>
  <c r="BF162"/>
  <c r="BF152"/>
  <c r="BF142"/>
  <c r="BF132"/>
  <c r="BF177"/>
  <c r="BF167"/>
  <c r="BF157"/>
  <c r="BF149"/>
  <c r="BF139"/>
  <c r="BF129"/>
  <c r="BF187"/>
  <c r="BF176"/>
  <c r="BF166"/>
  <c r="BF156"/>
  <c r="BF147" i="3"/>
  <c r="BF147" i="2" s="1"/>
  <c r="BF148"/>
  <c r="BF146"/>
  <c r="BF138"/>
  <c r="BF128"/>
  <c r="BF217"/>
  <c r="BF168"/>
  <c r="BF159" i="3"/>
  <c r="BF159" i="2" s="1"/>
  <c r="BF160"/>
  <c r="BF144"/>
  <c r="BF135" i="3"/>
  <c r="BF135" i="2" s="1"/>
  <c r="BF136"/>
  <c r="BF119"/>
  <c r="BF109"/>
  <c r="BF101"/>
  <c r="BF91"/>
  <c r="BF179"/>
  <c r="BF151"/>
  <c r="BF131"/>
  <c r="BF116"/>
  <c r="BF106"/>
  <c r="BF96"/>
  <c r="BF194"/>
  <c r="BF189"/>
  <c r="BF174"/>
  <c r="BF154"/>
  <c r="BF134"/>
  <c r="BF120"/>
  <c r="BF111" i="3"/>
  <c r="BF111" i="2" s="1"/>
  <c r="BF112"/>
  <c r="BF110"/>
  <c r="BF102"/>
  <c r="BF92"/>
  <c r="BF213"/>
  <c r="BF209"/>
  <c r="BF203"/>
  <c r="BF163"/>
  <c r="BF161"/>
  <c r="BF150"/>
  <c r="BF123" i="3"/>
  <c r="BF123" i="2" s="1"/>
  <c r="BF124"/>
  <c r="BF95"/>
  <c r="BF79"/>
  <c r="BF69"/>
  <c r="BF59"/>
  <c r="BF114"/>
  <c r="BF104"/>
  <c r="BF89"/>
  <c r="BF84"/>
  <c r="BF75" i="3"/>
  <c r="BF75" i="2" s="1"/>
  <c r="BF76"/>
  <c r="BF74"/>
  <c r="BF66"/>
  <c r="BF205"/>
  <c r="BF204"/>
  <c r="BF173"/>
  <c r="BF118"/>
  <c r="BF113"/>
  <c r="BF108"/>
  <c r="BF103"/>
  <c r="BF94"/>
  <c r="BF164"/>
  <c r="BF158"/>
  <c r="BF130"/>
  <c r="BF122"/>
  <c r="BF121"/>
  <c r="BF90"/>
  <c r="BF82"/>
  <c r="BF195" i="3"/>
  <c r="BF195" i="2" s="1"/>
  <c r="BF196"/>
  <c r="BF93"/>
  <c r="BF83"/>
  <c r="BF62"/>
  <c r="BF153"/>
  <c r="BF141"/>
  <c r="BF140"/>
  <c r="BF133"/>
  <c r="BF58"/>
  <c r="BF48"/>
  <c r="BF39" i="3"/>
  <c r="BF39" i="2" s="1"/>
  <c r="BF40"/>
  <c r="BF38"/>
  <c r="BF30"/>
  <c r="BF20"/>
  <c r="BF10"/>
  <c r="BF143"/>
  <c r="BF98"/>
  <c r="BF80"/>
  <c r="BF77"/>
  <c r="BF72"/>
  <c r="BF186"/>
  <c r="BF107"/>
  <c r="BF63" i="3"/>
  <c r="BF63" i="2" s="1"/>
  <c r="BF64"/>
  <c r="BF61"/>
  <c r="BF57"/>
  <c r="BF47"/>
  <c r="BF37"/>
  <c r="BF29"/>
  <c r="BF19"/>
  <c r="BF105"/>
  <c r="BF81"/>
  <c r="BF71"/>
  <c r="BF67"/>
  <c r="BF49"/>
  <c r="BF41"/>
  <c r="BF31"/>
  <c r="BF21"/>
  <c r="BF199"/>
  <c r="BF169"/>
  <c r="BF97"/>
  <c r="BF60"/>
  <c r="BF14"/>
  <c r="BF11"/>
  <c r="BF7"/>
  <c r="BF117"/>
  <c r="BF78"/>
  <c r="BF56"/>
  <c r="BF51" i="3"/>
  <c r="BF51" i="2" s="1"/>
  <c r="BF52"/>
  <c r="BF46"/>
  <c r="BF42"/>
  <c r="BF36"/>
  <c r="BF32"/>
  <c r="BF23"/>
  <c r="BF15" i="3"/>
  <c r="BF15" i="2" s="1"/>
  <c r="BF16"/>
  <c r="BF3" i="3"/>
  <c r="BF3" i="2" s="1"/>
  <c r="BF4"/>
  <c r="BF125"/>
  <c r="BF55"/>
  <c r="BF45"/>
  <c r="BF35"/>
  <c r="BF26"/>
  <c r="BF22"/>
  <c r="BF13"/>
  <c r="BF6"/>
  <c r="BF115"/>
  <c r="BF70"/>
  <c r="BF50"/>
  <c r="BF27" i="3"/>
  <c r="BF27" i="2" s="1"/>
  <c r="BF28"/>
  <c r="BF8"/>
  <c r="BF85"/>
  <c r="BF34"/>
  <c r="BF24"/>
  <c r="BF53"/>
  <c r="BF33"/>
  <c r="BF12"/>
  <c r="BF126"/>
  <c r="BF99" i="3"/>
  <c r="BF99" i="2" s="1"/>
  <c r="BF100"/>
  <c r="BF43"/>
  <c r="BF18"/>
  <c r="BF68"/>
  <c r="BF25"/>
  <c r="BF17"/>
  <c r="BF5"/>
  <c r="BF73"/>
  <c r="BF9"/>
  <c r="BF65"/>
  <c r="BF54"/>
  <c r="BF87" i="3"/>
  <c r="BF87" i="2" s="1"/>
  <c r="BF88"/>
  <c r="BF178"/>
  <c r="BF44"/>
  <c r="BF86"/>
  <c r="Q241"/>
  <c r="Q233"/>
  <c r="Q223"/>
  <c r="Q213"/>
  <c r="Q238"/>
  <c r="Q235"/>
  <c r="Q225"/>
  <c r="Q215"/>
  <c r="Q240"/>
  <c r="Q231" i="3"/>
  <c r="Q231" i="2" s="1"/>
  <c r="Q232"/>
  <c r="Q237"/>
  <c r="Q227"/>
  <c r="Q217"/>
  <c r="Q209"/>
  <c r="Q242"/>
  <c r="Q234"/>
  <c r="Q239"/>
  <c r="Q236"/>
  <c r="Q226"/>
  <c r="Q216"/>
  <c r="Q207" i="3"/>
  <c r="Q207" i="2" s="1"/>
  <c r="Q208"/>
  <c r="Q212"/>
  <c r="Q198"/>
  <c r="Q188"/>
  <c r="Q218"/>
  <c r="Q211"/>
  <c r="Q210"/>
  <c r="Q203"/>
  <c r="Q193"/>
  <c r="Q185"/>
  <c r="Q205"/>
  <c r="Q197"/>
  <c r="Q187"/>
  <c r="Q229"/>
  <c r="Q228"/>
  <c r="Q221"/>
  <c r="Q219" i="3"/>
  <c r="Q219" i="2" s="1"/>
  <c r="Q220"/>
  <c r="Q199"/>
  <c r="Q189"/>
  <c r="Q202"/>
  <c r="Q181"/>
  <c r="Q180"/>
  <c r="Q171" i="3"/>
  <c r="Q171" i="2" s="1"/>
  <c r="Q172"/>
  <c r="Q170"/>
  <c r="Q162"/>
  <c r="Q152"/>
  <c r="Q142"/>
  <c r="Q132"/>
  <c r="Q214"/>
  <c r="Q206"/>
  <c r="Q201"/>
  <c r="Q200"/>
  <c r="Q177"/>
  <c r="Q167"/>
  <c r="Q157"/>
  <c r="Q149"/>
  <c r="Q139"/>
  <c r="Q129"/>
  <c r="Q194"/>
  <c r="Q186"/>
  <c r="Q174"/>
  <c r="Q164"/>
  <c r="Q154"/>
  <c r="Q144"/>
  <c r="Q135" i="3"/>
  <c r="Q135" i="2" s="1"/>
  <c r="Q136"/>
  <c r="Q134"/>
  <c r="Q126"/>
  <c r="Q230"/>
  <c r="Q224"/>
  <c r="Q222"/>
  <c r="Q191"/>
  <c r="Q190"/>
  <c r="Q173"/>
  <c r="Q163"/>
  <c r="Q153"/>
  <c r="Q143"/>
  <c r="Q133"/>
  <c r="Q125"/>
  <c r="Q195" i="3"/>
  <c r="Q195" i="2" s="1"/>
  <c r="Q196"/>
  <c r="Q175"/>
  <c r="Q155"/>
  <c r="Q116"/>
  <c r="Q106"/>
  <c r="Q96"/>
  <c r="Q87" i="3"/>
  <c r="Q87" i="2" s="1"/>
  <c r="Q88"/>
  <c r="Q204"/>
  <c r="Q169"/>
  <c r="Q161"/>
  <c r="Q140"/>
  <c r="Q121"/>
  <c r="Q113"/>
  <c r="Q103"/>
  <c r="Q93"/>
  <c r="Q182"/>
  <c r="Q165"/>
  <c r="Q117"/>
  <c r="Q107"/>
  <c r="Q97"/>
  <c r="Q89"/>
  <c r="Q159" i="3"/>
  <c r="Q159" i="2" s="1"/>
  <c r="Q160"/>
  <c r="Q145"/>
  <c r="Q118"/>
  <c r="Q108"/>
  <c r="Q94"/>
  <c r="Q90"/>
  <c r="Q84"/>
  <c r="Q75" i="3"/>
  <c r="Q75" i="2" s="1"/>
  <c r="Q76"/>
  <c r="Q74"/>
  <c r="Q66"/>
  <c r="Q178"/>
  <c r="Q176"/>
  <c r="Q98"/>
  <c r="Q81"/>
  <c r="Q71"/>
  <c r="Q61"/>
  <c r="Q192"/>
  <c r="Q158"/>
  <c r="Q156"/>
  <c r="Q141"/>
  <c r="Q131"/>
  <c r="Q111" i="3"/>
  <c r="Q111" i="2" s="1"/>
  <c r="Q112"/>
  <c r="Q102"/>
  <c r="Q150"/>
  <c r="Q128"/>
  <c r="Q127"/>
  <c r="Q120"/>
  <c r="Q119"/>
  <c r="Q86"/>
  <c r="Q78"/>
  <c r="Q72"/>
  <c r="Q166"/>
  <c r="Q138"/>
  <c r="Q85"/>
  <c r="Q168"/>
  <c r="Q151"/>
  <c r="Q115"/>
  <c r="Q80"/>
  <c r="Q73"/>
  <c r="Q65"/>
  <c r="Q179"/>
  <c r="Q137"/>
  <c r="Q123" i="3"/>
  <c r="Q123" i="2" s="1"/>
  <c r="Q124"/>
  <c r="Q109"/>
  <c r="Q91"/>
  <c r="Q63" i="3"/>
  <c r="Q63" i="2" s="1"/>
  <c r="Q64"/>
  <c r="Q60"/>
  <c r="Q55"/>
  <c r="Q45"/>
  <c r="Q35"/>
  <c r="Q25"/>
  <c r="Q17"/>
  <c r="Q92"/>
  <c r="Q79"/>
  <c r="Q68"/>
  <c r="Q147" i="3"/>
  <c r="Q147" i="2" s="1"/>
  <c r="Q148"/>
  <c r="Q122"/>
  <c r="Q104"/>
  <c r="Q99" i="3"/>
  <c r="Q99" i="2" s="1"/>
  <c r="Q100"/>
  <c r="Q83"/>
  <c r="Q70"/>
  <c r="Q54"/>
  <c r="Q44"/>
  <c r="Q34"/>
  <c r="Q24"/>
  <c r="Q114"/>
  <c r="Q77"/>
  <c r="Q56"/>
  <c r="Q46"/>
  <c r="Q36"/>
  <c r="Q27" i="3"/>
  <c r="Q27" i="2" s="1"/>
  <c r="Q28"/>
  <c r="Q26"/>
  <c r="Q183" i="3"/>
  <c r="Q183" i="2" s="1"/>
  <c r="Q184"/>
  <c r="Q105"/>
  <c r="Q101"/>
  <c r="Q41"/>
  <c r="Q31"/>
  <c r="Q18"/>
  <c r="Q3" i="3"/>
  <c r="Q3" i="2" s="1"/>
  <c r="Q4"/>
  <c r="Q69"/>
  <c r="Q67"/>
  <c r="Q39" i="3"/>
  <c r="Q39" i="2" s="1"/>
  <c r="Q40"/>
  <c r="Q30"/>
  <c r="Q22"/>
  <c r="Q12"/>
  <c r="Q9"/>
  <c r="Q50"/>
  <c r="Q20"/>
  <c r="Q130"/>
  <c r="Q110"/>
  <c r="Q62"/>
  <c r="Q29"/>
  <c r="Q21"/>
  <c r="Q7"/>
  <c r="Q6"/>
  <c r="Q146"/>
  <c r="Q14"/>
  <c r="Q13"/>
  <c r="Q95"/>
  <c r="Q33"/>
  <c r="Q23"/>
  <c r="Q10"/>
  <c r="Q43"/>
  <c r="Q15" i="3"/>
  <c r="Q15" i="2" s="1"/>
  <c r="Q16"/>
  <c r="Q82"/>
  <c r="Q49"/>
  <c r="Q48"/>
  <c r="Q47"/>
  <c r="Q42"/>
  <c r="Q38"/>
  <c r="Q58"/>
  <c r="Q19"/>
  <c r="Q53"/>
  <c r="Q11"/>
  <c r="Q5"/>
  <c r="Q57"/>
  <c r="Q59"/>
  <c r="Q51" i="3"/>
  <c r="Q51" i="2" s="1"/>
  <c r="Q52"/>
  <c r="Q37"/>
  <c r="Q8"/>
  <c r="Q32"/>
  <c r="BJ240"/>
  <c r="BJ231" i="3"/>
  <c r="BJ231" i="2" s="1"/>
  <c r="BJ232"/>
  <c r="BJ230"/>
  <c r="BJ222"/>
  <c r="BJ212"/>
  <c r="BJ237"/>
  <c r="BJ242"/>
  <c r="BJ234"/>
  <c r="BJ224"/>
  <c r="BJ214"/>
  <c r="BJ239"/>
  <c r="BJ236"/>
  <c r="BJ226"/>
  <c r="BJ216"/>
  <c r="BJ207" i="3"/>
  <c r="BJ207" i="2" s="1"/>
  <c r="BJ208"/>
  <c r="BJ206"/>
  <c r="BJ241"/>
  <c r="BJ233"/>
  <c r="BJ238"/>
  <c r="BJ235"/>
  <c r="BJ225"/>
  <c r="BJ215"/>
  <c r="BJ218"/>
  <c r="BJ210"/>
  <c r="BJ197"/>
  <c r="BJ187"/>
  <c r="BJ217"/>
  <c r="BJ209"/>
  <c r="BJ202"/>
  <c r="BJ192"/>
  <c r="BJ183" i="3"/>
  <c r="BJ183" i="2" s="1"/>
  <c r="BJ184"/>
  <c r="BJ182"/>
  <c r="BJ229"/>
  <c r="BJ221"/>
  <c r="BJ204"/>
  <c r="BJ195" i="3"/>
  <c r="BJ195" i="2" s="1"/>
  <c r="BJ196"/>
  <c r="BJ194"/>
  <c r="BJ186"/>
  <c r="BJ227"/>
  <c r="BJ198"/>
  <c r="BJ188"/>
  <c r="BJ200"/>
  <c r="BJ179"/>
  <c r="BJ169"/>
  <c r="BJ161"/>
  <c r="BJ151"/>
  <c r="BJ141"/>
  <c r="BJ131"/>
  <c r="BJ228"/>
  <c r="BJ223"/>
  <c r="BJ219" i="3"/>
  <c r="BJ219" i="2" s="1"/>
  <c r="BJ220"/>
  <c r="BJ199"/>
  <c r="BJ176"/>
  <c r="BJ166"/>
  <c r="BJ156"/>
  <c r="BJ147" i="3"/>
  <c r="BJ147" i="2" s="1"/>
  <c r="BJ148"/>
  <c r="BJ146"/>
  <c r="BJ138"/>
  <c r="BJ128"/>
  <c r="BJ193"/>
  <c r="BJ185"/>
  <c r="BJ173"/>
  <c r="BJ163"/>
  <c r="BJ153"/>
  <c r="BJ143"/>
  <c r="BJ133"/>
  <c r="BJ189"/>
  <c r="BJ171" i="3"/>
  <c r="BJ171" i="2" s="1"/>
  <c r="BJ172"/>
  <c r="BJ170"/>
  <c r="BJ162"/>
  <c r="BJ152"/>
  <c r="BJ142"/>
  <c r="BJ132"/>
  <c r="BJ205"/>
  <c r="BJ174"/>
  <c r="BJ154"/>
  <c r="BJ139"/>
  <c r="BJ134"/>
  <c r="BJ115"/>
  <c r="BJ105"/>
  <c r="BJ95"/>
  <c r="BJ168"/>
  <c r="BJ159" i="3"/>
  <c r="BJ159" i="2" s="1"/>
  <c r="BJ160"/>
  <c r="BJ145"/>
  <c r="BJ137"/>
  <c r="BJ126"/>
  <c r="BJ120"/>
  <c r="BJ111" i="3"/>
  <c r="BJ111" i="2" s="1"/>
  <c r="BJ112"/>
  <c r="BJ110"/>
  <c r="BJ102"/>
  <c r="BJ92"/>
  <c r="BJ211"/>
  <c r="BJ191"/>
  <c r="BJ177"/>
  <c r="BJ164"/>
  <c r="BJ157"/>
  <c r="BJ149"/>
  <c r="BJ129"/>
  <c r="BJ116"/>
  <c r="BJ106"/>
  <c r="BJ96"/>
  <c r="BJ87" i="3"/>
  <c r="BJ87" i="2" s="1"/>
  <c r="BJ88"/>
  <c r="BJ86"/>
  <c r="BJ181"/>
  <c r="BJ167"/>
  <c r="BJ165"/>
  <c r="BJ158"/>
  <c r="BJ127"/>
  <c r="BJ91"/>
  <c r="BJ83"/>
  <c r="BJ73"/>
  <c r="BJ65"/>
  <c r="BJ213"/>
  <c r="BJ203"/>
  <c r="BJ150"/>
  <c r="BJ121"/>
  <c r="BJ99" i="3"/>
  <c r="BJ99" i="2" s="1"/>
  <c r="BJ100"/>
  <c r="BJ80"/>
  <c r="BJ70"/>
  <c r="BJ60"/>
  <c r="BJ175"/>
  <c r="BJ123" i="3"/>
  <c r="BJ123" i="2" s="1"/>
  <c r="BJ124"/>
  <c r="BJ90"/>
  <c r="BJ190"/>
  <c r="BJ155"/>
  <c r="BJ119"/>
  <c r="BJ117"/>
  <c r="BJ94"/>
  <c r="BJ93"/>
  <c r="BJ79"/>
  <c r="BJ180"/>
  <c r="BJ178"/>
  <c r="BJ135" i="3"/>
  <c r="BJ135" i="2" s="1"/>
  <c r="BJ136"/>
  <c r="BJ103"/>
  <c r="BJ78"/>
  <c r="BJ140"/>
  <c r="BJ108"/>
  <c r="BJ81"/>
  <c r="BJ74"/>
  <c r="BJ66"/>
  <c r="BJ89"/>
  <c r="BJ68"/>
  <c r="BJ54"/>
  <c r="BJ44"/>
  <c r="BJ34"/>
  <c r="BJ24"/>
  <c r="BJ15" i="3"/>
  <c r="BJ15" i="2" s="1"/>
  <c r="BJ16"/>
  <c r="BJ14"/>
  <c r="BJ144"/>
  <c r="BJ113"/>
  <c r="BJ71"/>
  <c r="BJ98"/>
  <c r="BJ97"/>
  <c r="BJ85"/>
  <c r="BJ75" i="3"/>
  <c r="BJ75" i="2" s="1"/>
  <c r="BJ76"/>
  <c r="BJ59"/>
  <c r="BJ53"/>
  <c r="BJ43"/>
  <c r="BJ33"/>
  <c r="BJ23"/>
  <c r="BJ201"/>
  <c r="BJ104"/>
  <c r="BJ63" i="3"/>
  <c r="BJ63" i="2" s="1"/>
  <c r="BJ64"/>
  <c r="BJ55"/>
  <c r="BJ45"/>
  <c r="BJ35"/>
  <c r="BJ25"/>
  <c r="BJ69"/>
  <c r="BJ67"/>
  <c r="BJ49"/>
  <c r="BJ27" i="3"/>
  <c r="BJ27" i="2" s="1"/>
  <c r="BJ28"/>
  <c r="BJ19"/>
  <c r="BJ58"/>
  <c r="BJ48"/>
  <c r="BJ38"/>
  <c r="BJ12"/>
  <c r="BJ8"/>
  <c r="BJ118"/>
  <c r="BJ72"/>
  <c r="BJ51" i="3"/>
  <c r="BJ51" i="2" s="1"/>
  <c r="BJ52"/>
  <c r="BJ42"/>
  <c r="BJ32"/>
  <c r="BJ11"/>
  <c r="BJ84"/>
  <c r="BJ57"/>
  <c r="BJ56"/>
  <c r="BJ77"/>
  <c r="BJ18"/>
  <c r="BJ13"/>
  <c r="BJ9"/>
  <c r="BJ130"/>
  <c r="BJ30"/>
  <c r="BJ22"/>
  <c r="BJ10"/>
  <c r="BJ7"/>
  <c r="BJ122"/>
  <c r="BJ6"/>
  <c r="BJ125"/>
  <c r="BJ21"/>
  <c r="BJ20"/>
  <c r="BJ61"/>
  <c r="BJ41"/>
  <c r="BJ29"/>
  <c r="BJ82"/>
  <c r="BJ62"/>
  <c r="BJ37"/>
  <c r="BJ26"/>
  <c r="BJ114"/>
  <c r="BJ47"/>
  <c r="BJ39" i="3"/>
  <c r="BJ39" i="2" s="1"/>
  <c r="BJ40"/>
  <c r="BJ101"/>
  <c r="BJ31"/>
  <c r="BJ36"/>
  <c r="BJ107"/>
  <c r="BJ17"/>
  <c r="BJ3" i="3"/>
  <c r="BJ3" i="2" s="1"/>
  <c r="BJ4"/>
  <c r="BJ50"/>
  <c r="BJ46"/>
  <c r="BJ109"/>
  <c r="BJ5"/>
  <c r="U237"/>
  <c r="U227"/>
  <c r="U217"/>
  <c r="U209"/>
  <c r="U242"/>
  <c r="U234"/>
  <c r="U239"/>
  <c r="U229"/>
  <c r="U221"/>
  <c r="U211"/>
  <c r="U236"/>
  <c r="U241"/>
  <c r="U233"/>
  <c r="U223"/>
  <c r="U213"/>
  <c r="U238"/>
  <c r="U235"/>
  <c r="U240"/>
  <c r="U231" i="3"/>
  <c r="U231" i="2" s="1"/>
  <c r="U232"/>
  <c r="U230"/>
  <c r="U222"/>
  <c r="U212"/>
  <c r="U214"/>
  <c r="U202"/>
  <c r="U192"/>
  <c r="U183" i="3"/>
  <c r="U183" i="2" s="1"/>
  <c r="U184"/>
  <c r="U182"/>
  <c r="U226"/>
  <c r="U199"/>
  <c r="U189"/>
  <c r="U225"/>
  <c r="U218"/>
  <c r="U210"/>
  <c r="U201"/>
  <c r="U191"/>
  <c r="U181"/>
  <c r="U216"/>
  <c r="U207" i="3"/>
  <c r="U207" i="2" s="1"/>
  <c r="U208"/>
  <c r="U203"/>
  <c r="U193"/>
  <c r="U185"/>
  <c r="U204"/>
  <c r="U195" i="3"/>
  <c r="U195" i="2" s="1"/>
  <c r="U196"/>
  <c r="U176"/>
  <c r="U166"/>
  <c r="U156"/>
  <c r="U147" i="3"/>
  <c r="U147" i="2" s="1"/>
  <c r="U148"/>
  <c r="U146"/>
  <c r="U138"/>
  <c r="U128"/>
  <c r="U188"/>
  <c r="U173"/>
  <c r="U163"/>
  <c r="U153"/>
  <c r="U143"/>
  <c r="U133"/>
  <c r="U125"/>
  <c r="U215"/>
  <c r="U206"/>
  <c r="U178"/>
  <c r="U168"/>
  <c r="U159" i="3"/>
  <c r="U159" i="2" s="1"/>
  <c r="U160"/>
  <c r="U158"/>
  <c r="U150"/>
  <c r="U140"/>
  <c r="U130"/>
  <c r="U198"/>
  <c r="U177"/>
  <c r="U167"/>
  <c r="U157"/>
  <c r="U149"/>
  <c r="U139"/>
  <c r="U129"/>
  <c r="U164"/>
  <c r="U142"/>
  <c r="U120"/>
  <c r="U111" i="3"/>
  <c r="U111" i="2" s="1"/>
  <c r="U112"/>
  <c r="U110"/>
  <c r="U102"/>
  <c r="U92"/>
  <c r="U197"/>
  <c r="U175"/>
  <c r="U155"/>
  <c r="U117"/>
  <c r="U107"/>
  <c r="U97"/>
  <c r="U180"/>
  <c r="U171" i="3"/>
  <c r="U171" i="2" s="1"/>
  <c r="U172"/>
  <c r="U152"/>
  <c r="U132"/>
  <c r="U127"/>
  <c r="U121"/>
  <c r="U113"/>
  <c r="U103"/>
  <c r="U93"/>
  <c r="U190"/>
  <c r="U151"/>
  <c r="U123" i="3"/>
  <c r="U123" i="2" s="1"/>
  <c r="U124"/>
  <c r="U115"/>
  <c r="U105"/>
  <c r="U87" i="3"/>
  <c r="U87" i="2" s="1"/>
  <c r="U88"/>
  <c r="U80"/>
  <c r="U70"/>
  <c r="U60"/>
  <c r="U174"/>
  <c r="U145"/>
  <c r="U126"/>
  <c r="U119"/>
  <c r="U114"/>
  <c r="U109"/>
  <c r="U104"/>
  <c r="U95"/>
  <c r="U91"/>
  <c r="U85"/>
  <c r="U77"/>
  <c r="U67"/>
  <c r="U200"/>
  <c r="U154"/>
  <c r="U135" i="3"/>
  <c r="U135" i="2" s="1"/>
  <c r="U136"/>
  <c r="U94"/>
  <c r="U179"/>
  <c r="U144"/>
  <c r="U141"/>
  <c r="U118"/>
  <c r="U101"/>
  <c r="U106"/>
  <c r="U82"/>
  <c r="U165"/>
  <c r="U131"/>
  <c r="U90"/>
  <c r="U71"/>
  <c r="U170"/>
  <c r="U98"/>
  <c r="U59"/>
  <c r="U49"/>
  <c r="U41"/>
  <c r="U31"/>
  <c r="U21"/>
  <c r="U11"/>
  <c r="U186"/>
  <c r="U137"/>
  <c r="U108"/>
  <c r="U74"/>
  <c r="U84"/>
  <c r="U72"/>
  <c r="U66"/>
  <c r="U62"/>
  <c r="U58"/>
  <c r="U48"/>
  <c r="U39" i="3"/>
  <c r="U39" i="2" s="1"/>
  <c r="U40"/>
  <c r="U38"/>
  <c r="U30"/>
  <c r="U20"/>
  <c r="U205"/>
  <c r="U116"/>
  <c r="U99" i="3"/>
  <c r="U99" i="2" s="1"/>
  <c r="U100"/>
  <c r="U78"/>
  <c r="U68"/>
  <c r="U51" i="3"/>
  <c r="U51" i="2" s="1"/>
  <c r="U52"/>
  <c r="U50"/>
  <c r="U42"/>
  <c r="U32"/>
  <c r="U22"/>
  <c r="U187"/>
  <c r="U65"/>
  <c r="U63" i="3"/>
  <c r="U63" i="2" s="1"/>
  <c r="U64"/>
  <c r="U57"/>
  <c r="U53"/>
  <c r="U47"/>
  <c r="U43"/>
  <c r="U37"/>
  <c r="U33"/>
  <c r="U24"/>
  <c r="U14"/>
  <c r="U8"/>
  <c r="U224"/>
  <c r="U161"/>
  <c r="U134"/>
  <c r="U122"/>
  <c r="U89"/>
  <c r="U19"/>
  <c r="U15" i="3"/>
  <c r="U15" i="2" s="1"/>
  <c r="U16"/>
  <c r="U10"/>
  <c r="U5"/>
  <c r="U18"/>
  <c r="U7"/>
  <c r="U96"/>
  <c r="U83"/>
  <c r="U79"/>
  <c r="U56"/>
  <c r="U54"/>
  <c r="U29"/>
  <c r="U17"/>
  <c r="U12"/>
  <c r="U228"/>
  <c r="U69"/>
  <c r="U26"/>
  <c r="U6"/>
  <c r="U75" i="3"/>
  <c r="U75" i="2" s="1"/>
  <c r="U76"/>
  <c r="U219" i="3"/>
  <c r="U219" i="2" s="1"/>
  <c r="U220"/>
  <c r="U81"/>
  <c r="U45"/>
  <c r="U27" i="3"/>
  <c r="U27" i="2" s="1"/>
  <c r="U28"/>
  <c r="U9"/>
  <c r="U86"/>
  <c r="U73"/>
  <c r="U194"/>
  <c r="U44"/>
  <c r="U13"/>
  <c r="U46"/>
  <c r="U169"/>
  <c r="U61"/>
  <c r="U36"/>
  <c r="U3" i="3"/>
  <c r="U3" i="2" s="1"/>
  <c r="U4"/>
  <c r="U35"/>
  <c r="U34"/>
  <c r="U25"/>
  <c r="U23"/>
  <c r="U55"/>
  <c r="U162"/>
  <c r="BK235"/>
  <c r="BK225"/>
  <c r="BK215"/>
  <c r="BK205"/>
  <c r="BK240"/>
  <c r="BK231" i="3"/>
  <c r="BK231" i="2" s="1"/>
  <c r="BK232"/>
  <c r="BK237"/>
  <c r="BK227"/>
  <c r="BK217"/>
  <c r="BK209"/>
  <c r="BK242"/>
  <c r="BK234"/>
  <c r="BK239"/>
  <c r="BK229"/>
  <c r="BK221"/>
  <c r="BK211"/>
  <c r="BK236"/>
  <c r="BK241"/>
  <c r="BK233"/>
  <c r="BK238"/>
  <c r="BK228"/>
  <c r="BK219" i="3"/>
  <c r="BK219" i="2" s="1"/>
  <c r="BK220"/>
  <c r="BK218"/>
  <c r="BK210"/>
  <c r="BK200"/>
  <c r="BK190"/>
  <c r="BK180"/>
  <c r="BK224"/>
  <c r="BK197"/>
  <c r="BK187"/>
  <c r="BK230"/>
  <c r="BK223"/>
  <c r="BK222"/>
  <c r="BK199"/>
  <c r="BK189"/>
  <c r="BK214"/>
  <c r="BK201"/>
  <c r="BK191"/>
  <c r="BK181"/>
  <c r="BK174"/>
  <c r="BK164"/>
  <c r="BK154"/>
  <c r="BK144"/>
  <c r="BK135" i="3"/>
  <c r="BK135" i="2" s="1"/>
  <c r="BK136"/>
  <c r="BK134"/>
  <c r="BK226"/>
  <c r="BK194"/>
  <c r="BK186"/>
  <c r="BK179"/>
  <c r="BK169"/>
  <c r="BK161"/>
  <c r="BK151"/>
  <c r="BK141"/>
  <c r="BK131"/>
  <c r="BK198"/>
  <c r="BK176"/>
  <c r="BK166"/>
  <c r="BK156"/>
  <c r="BK147" i="3"/>
  <c r="BK147" i="2" s="1"/>
  <c r="BK148"/>
  <c r="BK146"/>
  <c r="BK138"/>
  <c r="BK128"/>
  <c r="BK213"/>
  <c r="BK204"/>
  <c r="BK195" i="3"/>
  <c r="BK195" i="2" s="1"/>
  <c r="BK196"/>
  <c r="BK175"/>
  <c r="BK165"/>
  <c r="BK155"/>
  <c r="BK145"/>
  <c r="BK137"/>
  <c r="BK127"/>
  <c r="BK216"/>
  <c r="BK182"/>
  <c r="BK140"/>
  <c r="BK118"/>
  <c r="BK108"/>
  <c r="BK99" i="3"/>
  <c r="BK99" i="2" s="1"/>
  <c r="BK100"/>
  <c r="BK98"/>
  <c r="BK90"/>
  <c r="BK173"/>
  <c r="BK153"/>
  <c r="BK139"/>
  <c r="BK133"/>
  <c r="BK115"/>
  <c r="BK105"/>
  <c r="BK95"/>
  <c r="BK203"/>
  <c r="BK192"/>
  <c r="BK178"/>
  <c r="BK158"/>
  <c r="BK150"/>
  <c r="BK142"/>
  <c r="BK130"/>
  <c r="BK119"/>
  <c r="BK109"/>
  <c r="BK101"/>
  <c r="BK91"/>
  <c r="BK188"/>
  <c r="BK152"/>
  <c r="BK143"/>
  <c r="BK125"/>
  <c r="BK122"/>
  <c r="BK116"/>
  <c r="BK106"/>
  <c r="BK97"/>
  <c r="BK78"/>
  <c r="BK68"/>
  <c r="BK167"/>
  <c r="BK163"/>
  <c r="BK126"/>
  <c r="BK96"/>
  <c r="BK83"/>
  <c r="BK73"/>
  <c r="BK65"/>
  <c r="BK206"/>
  <c r="BK185"/>
  <c r="BK129"/>
  <c r="BK121"/>
  <c r="BK120"/>
  <c r="BK110"/>
  <c r="BK113"/>
  <c r="BK87" i="3"/>
  <c r="BK87" i="2" s="1"/>
  <c r="BK88"/>
  <c r="BK193"/>
  <c r="BK104"/>
  <c r="BK82"/>
  <c r="BK168"/>
  <c r="BK107"/>
  <c r="BK89"/>
  <c r="BK85"/>
  <c r="BK77"/>
  <c r="BK71"/>
  <c r="BK132"/>
  <c r="BK117"/>
  <c r="BK114"/>
  <c r="BK111" i="3"/>
  <c r="BK111" i="2" s="1"/>
  <c r="BK112"/>
  <c r="BK81"/>
  <c r="BK70"/>
  <c r="BK69"/>
  <c r="BK67"/>
  <c r="BK61"/>
  <c r="BK57"/>
  <c r="BK47"/>
  <c r="BK37"/>
  <c r="BK29"/>
  <c r="BK19"/>
  <c r="BK212"/>
  <c r="BK183" i="3"/>
  <c r="BK183" i="2" s="1"/>
  <c r="BK184"/>
  <c r="BK149"/>
  <c r="BK86"/>
  <c r="BK74"/>
  <c r="BK162"/>
  <c r="BK159" i="3"/>
  <c r="BK159" i="2" s="1"/>
  <c r="BK160"/>
  <c r="BK123" i="3"/>
  <c r="BK123" i="2" s="1"/>
  <c r="BK124"/>
  <c r="BK80"/>
  <c r="BK72"/>
  <c r="BK56"/>
  <c r="BK46"/>
  <c r="BK36"/>
  <c r="BK27" i="3"/>
  <c r="BK27" i="2" s="1"/>
  <c r="BK28"/>
  <c r="BK26"/>
  <c r="BK207" i="3"/>
  <c r="BK207" i="2" s="1"/>
  <c r="BK208"/>
  <c r="BK170"/>
  <c r="BK94"/>
  <c r="BK92"/>
  <c r="BK58"/>
  <c r="BK48"/>
  <c r="BK39" i="3"/>
  <c r="BK39" i="2" s="1"/>
  <c r="BK40"/>
  <c r="BK38"/>
  <c r="BK30"/>
  <c r="BK20"/>
  <c r="BK63" i="3"/>
  <c r="BK63" i="2" s="1"/>
  <c r="BK64"/>
  <c r="BK62"/>
  <c r="BK54"/>
  <c r="BK50"/>
  <c r="BK44"/>
  <c r="BK34"/>
  <c r="BK25"/>
  <c r="BK18"/>
  <c r="BK6"/>
  <c r="BK202"/>
  <c r="BK79"/>
  <c r="BK49"/>
  <c r="BK177"/>
  <c r="BK66"/>
  <c r="BK17"/>
  <c r="BK5"/>
  <c r="BK171" i="3"/>
  <c r="BK171" i="2" s="1"/>
  <c r="BK172"/>
  <c r="BK55"/>
  <c r="BK53"/>
  <c r="BK51" i="3"/>
  <c r="BK51" i="2" s="1"/>
  <c r="BK52"/>
  <c r="BK12"/>
  <c r="BK3" i="3"/>
  <c r="BK3" i="2" s="1"/>
  <c r="BK4"/>
  <c r="BK102"/>
  <c r="BK84"/>
  <c r="BK60"/>
  <c r="BK93"/>
  <c r="BK21"/>
  <c r="BK8"/>
  <c r="BK23"/>
  <c r="BK15" i="3"/>
  <c r="BK15" i="2" s="1"/>
  <c r="BK16"/>
  <c r="BK7"/>
  <c r="BK33"/>
  <c r="BK22"/>
  <c r="BK13"/>
  <c r="BK9"/>
  <c r="BK157"/>
  <c r="BK31"/>
  <c r="BK103"/>
  <c r="BK11"/>
  <c r="BK41"/>
  <c r="BK35"/>
  <c r="BK32"/>
  <c r="BK24"/>
  <c r="BK14"/>
  <c r="BK59"/>
  <c r="BK43"/>
  <c r="BK45"/>
  <c r="BK10"/>
  <c r="BK42"/>
  <c r="BK75" i="3"/>
  <c r="BK75" i="2" s="1"/>
  <c r="BK76"/>
  <c r="BM241"/>
  <c r="BM233"/>
  <c r="BM223"/>
  <c r="BM213"/>
  <c r="BM238"/>
  <c r="BM235"/>
  <c r="BM225"/>
  <c r="BM215"/>
  <c r="BM205"/>
  <c r="BM240"/>
  <c r="BM231" i="3"/>
  <c r="BM231" i="2" s="1"/>
  <c r="BM232"/>
  <c r="BM237"/>
  <c r="BM227"/>
  <c r="BM217"/>
  <c r="BM209"/>
  <c r="BM242"/>
  <c r="BM234"/>
  <c r="BM239"/>
  <c r="BM236"/>
  <c r="BM226"/>
  <c r="BM216"/>
  <c r="BM207" i="3"/>
  <c r="BM207" i="2" s="1"/>
  <c r="BM208"/>
  <c r="BM206"/>
  <c r="BM212"/>
  <c r="BM198"/>
  <c r="BM188"/>
  <c r="BM218"/>
  <c r="BM211"/>
  <c r="BM210"/>
  <c r="BM203"/>
  <c r="BM193"/>
  <c r="BM185"/>
  <c r="BM197"/>
  <c r="BM187"/>
  <c r="BM229"/>
  <c r="BM228"/>
  <c r="BM221"/>
  <c r="BM219" i="3"/>
  <c r="BM219" i="2" s="1"/>
  <c r="BM220"/>
  <c r="BM199"/>
  <c r="BM189"/>
  <c r="BM202"/>
  <c r="BM181"/>
  <c r="BM180"/>
  <c r="BM171" i="3"/>
  <c r="BM171" i="2" s="1"/>
  <c r="BM172"/>
  <c r="BM170"/>
  <c r="BM162"/>
  <c r="BM152"/>
  <c r="BM142"/>
  <c r="BM132"/>
  <c r="BM230"/>
  <c r="BM224"/>
  <c r="BM222"/>
  <c r="BM201"/>
  <c r="BM200"/>
  <c r="BM177"/>
  <c r="BM167"/>
  <c r="BM157"/>
  <c r="BM149"/>
  <c r="BM139"/>
  <c r="BM129"/>
  <c r="BM194"/>
  <c r="BM186"/>
  <c r="BM174"/>
  <c r="BM164"/>
  <c r="BM154"/>
  <c r="BM144"/>
  <c r="BM135" i="3"/>
  <c r="BM135" i="2" s="1"/>
  <c r="BM136"/>
  <c r="BM134"/>
  <c r="BM126"/>
  <c r="BM214"/>
  <c r="BM191"/>
  <c r="BM190"/>
  <c r="BM173"/>
  <c r="BM163"/>
  <c r="BM153"/>
  <c r="BM143"/>
  <c r="BM133"/>
  <c r="BM125"/>
  <c r="BM175"/>
  <c r="BM155"/>
  <c r="BM127"/>
  <c r="BM116"/>
  <c r="BM106"/>
  <c r="BM96"/>
  <c r="BM87" i="3"/>
  <c r="BM87" i="2" s="1"/>
  <c r="BM88"/>
  <c r="BM86"/>
  <c r="BM182"/>
  <c r="BM169"/>
  <c r="BM161"/>
  <c r="BM140"/>
  <c r="BM121"/>
  <c r="BM113"/>
  <c r="BM103"/>
  <c r="BM93"/>
  <c r="BM204"/>
  <c r="BM165"/>
  <c r="BM117"/>
  <c r="BM107"/>
  <c r="BM97"/>
  <c r="BM89"/>
  <c r="BM178"/>
  <c r="BM176"/>
  <c r="BM111" i="3"/>
  <c r="BM111" i="2" s="1"/>
  <c r="BM112"/>
  <c r="BM102"/>
  <c r="BM84"/>
  <c r="BM75" i="3"/>
  <c r="BM75" i="2" s="1"/>
  <c r="BM76"/>
  <c r="BM74"/>
  <c r="BM66"/>
  <c r="BM195" i="3"/>
  <c r="BM195" i="2" s="1"/>
  <c r="BM196"/>
  <c r="BM158"/>
  <c r="BM156"/>
  <c r="BM141"/>
  <c r="BM131"/>
  <c r="BM122"/>
  <c r="BM101"/>
  <c r="BM92"/>
  <c r="BM81"/>
  <c r="BM71"/>
  <c r="BM61"/>
  <c r="BM192"/>
  <c r="BM150"/>
  <c r="BM147" i="3"/>
  <c r="BM147" i="2" s="1"/>
  <c r="BM148"/>
  <c r="BM146"/>
  <c r="BM99" i="3"/>
  <c r="BM99" i="2" s="1"/>
  <c r="BM100"/>
  <c r="BM91"/>
  <c r="BM159" i="3"/>
  <c r="BM159" i="2" s="1"/>
  <c r="BM160"/>
  <c r="BM123" i="3"/>
  <c r="BM123" i="2" s="1"/>
  <c r="BM124"/>
  <c r="BM114"/>
  <c r="BM105"/>
  <c r="BM98"/>
  <c r="BM79"/>
  <c r="BM145"/>
  <c r="BM82"/>
  <c r="BM151"/>
  <c r="BM130"/>
  <c r="BM120"/>
  <c r="BM119"/>
  <c r="BM118"/>
  <c r="BM65"/>
  <c r="BM63" i="3"/>
  <c r="BM63" i="2" s="1"/>
  <c r="BM64"/>
  <c r="BM55"/>
  <c r="BM45"/>
  <c r="BM35"/>
  <c r="BM25"/>
  <c r="BM17"/>
  <c r="BM78"/>
  <c r="BM68"/>
  <c r="BM67"/>
  <c r="BM109"/>
  <c r="BM90"/>
  <c r="BM54"/>
  <c r="BM44"/>
  <c r="BM34"/>
  <c r="BM24"/>
  <c r="BM168"/>
  <c r="BM95"/>
  <c r="BM85"/>
  <c r="BM72"/>
  <c r="BM56"/>
  <c r="BM46"/>
  <c r="BM36"/>
  <c r="BM27" i="3"/>
  <c r="BM27" i="2" s="1"/>
  <c r="BM28"/>
  <c r="BM26"/>
  <c r="BM115"/>
  <c r="BM29"/>
  <c r="BM21"/>
  <c r="BM10"/>
  <c r="BM3" i="3"/>
  <c r="BM3" i="2" s="1"/>
  <c r="BM4"/>
  <c r="BM183" i="3"/>
  <c r="BM183" i="2" s="1"/>
  <c r="BM184"/>
  <c r="BM80"/>
  <c r="BM69"/>
  <c r="BM62"/>
  <c r="BM50"/>
  <c r="BM20"/>
  <c r="BM13"/>
  <c r="BM9"/>
  <c r="BM179"/>
  <c r="BM77"/>
  <c r="BM60"/>
  <c r="BM58"/>
  <c r="BM53"/>
  <c r="BM48"/>
  <c r="BM43"/>
  <c r="BM38"/>
  <c r="BM33"/>
  <c r="BM12"/>
  <c r="BM138"/>
  <c r="BM108"/>
  <c r="BM59"/>
  <c r="BM47"/>
  <c r="BM42"/>
  <c r="BM41"/>
  <c r="BM11"/>
  <c r="BM5"/>
  <c r="BM94"/>
  <c r="BM57"/>
  <c r="BM51" i="3"/>
  <c r="BM51" i="2" s="1"/>
  <c r="BM52"/>
  <c r="BM49"/>
  <c r="BM19"/>
  <c r="BM104"/>
  <c r="BM73"/>
  <c r="BM23"/>
  <c r="BM8"/>
  <c r="BM6"/>
  <c r="BM128"/>
  <c r="BM32"/>
  <c r="BM137"/>
  <c r="BM18"/>
  <c r="BM15" i="3"/>
  <c r="BM15" i="2" s="1"/>
  <c r="BM16"/>
  <c r="BM166"/>
  <c r="BM39" i="3"/>
  <c r="BM39" i="2" s="1"/>
  <c r="BM40"/>
  <c r="BM30"/>
  <c r="BM83"/>
  <c r="BM31"/>
  <c r="BM22"/>
  <c r="BM7"/>
  <c r="BM110"/>
  <c r="BM70"/>
  <c r="BM37"/>
  <c r="BM14"/>
  <c r="AH236"/>
  <c r="AH226"/>
  <c r="AH216"/>
  <c r="AH207" i="3"/>
  <c r="AH207" i="2" s="1"/>
  <c r="AH208"/>
  <c r="AH206"/>
  <c r="AH241"/>
  <c r="AH233"/>
  <c r="AH238"/>
  <c r="AH228"/>
  <c r="AH219" i="3"/>
  <c r="AH219" i="2" s="1"/>
  <c r="AH220"/>
  <c r="AH218"/>
  <c r="AH210"/>
  <c r="AH235"/>
  <c r="AH240"/>
  <c r="AH231" i="3"/>
  <c r="AH231" i="2" s="1"/>
  <c r="AH232"/>
  <c r="AH230"/>
  <c r="AH222"/>
  <c r="AH212"/>
  <c r="AH237"/>
  <c r="AH242"/>
  <c r="AH234"/>
  <c r="AH239"/>
  <c r="AH229"/>
  <c r="AH221"/>
  <c r="AH211"/>
  <c r="AH213"/>
  <c r="AH205"/>
  <c r="AH201"/>
  <c r="AH191"/>
  <c r="AH181"/>
  <c r="AH225"/>
  <c r="AH198"/>
  <c r="AH188"/>
  <c r="AH224"/>
  <c r="AH217"/>
  <c r="AH209"/>
  <c r="AH200"/>
  <c r="AH190"/>
  <c r="AH215"/>
  <c r="AH202"/>
  <c r="AH192"/>
  <c r="AH183" i="3"/>
  <c r="AH183" i="2" s="1"/>
  <c r="AH184"/>
  <c r="AH182"/>
  <c r="AH203"/>
  <c r="AH175"/>
  <c r="AH165"/>
  <c r="AH155"/>
  <c r="AH145"/>
  <c r="AH137"/>
  <c r="AH187"/>
  <c r="AH180"/>
  <c r="AH171" i="3"/>
  <c r="AH171" i="2" s="1"/>
  <c r="AH172"/>
  <c r="AH170"/>
  <c r="AH162"/>
  <c r="AH152"/>
  <c r="AH142"/>
  <c r="AH132"/>
  <c r="AH223"/>
  <c r="AH177"/>
  <c r="AH167"/>
  <c r="AH157"/>
  <c r="AH149"/>
  <c r="AH139"/>
  <c r="AH129"/>
  <c r="AH197"/>
  <c r="AH176"/>
  <c r="AH166"/>
  <c r="AH156"/>
  <c r="AH147" i="3"/>
  <c r="AH147" i="2" s="1"/>
  <c r="AH148"/>
  <c r="AH146"/>
  <c r="AH138"/>
  <c r="AH128"/>
  <c r="AH189"/>
  <c r="AH185"/>
  <c r="AH163"/>
  <c r="AH141"/>
  <c r="AH119"/>
  <c r="AH109"/>
  <c r="AH101"/>
  <c r="AH91"/>
  <c r="AH174"/>
  <c r="AH154"/>
  <c r="AH134"/>
  <c r="AH116"/>
  <c r="AH106"/>
  <c r="AH96"/>
  <c r="AH195" i="3"/>
  <c r="AH195" i="2" s="1"/>
  <c r="AH196"/>
  <c r="AH179"/>
  <c r="AH151"/>
  <c r="AH131"/>
  <c r="AH125"/>
  <c r="AH120"/>
  <c r="AH111" i="3"/>
  <c r="AH111" i="2" s="1"/>
  <c r="AH112"/>
  <c r="AH110"/>
  <c r="AH102"/>
  <c r="AH92"/>
  <c r="AH227"/>
  <c r="AH193"/>
  <c r="AH186"/>
  <c r="AH161"/>
  <c r="AH158"/>
  <c r="AH115"/>
  <c r="AH105"/>
  <c r="AH79"/>
  <c r="AH69"/>
  <c r="AH194"/>
  <c r="AH150"/>
  <c r="AH123" i="3"/>
  <c r="AH123" i="2" s="1"/>
  <c r="AH124"/>
  <c r="AH95"/>
  <c r="AH87" i="3"/>
  <c r="AH87" i="2" s="1"/>
  <c r="AH88"/>
  <c r="AH84"/>
  <c r="AH75" i="3"/>
  <c r="AH75" i="2" s="1"/>
  <c r="AH76"/>
  <c r="AH74"/>
  <c r="AH66"/>
  <c r="AH199"/>
  <c r="AH173"/>
  <c r="AH144"/>
  <c r="AH114"/>
  <c r="AH104"/>
  <c r="AH168"/>
  <c r="AH89"/>
  <c r="AH85"/>
  <c r="AH77"/>
  <c r="AH113"/>
  <c r="AH83"/>
  <c r="AH135" i="3"/>
  <c r="AH135" i="2" s="1"/>
  <c r="AH136"/>
  <c r="AH118"/>
  <c r="AH117"/>
  <c r="AH94"/>
  <c r="AH86"/>
  <c r="AH78"/>
  <c r="AH72"/>
  <c r="AH63" i="3"/>
  <c r="AH63" i="2" s="1"/>
  <c r="AH64"/>
  <c r="AH159" i="3"/>
  <c r="AH159" i="2" s="1"/>
  <c r="AH160"/>
  <c r="AH122"/>
  <c r="AH99" i="3"/>
  <c r="AH99" i="2" s="1"/>
  <c r="AH100"/>
  <c r="AH58"/>
  <c r="AH48"/>
  <c r="AH39" i="3"/>
  <c r="AH39" i="2" s="1"/>
  <c r="AH40"/>
  <c r="AH38"/>
  <c r="AH30"/>
  <c r="AH20"/>
  <c r="AH10"/>
  <c r="AH169"/>
  <c r="AH127"/>
  <c r="AH121"/>
  <c r="AH204"/>
  <c r="AH178"/>
  <c r="AH98"/>
  <c r="AH57"/>
  <c r="AH47"/>
  <c r="AH37"/>
  <c r="AH29"/>
  <c r="AH19"/>
  <c r="AH153"/>
  <c r="AH140"/>
  <c r="AH133"/>
  <c r="AH107"/>
  <c r="AH71"/>
  <c r="AH68"/>
  <c r="AH67"/>
  <c r="AH62"/>
  <c r="AH60"/>
  <c r="AH59"/>
  <c r="AH49"/>
  <c r="AH41"/>
  <c r="AH31"/>
  <c r="AH21"/>
  <c r="AH164"/>
  <c r="AH126"/>
  <c r="AH53"/>
  <c r="AH43"/>
  <c r="AH33"/>
  <c r="AH24"/>
  <c r="AH12"/>
  <c r="AH7"/>
  <c r="AH143"/>
  <c r="AH82"/>
  <c r="AH81"/>
  <c r="AH17"/>
  <c r="AH3" i="3"/>
  <c r="AH3" i="2" s="1"/>
  <c r="AH4"/>
  <c r="AH108"/>
  <c r="AH14"/>
  <c r="AH11"/>
  <c r="AH6"/>
  <c r="AH73"/>
  <c r="AH26"/>
  <c r="AH22"/>
  <c r="AH130"/>
  <c r="AH93"/>
  <c r="AH65"/>
  <c r="AH35"/>
  <c r="AH25"/>
  <c r="AH23"/>
  <c r="AH8"/>
  <c r="AH103"/>
  <c r="AH70"/>
  <c r="AH61"/>
  <c r="AH45"/>
  <c r="AH97"/>
  <c r="AH56"/>
  <c r="AH55"/>
  <c r="AH54"/>
  <c r="AH34"/>
  <c r="AH80"/>
  <c r="AH32"/>
  <c r="AH18"/>
  <c r="AH90"/>
  <c r="AH27" i="3"/>
  <c r="AH27" i="2" s="1"/>
  <c r="AH28"/>
  <c r="AH50"/>
  <c r="AH44"/>
  <c r="AH15" i="3"/>
  <c r="AH15" i="2" s="1"/>
  <c r="AH16"/>
  <c r="AH5"/>
  <c r="AH46"/>
  <c r="AH13"/>
  <c r="AH9"/>
  <c r="AH51" i="3"/>
  <c r="AH51" i="2" s="1"/>
  <c r="AH52"/>
  <c r="AH42"/>
  <c r="AH36"/>
  <c r="AH214"/>
  <c r="AS237"/>
  <c r="AS227"/>
  <c r="AS217"/>
  <c r="AS209"/>
  <c r="AS242"/>
  <c r="AS234"/>
  <c r="AS239"/>
  <c r="AS229"/>
  <c r="AS221"/>
  <c r="AS211"/>
  <c r="AS236"/>
  <c r="AS241"/>
  <c r="AS233"/>
  <c r="AS223"/>
  <c r="AS213"/>
  <c r="AS238"/>
  <c r="AS235"/>
  <c r="AS240"/>
  <c r="AS231" i="3"/>
  <c r="AS231" i="2" s="1"/>
  <c r="AS232"/>
  <c r="AS230"/>
  <c r="AS222"/>
  <c r="AS212"/>
  <c r="AS224"/>
  <c r="AS202"/>
  <c r="AS192"/>
  <c r="AS183" i="3"/>
  <c r="AS183" i="2" s="1"/>
  <c r="AS184"/>
  <c r="AS182"/>
  <c r="AS216"/>
  <c r="AS207" i="3"/>
  <c r="AS207" i="2" s="1"/>
  <c r="AS208"/>
  <c r="AS199"/>
  <c r="AS189"/>
  <c r="AS228"/>
  <c r="AS219" i="3"/>
  <c r="AS219" i="2" s="1"/>
  <c r="AS220"/>
  <c r="AS215"/>
  <c r="AS201"/>
  <c r="AS191"/>
  <c r="AS181"/>
  <c r="AS226"/>
  <c r="AS206"/>
  <c r="AS203"/>
  <c r="AS193"/>
  <c r="AS185"/>
  <c r="AS218"/>
  <c r="AS214"/>
  <c r="AS210"/>
  <c r="AS194"/>
  <c r="AS186"/>
  <c r="AS176"/>
  <c r="AS166"/>
  <c r="AS156"/>
  <c r="AS147" i="3"/>
  <c r="AS147" i="2" s="1"/>
  <c r="AS148"/>
  <c r="AS146"/>
  <c r="AS138"/>
  <c r="AS128"/>
  <c r="AS198"/>
  <c r="AS173"/>
  <c r="AS163"/>
  <c r="AS153"/>
  <c r="AS143"/>
  <c r="AS133"/>
  <c r="AS125"/>
  <c r="AS178"/>
  <c r="AS168"/>
  <c r="AS159" i="3"/>
  <c r="AS159" i="2" s="1"/>
  <c r="AS160"/>
  <c r="AS158"/>
  <c r="AS150"/>
  <c r="AS140"/>
  <c r="AS130"/>
  <c r="AS225"/>
  <c r="AS188"/>
  <c r="AS177"/>
  <c r="AS167"/>
  <c r="AS157"/>
  <c r="AS149"/>
  <c r="AS139"/>
  <c r="AS129"/>
  <c r="AS204"/>
  <c r="AS180"/>
  <c r="AS169"/>
  <c r="AS161"/>
  <c r="AS145"/>
  <c r="AS137"/>
  <c r="AS120"/>
  <c r="AS111" i="3"/>
  <c r="AS111" i="2" s="1"/>
  <c r="AS112"/>
  <c r="AS110"/>
  <c r="AS102"/>
  <c r="AS92"/>
  <c r="AS190"/>
  <c r="AS171" i="3"/>
  <c r="AS171" i="2" s="1"/>
  <c r="AS172"/>
  <c r="AS152"/>
  <c r="AS132"/>
  <c r="AS117"/>
  <c r="AS107"/>
  <c r="AS97"/>
  <c r="AS175"/>
  <c r="AS155"/>
  <c r="AS121"/>
  <c r="AS113"/>
  <c r="AS103"/>
  <c r="AS93"/>
  <c r="AS197"/>
  <c r="AS164"/>
  <c r="AS119"/>
  <c r="AS114"/>
  <c r="AS109"/>
  <c r="AS104"/>
  <c r="AS95"/>
  <c r="AS80"/>
  <c r="AS70"/>
  <c r="AS60"/>
  <c r="AS205"/>
  <c r="AS174"/>
  <c r="AS135" i="3"/>
  <c r="AS135" i="2" s="1"/>
  <c r="AS136"/>
  <c r="AS94"/>
  <c r="AS85"/>
  <c r="AS77"/>
  <c r="AS67"/>
  <c r="AS165"/>
  <c r="AS154"/>
  <c r="AS127"/>
  <c r="AS126"/>
  <c r="AS118"/>
  <c r="AS108"/>
  <c r="AS87" i="3"/>
  <c r="AS87" i="2" s="1"/>
  <c r="AS88"/>
  <c r="AS187"/>
  <c r="AS116"/>
  <c r="AS81"/>
  <c r="AS74"/>
  <c r="AS170"/>
  <c r="AS151"/>
  <c r="AS79"/>
  <c r="AS141"/>
  <c r="AS105"/>
  <c r="AS91"/>
  <c r="AS89"/>
  <c r="AS82"/>
  <c r="AS68"/>
  <c r="AS106"/>
  <c r="AS96"/>
  <c r="AS78"/>
  <c r="AS49"/>
  <c r="AS41"/>
  <c r="AS31"/>
  <c r="AS21"/>
  <c r="AS11"/>
  <c r="AS162"/>
  <c r="AS101"/>
  <c r="AS86"/>
  <c r="AS83"/>
  <c r="AS75" i="3"/>
  <c r="AS75" i="2" s="1"/>
  <c r="AS76"/>
  <c r="AS72"/>
  <c r="AS115"/>
  <c r="AS99" i="3"/>
  <c r="AS99" i="2" s="1"/>
  <c r="AS100"/>
  <c r="AS66"/>
  <c r="AS62"/>
  <c r="AS61"/>
  <c r="AS58"/>
  <c r="AS48"/>
  <c r="AS39" i="3"/>
  <c r="AS39" i="2" s="1"/>
  <c r="AS40"/>
  <c r="AS38"/>
  <c r="AS30"/>
  <c r="AS20"/>
  <c r="AS131"/>
  <c r="AS90"/>
  <c r="AS73"/>
  <c r="AS71"/>
  <c r="AS51" i="3"/>
  <c r="AS51" i="2" s="1"/>
  <c r="AS52"/>
  <c r="AS50"/>
  <c r="AS42"/>
  <c r="AS32"/>
  <c r="AS22"/>
  <c r="AS195" i="3"/>
  <c r="AS195" i="2" s="1"/>
  <c r="AS196"/>
  <c r="AS65"/>
  <c r="AS18"/>
  <c r="AS8"/>
  <c r="AS84"/>
  <c r="AS56"/>
  <c r="AS46"/>
  <c r="AS36"/>
  <c r="AS23"/>
  <c r="AS5"/>
  <c r="AS200"/>
  <c r="AS134"/>
  <c r="AS55"/>
  <c r="AS45"/>
  <c r="AS35"/>
  <c r="AS29"/>
  <c r="AS26"/>
  <c r="AS19"/>
  <c r="AS17"/>
  <c r="AS7"/>
  <c r="AS69"/>
  <c r="AS44"/>
  <c r="AS13"/>
  <c r="AS123" i="3"/>
  <c r="AS123" i="2" s="1"/>
  <c r="AS124"/>
  <c r="AS59"/>
  <c r="AS54"/>
  <c r="AS47"/>
  <c r="AS43"/>
  <c r="AS14"/>
  <c r="AS27" i="3"/>
  <c r="AS27" i="2" s="1"/>
  <c r="AS28"/>
  <c r="AS10"/>
  <c r="AS6"/>
  <c r="AS142"/>
  <c r="AS12"/>
  <c r="AS144"/>
  <c r="AS53"/>
  <c r="AS33"/>
  <c r="AS25"/>
  <c r="AS24"/>
  <c r="AS37"/>
  <c r="AS122"/>
  <c r="AS34"/>
  <c r="AS63" i="3"/>
  <c r="AS63" i="2" s="1"/>
  <c r="AS64"/>
  <c r="AS179"/>
  <c r="AS57"/>
  <c r="AS3" i="3"/>
  <c r="AS3" i="2" s="1"/>
  <c r="AS4"/>
  <c r="AS98"/>
  <c r="AS15" i="3"/>
  <c r="AS15" i="2" s="1"/>
  <c r="AS16"/>
  <c r="AS9"/>
  <c r="X238"/>
  <c r="X228"/>
  <c r="X219" i="3"/>
  <c r="X219" i="2" s="1"/>
  <c r="X220"/>
  <c r="X218"/>
  <c r="X210"/>
  <c r="X235"/>
  <c r="X240"/>
  <c r="X231" i="3"/>
  <c r="X231" i="2" s="1"/>
  <c r="X232"/>
  <c r="X230"/>
  <c r="X222"/>
  <c r="X212"/>
  <c r="X237"/>
  <c r="X242"/>
  <c r="X234"/>
  <c r="X224"/>
  <c r="X214"/>
  <c r="X239"/>
  <c r="X236"/>
  <c r="X241"/>
  <c r="X233"/>
  <c r="X223"/>
  <c r="X213"/>
  <c r="X229"/>
  <c r="X221"/>
  <c r="X215"/>
  <c r="X206"/>
  <c r="X203"/>
  <c r="X193"/>
  <c r="X185"/>
  <c r="X200"/>
  <c r="X190"/>
  <c r="X226"/>
  <c r="X202"/>
  <c r="X192"/>
  <c r="X183" i="3"/>
  <c r="X183" i="2" s="1"/>
  <c r="X184"/>
  <c r="X182"/>
  <c r="X204"/>
  <c r="X195" i="3"/>
  <c r="X195" i="2" s="1"/>
  <c r="X196"/>
  <c r="X194"/>
  <c r="X186"/>
  <c r="X227"/>
  <c r="X205"/>
  <c r="X197"/>
  <c r="X191"/>
  <c r="X177"/>
  <c r="X167"/>
  <c r="X157"/>
  <c r="X149"/>
  <c r="X139"/>
  <c r="X129"/>
  <c r="X174"/>
  <c r="X164"/>
  <c r="X154"/>
  <c r="X144"/>
  <c r="X135" i="3"/>
  <c r="X135" i="2" s="1"/>
  <c r="X136"/>
  <c r="X134"/>
  <c r="X126"/>
  <c r="X217"/>
  <c r="X211"/>
  <c r="X209"/>
  <c r="X189"/>
  <c r="X179"/>
  <c r="X169"/>
  <c r="X161"/>
  <c r="X151"/>
  <c r="X141"/>
  <c r="X131"/>
  <c r="X178"/>
  <c r="X168"/>
  <c r="X159" i="3"/>
  <c r="X159" i="2" s="1"/>
  <c r="X160"/>
  <c r="X158"/>
  <c r="X150"/>
  <c r="X140"/>
  <c r="X130"/>
  <c r="X165"/>
  <c r="X121"/>
  <c r="X113"/>
  <c r="X103"/>
  <c r="X93"/>
  <c r="X225"/>
  <c r="X201"/>
  <c r="X199"/>
  <c r="X143"/>
  <c r="X118"/>
  <c r="X108"/>
  <c r="X99" i="3"/>
  <c r="X99" i="2" s="1"/>
  <c r="X100"/>
  <c r="X98"/>
  <c r="X207" i="3"/>
  <c r="X207" i="2" s="1"/>
  <c r="X208"/>
  <c r="X181"/>
  <c r="X146"/>
  <c r="X138"/>
  <c r="X123" i="3"/>
  <c r="X123" i="2" s="1"/>
  <c r="X124"/>
  <c r="X122"/>
  <c r="X114"/>
  <c r="X104"/>
  <c r="X94"/>
  <c r="X216"/>
  <c r="X187"/>
  <c r="X166"/>
  <c r="X153"/>
  <c r="X142"/>
  <c r="X128"/>
  <c r="X116"/>
  <c r="X106"/>
  <c r="X97"/>
  <c r="X89"/>
  <c r="X81"/>
  <c r="X71"/>
  <c r="X61"/>
  <c r="X162"/>
  <c r="X132"/>
  <c r="X115"/>
  <c r="X105"/>
  <c r="X96"/>
  <c r="X86"/>
  <c r="X78"/>
  <c r="X68"/>
  <c r="X188"/>
  <c r="X176"/>
  <c r="X145"/>
  <c r="X127"/>
  <c r="X120"/>
  <c r="X110"/>
  <c r="X95"/>
  <c r="X87" i="3"/>
  <c r="X87" i="2" s="1"/>
  <c r="X88"/>
  <c r="X198"/>
  <c r="X170"/>
  <c r="X147" i="3"/>
  <c r="X147" i="2" s="1"/>
  <c r="X148"/>
  <c r="X137"/>
  <c r="X92"/>
  <c r="X85"/>
  <c r="X77"/>
  <c r="X152"/>
  <c r="X102"/>
  <c r="X91"/>
  <c r="X83"/>
  <c r="X156"/>
  <c r="X109"/>
  <c r="X72"/>
  <c r="X63" i="3"/>
  <c r="X63" i="2" s="1"/>
  <c r="X64"/>
  <c r="X173"/>
  <c r="X125"/>
  <c r="X73"/>
  <c r="X51" i="3"/>
  <c r="X51" i="2" s="1"/>
  <c r="X52"/>
  <c r="X50"/>
  <c r="X42"/>
  <c r="X32"/>
  <c r="X22"/>
  <c r="X12"/>
  <c r="X175"/>
  <c r="X80"/>
  <c r="X133"/>
  <c r="X107"/>
  <c r="X74"/>
  <c r="X59"/>
  <c r="X49"/>
  <c r="X41"/>
  <c r="X31"/>
  <c r="X21"/>
  <c r="X119"/>
  <c r="X101"/>
  <c r="X84"/>
  <c r="X65"/>
  <c r="X60"/>
  <c r="X53"/>
  <c r="X43"/>
  <c r="X33"/>
  <c r="X23"/>
  <c r="X155"/>
  <c r="X79"/>
  <c r="X62"/>
  <c r="X54"/>
  <c r="X44"/>
  <c r="X34"/>
  <c r="X27" i="3"/>
  <c r="X27" i="2" s="1"/>
  <c r="X28"/>
  <c r="X25"/>
  <c r="X9"/>
  <c r="X70"/>
  <c r="X58"/>
  <c r="X48"/>
  <c r="X38"/>
  <c r="X17"/>
  <c r="X6"/>
  <c r="X111" i="3"/>
  <c r="X111" i="2" s="1"/>
  <c r="X112"/>
  <c r="X90"/>
  <c r="X67"/>
  <c r="X19"/>
  <c r="X15" i="3"/>
  <c r="X15" i="2" s="1"/>
  <c r="X16"/>
  <c r="X8"/>
  <c r="X180"/>
  <c r="X75" i="3"/>
  <c r="X75" i="2" s="1"/>
  <c r="X76"/>
  <c r="X47"/>
  <c r="X46"/>
  <c r="X45"/>
  <c r="X3" i="3"/>
  <c r="X3" i="2" s="1"/>
  <c r="X4"/>
  <c r="X57"/>
  <c r="X56"/>
  <c r="X55"/>
  <c r="X11"/>
  <c r="X29"/>
  <c r="X20"/>
  <c r="X5"/>
  <c r="X163"/>
  <c r="X69"/>
  <c r="X39" i="3"/>
  <c r="X39" i="2" s="1"/>
  <c r="X40"/>
  <c r="X30"/>
  <c r="X14"/>
  <c r="X7"/>
  <c r="X13"/>
  <c r="X171" i="3"/>
  <c r="X171" i="2" s="1"/>
  <c r="X172"/>
  <c r="X36"/>
  <c r="X18"/>
  <c r="X37"/>
  <c r="X24"/>
  <c r="X117"/>
  <c r="X82"/>
  <c r="X35"/>
  <c r="X10"/>
  <c r="X66"/>
  <c r="X26"/>
  <c r="AT240"/>
  <c r="AT231" i="3"/>
  <c r="AT231" i="2" s="1"/>
  <c r="AT232"/>
  <c r="AT230"/>
  <c r="AT222"/>
  <c r="AT212"/>
  <c r="AT237"/>
  <c r="AT242"/>
  <c r="AT234"/>
  <c r="AT224"/>
  <c r="AT214"/>
  <c r="AT239"/>
  <c r="AT236"/>
  <c r="AT226"/>
  <c r="AT216"/>
  <c r="AT207" i="3"/>
  <c r="AT207" i="2" s="1"/>
  <c r="AT208"/>
  <c r="AT206"/>
  <c r="AT241"/>
  <c r="AT233"/>
  <c r="AT238"/>
  <c r="AT235"/>
  <c r="AT225"/>
  <c r="AT215"/>
  <c r="AT218"/>
  <c r="AT210"/>
  <c r="AT205"/>
  <c r="AT197"/>
  <c r="AT187"/>
  <c r="AT217"/>
  <c r="AT209"/>
  <c r="AT202"/>
  <c r="AT192"/>
  <c r="AT183" i="3"/>
  <c r="AT183" i="2" s="1"/>
  <c r="AT184"/>
  <c r="AT182"/>
  <c r="AT229"/>
  <c r="AT221"/>
  <c r="AT204"/>
  <c r="AT195" i="3"/>
  <c r="AT195" i="2" s="1"/>
  <c r="AT196"/>
  <c r="AT194"/>
  <c r="AT186"/>
  <c r="AT227"/>
  <c r="AT198"/>
  <c r="AT188"/>
  <c r="AT213"/>
  <c r="AT211"/>
  <c r="AT200"/>
  <c r="AT179"/>
  <c r="AT169"/>
  <c r="AT161"/>
  <c r="AT151"/>
  <c r="AT141"/>
  <c r="AT131"/>
  <c r="AT199"/>
  <c r="AT176"/>
  <c r="AT166"/>
  <c r="AT156"/>
  <c r="AT147" i="3"/>
  <c r="AT147" i="2" s="1"/>
  <c r="AT148"/>
  <c r="AT146"/>
  <c r="AT138"/>
  <c r="AT128"/>
  <c r="AT193"/>
  <c r="AT185"/>
  <c r="AT173"/>
  <c r="AT163"/>
  <c r="AT153"/>
  <c r="AT143"/>
  <c r="AT133"/>
  <c r="AT228"/>
  <c r="AT223"/>
  <c r="AT219" i="3"/>
  <c r="AT219" i="2" s="1"/>
  <c r="AT220"/>
  <c r="AT189"/>
  <c r="AT171" i="3"/>
  <c r="AT171" i="2" s="1"/>
  <c r="AT172"/>
  <c r="AT170"/>
  <c r="AT162"/>
  <c r="AT152"/>
  <c r="AT142"/>
  <c r="AT132"/>
  <c r="AT203"/>
  <c r="AT174"/>
  <c r="AT154"/>
  <c r="AT139"/>
  <c r="AT134"/>
  <c r="AT115"/>
  <c r="AT105"/>
  <c r="AT95"/>
  <c r="AT191"/>
  <c r="AT180"/>
  <c r="AT168"/>
  <c r="AT159" i="3"/>
  <c r="AT159" i="2" s="1"/>
  <c r="AT160"/>
  <c r="AT145"/>
  <c r="AT137"/>
  <c r="AT120"/>
  <c r="AT111" i="3"/>
  <c r="AT111" i="2" s="1"/>
  <c r="AT112"/>
  <c r="AT110"/>
  <c r="AT102"/>
  <c r="AT92"/>
  <c r="AT177"/>
  <c r="AT164"/>
  <c r="AT157"/>
  <c r="AT149"/>
  <c r="AT129"/>
  <c r="AT127"/>
  <c r="AT116"/>
  <c r="AT106"/>
  <c r="AT96"/>
  <c r="AT87" i="3"/>
  <c r="AT87" i="2" s="1"/>
  <c r="AT88"/>
  <c r="AT140"/>
  <c r="AT130"/>
  <c r="AT125"/>
  <c r="AT123" i="3"/>
  <c r="AT123" i="2" s="1"/>
  <c r="AT124"/>
  <c r="AT89"/>
  <c r="AT83"/>
  <c r="AT73"/>
  <c r="AT65"/>
  <c r="AT201"/>
  <c r="AT119"/>
  <c r="AT114"/>
  <c r="AT109"/>
  <c r="AT104"/>
  <c r="AT80"/>
  <c r="AT70"/>
  <c r="AT60"/>
  <c r="AT178"/>
  <c r="AT135" i="3"/>
  <c r="AT135" i="2" s="1"/>
  <c r="AT136"/>
  <c r="AT94"/>
  <c r="AT181"/>
  <c r="AT175"/>
  <c r="AT113"/>
  <c r="AT85"/>
  <c r="AT77"/>
  <c r="AT122"/>
  <c r="AT99" i="3"/>
  <c r="AT99" i="2" s="1"/>
  <c r="AT100"/>
  <c r="AT98"/>
  <c r="AT190"/>
  <c r="AT144"/>
  <c r="AT107"/>
  <c r="AT72"/>
  <c r="AT63" i="3"/>
  <c r="AT63" i="2" s="1"/>
  <c r="AT64"/>
  <c r="AT91"/>
  <c r="AT81"/>
  <c r="AT54"/>
  <c r="AT44"/>
  <c r="AT34"/>
  <c r="AT24"/>
  <c r="AT15" i="3"/>
  <c r="AT15" i="2" s="1"/>
  <c r="AT16"/>
  <c r="AT14"/>
  <c r="AT165"/>
  <c r="AT155"/>
  <c r="AT103"/>
  <c r="AT93"/>
  <c r="AT78"/>
  <c r="AT118"/>
  <c r="AT117"/>
  <c r="AT53"/>
  <c r="AT43"/>
  <c r="AT33"/>
  <c r="AT23"/>
  <c r="AT69"/>
  <c r="AT68"/>
  <c r="AT55"/>
  <c r="AT45"/>
  <c r="AT35"/>
  <c r="AT25"/>
  <c r="AT86"/>
  <c r="AT61"/>
  <c r="AT57"/>
  <c r="AT47"/>
  <c r="AT37"/>
  <c r="AT13"/>
  <c r="AT126"/>
  <c r="AT62"/>
  <c r="AT51" i="3"/>
  <c r="AT51" i="2" s="1"/>
  <c r="AT52"/>
  <c r="AT42"/>
  <c r="AT32"/>
  <c r="AT18"/>
  <c r="AT8"/>
  <c r="AT82"/>
  <c r="AT74"/>
  <c r="AT39" i="3"/>
  <c r="AT39" i="2" s="1"/>
  <c r="AT40"/>
  <c r="AT30"/>
  <c r="AT22"/>
  <c r="AT12"/>
  <c r="AT167"/>
  <c r="AT41"/>
  <c r="AT38"/>
  <c r="AT19"/>
  <c r="AT97"/>
  <c r="AT90"/>
  <c r="AT66"/>
  <c r="AT46"/>
  <c r="AT7"/>
  <c r="AT158"/>
  <c r="AT79"/>
  <c r="AT75" i="3"/>
  <c r="AT75" i="2" s="1"/>
  <c r="AT76"/>
  <c r="AT71"/>
  <c r="AT58"/>
  <c r="AT50"/>
  <c r="AT29"/>
  <c r="AT21"/>
  <c r="AT20"/>
  <c r="AT10"/>
  <c r="AT6"/>
  <c r="AT59"/>
  <c r="AT49"/>
  <c r="AT48"/>
  <c r="AT5"/>
  <c r="AT3" i="3"/>
  <c r="AT3" i="2" s="1"/>
  <c r="AT4"/>
  <c r="AT84"/>
  <c r="AT26"/>
  <c r="AT17"/>
  <c r="AT150"/>
  <c r="AT121"/>
  <c r="AT56"/>
  <c r="AT36"/>
  <c r="AT9"/>
  <c r="AT101"/>
  <c r="AT31"/>
  <c r="AT67"/>
  <c r="AT27" i="3"/>
  <c r="AT27" i="2" s="1"/>
  <c r="AT28"/>
  <c r="AT108"/>
  <c r="AT11"/>
  <c r="AE235"/>
  <c r="AE225"/>
  <c r="AE215"/>
  <c r="AE205"/>
  <c r="AE240"/>
  <c r="AE231" i="3"/>
  <c r="AE231" i="2" s="1"/>
  <c r="AE232"/>
  <c r="AE237"/>
  <c r="AE227"/>
  <c r="AE217"/>
  <c r="AE209"/>
  <c r="AE242"/>
  <c r="AE234"/>
  <c r="AE239"/>
  <c r="AE229"/>
  <c r="AE221"/>
  <c r="AE211"/>
  <c r="AE236"/>
  <c r="AE241"/>
  <c r="AE233"/>
  <c r="AE238"/>
  <c r="AE228"/>
  <c r="AE219" i="3"/>
  <c r="AE219" i="2" s="1"/>
  <c r="AE220"/>
  <c r="AE218"/>
  <c r="AE210"/>
  <c r="AE200"/>
  <c r="AE190"/>
  <c r="AE224"/>
  <c r="AE197"/>
  <c r="AE187"/>
  <c r="AE230"/>
  <c r="AE223"/>
  <c r="AE222"/>
  <c r="AE199"/>
  <c r="AE189"/>
  <c r="AE214"/>
  <c r="AE201"/>
  <c r="AE191"/>
  <c r="AE181"/>
  <c r="AE174"/>
  <c r="AE164"/>
  <c r="AE154"/>
  <c r="AE144"/>
  <c r="AE135" i="3"/>
  <c r="AE135" i="2" s="1"/>
  <c r="AE136"/>
  <c r="AE134"/>
  <c r="AE226"/>
  <c r="AE194"/>
  <c r="AE186"/>
  <c r="AE179"/>
  <c r="AE169"/>
  <c r="AE161"/>
  <c r="AE151"/>
  <c r="AE141"/>
  <c r="AE131"/>
  <c r="AE198"/>
  <c r="AE176"/>
  <c r="AE166"/>
  <c r="AE156"/>
  <c r="AE147" i="3"/>
  <c r="AE147" i="2" s="1"/>
  <c r="AE148"/>
  <c r="AE146"/>
  <c r="AE138"/>
  <c r="AE128"/>
  <c r="AE213"/>
  <c r="AE206"/>
  <c r="AE204"/>
  <c r="AE195" i="3"/>
  <c r="AE195" i="2" s="1"/>
  <c r="AE196"/>
  <c r="AE175"/>
  <c r="AE165"/>
  <c r="AE155"/>
  <c r="AE145"/>
  <c r="AE137"/>
  <c r="AE127"/>
  <c r="AE182"/>
  <c r="AE140"/>
  <c r="AE118"/>
  <c r="AE108"/>
  <c r="AE99" i="3"/>
  <c r="AE99" i="2" s="1"/>
  <c r="AE100"/>
  <c r="AE98"/>
  <c r="AE90"/>
  <c r="AE173"/>
  <c r="AE153"/>
  <c r="AE139"/>
  <c r="AE133"/>
  <c r="AE115"/>
  <c r="AE105"/>
  <c r="AE95"/>
  <c r="AE203"/>
  <c r="AE192"/>
  <c r="AE178"/>
  <c r="AE158"/>
  <c r="AE150"/>
  <c r="AE142"/>
  <c r="AE130"/>
  <c r="AE119"/>
  <c r="AE109"/>
  <c r="AE101"/>
  <c r="AE91"/>
  <c r="AE212"/>
  <c r="AE129"/>
  <c r="AE114"/>
  <c r="AE104"/>
  <c r="AE86"/>
  <c r="AE78"/>
  <c r="AE68"/>
  <c r="AE216"/>
  <c r="AE207" i="3"/>
  <c r="AE207" i="2" s="1"/>
  <c r="AE208"/>
  <c r="AE202"/>
  <c r="AE183" i="3"/>
  <c r="AE183" i="2" s="1"/>
  <c r="AE184"/>
  <c r="AE170"/>
  <c r="AE125"/>
  <c r="AE94"/>
  <c r="AE83"/>
  <c r="AE73"/>
  <c r="AE65"/>
  <c r="AE177"/>
  <c r="AE168"/>
  <c r="AE132"/>
  <c r="AE113"/>
  <c r="AE111" i="3"/>
  <c r="AE111" i="2" s="1"/>
  <c r="AE112"/>
  <c r="AE103"/>
  <c r="AE102"/>
  <c r="AE163"/>
  <c r="AE159" i="3"/>
  <c r="AE159" i="2" s="1"/>
  <c r="AE160"/>
  <c r="AE185"/>
  <c r="AE167"/>
  <c r="AE126"/>
  <c r="AE117"/>
  <c r="AE93"/>
  <c r="AE82"/>
  <c r="AE188"/>
  <c r="AE180"/>
  <c r="AE157"/>
  <c r="AE143"/>
  <c r="AE122"/>
  <c r="AE120"/>
  <c r="AE85"/>
  <c r="AE77"/>
  <c r="AE71"/>
  <c r="AE171" i="3"/>
  <c r="AE171" i="2" s="1"/>
  <c r="AE172"/>
  <c r="AE121"/>
  <c r="AE84"/>
  <c r="AE57"/>
  <c r="AE47"/>
  <c r="AE37"/>
  <c r="AE29"/>
  <c r="AE19"/>
  <c r="AE193"/>
  <c r="AE81"/>
  <c r="AE72"/>
  <c r="AE97"/>
  <c r="AE70"/>
  <c r="AE69"/>
  <c r="AE67"/>
  <c r="AE56"/>
  <c r="AE46"/>
  <c r="AE36"/>
  <c r="AE27" i="3"/>
  <c r="AE27" i="2" s="1"/>
  <c r="AE28"/>
  <c r="AE26"/>
  <c r="AE149"/>
  <c r="AE87" i="3"/>
  <c r="AE87" i="2" s="1"/>
  <c r="AE88"/>
  <c r="AE58"/>
  <c r="AE48"/>
  <c r="AE39" i="3"/>
  <c r="AE39" i="2" s="1"/>
  <c r="AE40"/>
  <c r="AE38"/>
  <c r="AE30"/>
  <c r="AE20"/>
  <c r="AE152"/>
  <c r="AE66"/>
  <c r="AE51" i="3"/>
  <c r="AE51" i="2" s="1"/>
  <c r="AE52"/>
  <c r="AE42"/>
  <c r="AE32"/>
  <c r="AE23"/>
  <c r="AE14"/>
  <c r="AE11"/>
  <c r="AE6"/>
  <c r="AE106"/>
  <c r="AE80"/>
  <c r="AE75" i="3"/>
  <c r="AE75" i="2" s="1"/>
  <c r="AE76"/>
  <c r="AE61"/>
  <c r="AE41"/>
  <c r="AE31"/>
  <c r="AE15" i="3"/>
  <c r="AE15" i="2" s="1"/>
  <c r="AE16"/>
  <c r="AE110"/>
  <c r="AE89"/>
  <c r="AE62"/>
  <c r="AE60"/>
  <c r="AE21"/>
  <c r="AE13"/>
  <c r="AE5"/>
  <c r="AE162"/>
  <c r="AE123" i="3"/>
  <c r="AE123" i="2" s="1"/>
  <c r="AE124"/>
  <c r="AE35"/>
  <c r="AE34"/>
  <c r="AE24"/>
  <c r="AE7"/>
  <c r="AE96"/>
  <c r="AE79"/>
  <c r="AE33"/>
  <c r="AE92"/>
  <c r="AE55"/>
  <c r="AE54"/>
  <c r="AE43"/>
  <c r="AE53"/>
  <c r="AE107"/>
  <c r="AE12"/>
  <c r="AE74"/>
  <c r="AE45"/>
  <c r="AE44"/>
  <c r="AE59"/>
  <c r="AE17"/>
  <c r="AE9"/>
  <c r="AE8"/>
  <c r="AE10"/>
  <c r="AE18"/>
  <c r="AE25"/>
  <c r="AE22"/>
  <c r="AE49"/>
  <c r="AE3" i="3"/>
  <c r="AE3" i="2" s="1"/>
  <c r="AE4"/>
  <c r="AE116"/>
  <c r="AE50"/>
  <c r="AE63" i="3"/>
  <c r="AE63" i="2" s="1"/>
  <c r="AE64"/>
  <c r="AZ242"/>
  <c r="AZ234"/>
  <c r="AZ224"/>
  <c r="AZ214"/>
  <c r="AZ239"/>
  <c r="AZ236"/>
  <c r="AZ226"/>
  <c r="AZ216"/>
  <c r="AZ207" i="3"/>
  <c r="AZ207" i="2" s="1"/>
  <c r="AZ208"/>
  <c r="AZ206"/>
  <c r="AZ241"/>
  <c r="AZ233"/>
  <c r="AZ238"/>
  <c r="AZ228"/>
  <c r="AZ219" i="3"/>
  <c r="AZ219" i="2" s="1"/>
  <c r="AZ220"/>
  <c r="AZ218"/>
  <c r="AZ210"/>
  <c r="AZ235"/>
  <c r="AZ240"/>
  <c r="AZ231" i="3"/>
  <c r="AZ231" i="2" s="1"/>
  <c r="AZ232"/>
  <c r="AZ237"/>
  <c r="AZ227"/>
  <c r="AZ217"/>
  <c r="AZ209"/>
  <c r="AZ199"/>
  <c r="AZ189"/>
  <c r="AZ213"/>
  <c r="AZ204"/>
  <c r="AZ195" i="3"/>
  <c r="AZ195" i="2" s="1"/>
  <c r="AZ196"/>
  <c r="AZ194"/>
  <c r="AZ186"/>
  <c r="AZ205"/>
  <c r="AZ198"/>
  <c r="AZ188"/>
  <c r="AZ223"/>
  <c r="AZ200"/>
  <c r="AZ190"/>
  <c r="AZ180"/>
  <c r="AZ173"/>
  <c r="AZ163"/>
  <c r="AZ153"/>
  <c r="AZ143"/>
  <c r="AZ133"/>
  <c r="AZ215"/>
  <c r="AZ212"/>
  <c r="AZ211"/>
  <c r="AZ203"/>
  <c r="AZ182"/>
  <c r="AZ181"/>
  <c r="AZ178"/>
  <c r="AZ168"/>
  <c r="AZ159" i="3"/>
  <c r="AZ159" i="2" s="1"/>
  <c r="AZ160"/>
  <c r="AZ158"/>
  <c r="AZ150"/>
  <c r="AZ140"/>
  <c r="AZ130"/>
  <c r="AZ202"/>
  <c r="AZ201"/>
  <c r="AZ187"/>
  <c r="AZ175"/>
  <c r="AZ165"/>
  <c r="AZ155"/>
  <c r="AZ145"/>
  <c r="AZ137"/>
  <c r="AZ127"/>
  <c r="AZ193"/>
  <c r="AZ185"/>
  <c r="AZ174"/>
  <c r="AZ164"/>
  <c r="AZ154"/>
  <c r="AZ144"/>
  <c r="AZ135" i="3"/>
  <c r="AZ135" i="2" s="1"/>
  <c r="AZ136"/>
  <c r="AZ134"/>
  <c r="AZ126"/>
  <c r="AZ221"/>
  <c r="AZ197"/>
  <c r="AZ177"/>
  <c r="AZ157"/>
  <c r="AZ149"/>
  <c r="AZ129"/>
  <c r="AZ117"/>
  <c r="AZ107"/>
  <c r="AZ97"/>
  <c r="AZ89"/>
  <c r="AZ222"/>
  <c r="AZ176"/>
  <c r="AZ170"/>
  <c r="AZ162"/>
  <c r="AZ156"/>
  <c r="AZ147" i="3"/>
  <c r="AZ147" i="2" s="1"/>
  <c r="AZ148"/>
  <c r="AZ141"/>
  <c r="AZ128"/>
  <c r="AZ123" i="3"/>
  <c r="AZ123" i="2" s="1"/>
  <c r="AZ124"/>
  <c r="AZ122"/>
  <c r="AZ114"/>
  <c r="AZ104"/>
  <c r="AZ94"/>
  <c r="AZ167"/>
  <c r="AZ118"/>
  <c r="AZ108"/>
  <c r="AZ99" i="3"/>
  <c r="AZ99" i="2" s="1"/>
  <c r="AZ100"/>
  <c r="AZ98"/>
  <c r="AZ90"/>
  <c r="AZ192"/>
  <c r="AZ111" i="3"/>
  <c r="AZ111" i="2" s="1"/>
  <c r="AZ112"/>
  <c r="AZ102"/>
  <c r="AZ101"/>
  <c r="AZ93"/>
  <c r="AZ91"/>
  <c r="AZ85"/>
  <c r="AZ77"/>
  <c r="AZ67"/>
  <c r="AZ166"/>
  <c r="AZ151"/>
  <c r="AZ142"/>
  <c r="AZ132"/>
  <c r="AZ116"/>
  <c r="AZ106"/>
  <c r="AZ92"/>
  <c r="AZ82"/>
  <c r="AZ72"/>
  <c r="AZ63" i="3"/>
  <c r="AZ63" i="2" s="1"/>
  <c r="AZ64"/>
  <c r="AZ62"/>
  <c r="AZ96"/>
  <c r="AZ152"/>
  <c r="AZ146"/>
  <c r="AZ109"/>
  <c r="AZ103"/>
  <c r="AZ80"/>
  <c r="AZ79"/>
  <c r="AZ73"/>
  <c r="AZ230"/>
  <c r="AZ171" i="3"/>
  <c r="AZ171" i="2" s="1"/>
  <c r="AZ172"/>
  <c r="AZ131"/>
  <c r="AZ87" i="3"/>
  <c r="AZ87" i="2" s="1"/>
  <c r="AZ88"/>
  <c r="AZ86"/>
  <c r="AZ78"/>
  <c r="AZ191"/>
  <c r="AZ183" i="3"/>
  <c r="AZ183" i="2" s="1"/>
  <c r="AZ184"/>
  <c r="AZ121"/>
  <c r="AZ120"/>
  <c r="AZ81"/>
  <c r="AZ74"/>
  <c r="AZ66"/>
  <c r="AZ225"/>
  <c r="AZ69"/>
  <c r="AZ65"/>
  <c r="AZ61"/>
  <c r="AZ56"/>
  <c r="AZ46"/>
  <c r="AZ36"/>
  <c r="AZ27" i="3"/>
  <c r="AZ27" i="2" s="1"/>
  <c r="AZ28"/>
  <c r="AZ26"/>
  <c r="AZ18"/>
  <c r="AZ84"/>
  <c r="AZ68"/>
  <c r="AZ229"/>
  <c r="AZ169"/>
  <c r="AZ60"/>
  <c r="AZ59"/>
  <c r="AZ55"/>
  <c r="AZ45"/>
  <c r="AZ35"/>
  <c r="AZ25"/>
  <c r="AZ179"/>
  <c r="AZ138"/>
  <c r="AZ75" i="3"/>
  <c r="AZ75" i="2" s="1"/>
  <c r="AZ76"/>
  <c r="AZ57"/>
  <c r="AZ47"/>
  <c r="AZ37"/>
  <c r="AZ29"/>
  <c r="AZ95"/>
  <c r="AZ21"/>
  <c r="AZ19"/>
  <c r="AZ12"/>
  <c r="AZ5"/>
  <c r="AZ54"/>
  <c r="AZ50"/>
  <c r="AZ44"/>
  <c r="AZ34"/>
  <c r="AZ20"/>
  <c r="AZ17"/>
  <c r="AZ161"/>
  <c r="AZ83"/>
  <c r="AZ58"/>
  <c r="AZ53"/>
  <c r="AZ48"/>
  <c r="AZ43"/>
  <c r="AZ38"/>
  <c r="AZ33"/>
  <c r="AZ24"/>
  <c r="AZ14"/>
  <c r="AZ11"/>
  <c r="AZ3" i="3"/>
  <c r="AZ3" i="2" s="1"/>
  <c r="AZ4"/>
  <c r="AZ30"/>
  <c r="AZ23"/>
  <c r="AZ22"/>
  <c r="AZ32"/>
  <c r="AZ31"/>
  <c r="AZ110"/>
  <c r="AZ42"/>
  <c r="AZ41"/>
  <c r="AZ13"/>
  <c r="AZ125"/>
  <c r="AZ39" i="3"/>
  <c r="AZ39" i="2" s="1"/>
  <c r="AZ40"/>
  <c r="AZ49"/>
  <c r="AZ115"/>
  <c r="AZ10"/>
  <c r="AZ15" i="3"/>
  <c r="AZ15" i="2" s="1"/>
  <c r="AZ16"/>
  <c r="AZ8"/>
  <c r="AZ105"/>
  <c r="AZ9"/>
  <c r="AZ71"/>
  <c r="AZ51" i="3"/>
  <c r="AZ51" i="2" s="1"/>
  <c r="AZ52"/>
  <c r="AZ70"/>
  <c r="AZ119"/>
  <c r="AZ7"/>
  <c r="AZ6"/>
  <c r="AZ113"/>
  <c r="AZ139"/>
  <c r="Y241"/>
  <c r="Y233"/>
  <c r="Y223"/>
  <c r="Y213"/>
  <c r="Y238"/>
  <c r="Y235"/>
  <c r="Y225"/>
  <c r="Y215"/>
  <c r="Y205"/>
  <c r="Y240"/>
  <c r="Y231" i="3"/>
  <c r="Y231" i="2" s="1"/>
  <c r="Y232"/>
  <c r="Y237"/>
  <c r="Y227"/>
  <c r="Y217"/>
  <c r="Y209"/>
  <c r="Y242"/>
  <c r="Y234"/>
  <c r="Y239"/>
  <c r="Y236"/>
  <c r="Y226"/>
  <c r="Y216"/>
  <c r="Y207" i="3"/>
  <c r="Y207" i="2" s="1"/>
  <c r="Y208"/>
  <c r="Y230"/>
  <c r="Y222"/>
  <c r="Y198"/>
  <c r="Y188"/>
  <c r="Y229"/>
  <c r="Y228"/>
  <c r="Y221"/>
  <c r="Y219" i="3"/>
  <c r="Y219" i="2" s="1"/>
  <c r="Y220"/>
  <c r="Y206"/>
  <c r="Y203"/>
  <c r="Y193"/>
  <c r="Y185"/>
  <c r="Y197"/>
  <c r="Y187"/>
  <c r="Y218"/>
  <c r="Y211"/>
  <c r="Y210"/>
  <c r="Y199"/>
  <c r="Y189"/>
  <c r="Y192"/>
  <c r="Y183" i="3"/>
  <c r="Y183" i="2" s="1"/>
  <c r="Y184"/>
  <c r="Y180"/>
  <c r="Y171" i="3"/>
  <c r="Y171" i="2" s="1"/>
  <c r="Y172"/>
  <c r="Y170"/>
  <c r="Y162"/>
  <c r="Y152"/>
  <c r="Y142"/>
  <c r="Y132"/>
  <c r="Y191"/>
  <c r="Y190"/>
  <c r="Y177"/>
  <c r="Y167"/>
  <c r="Y157"/>
  <c r="Y149"/>
  <c r="Y139"/>
  <c r="Y129"/>
  <c r="Y212"/>
  <c r="Y204"/>
  <c r="Y195" i="3"/>
  <c r="Y195" i="2" s="1"/>
  <c r="Y196"/>
  <c r="Y174"/>
  <c r="Y164"/>
  <c r="Y154"/>
  <c r="Y144"/>
  <c r="Y135" i="3"/>
  <c r="Y135" i="2" s="1"/>
  <c r="Y136"/>
  <c r="Y134"/>
  <c r="Y126"/>
  <c r="Y201"/>
  <c r="Y200"/>
  <c r="Y173"/>
  <c r="Y163"/>
  <c r="Y153"/>
  <c r="Y143"/>
  <c r="Y133"/>
  <c r="Y125"/>
  <c r="Y224"/>
  <c r="Y179"/>
  <c r="Y166"/>
  <c r="Y151"/>
  <c r="Y131"/>
  <c r="Y127"/>
  <c r="Y116"/>
  <c r="Y106"/>
  <c r="Y96"/>
  <c r="Y87" i="3"/>
  <c r="Y87" i="2" s="1"/>
  <c r="Y88"/>
  <c r="Y165"/>
  <c r="Y121"/>
  <c r="Y113"/>
  <c r="Y103"/>
  <c r="Y93"/>
  <c r="Y186"/>
  <c r="Y169"/>
  <c r="Y161"/>
  <c r="Y140"/>
  <c r="Y117"/>
  <c r="Y107"/>
  <c r="Y97"/>
  <c r="Y89"/>
  <c r="Y194"/>
  <c r="Y155"/>
  <c r="Y122"/>
  <c r="Y101"/>
  <c r="Y92"/>
  <c r="Y84"/>
  <c r="Y75" i="3"/>
  <c r="Y75" i="2" s="1"/>
  <c r="Y76"/>
  <c r="Y74"/>
  <c r="Y66"/>
  <c r="Y168"/>
  <c r="Y130"/>
  <c r="Y128"/>
  <c r="Y99" i="3"/>
  <c r="Y99" i="2" s="1"/>
  <c r="Y100"/>
  <c r="Y81"/>
  <c r="Y71"/>
  <c r="Y61"/>
  <c r="Y181"/>
  <c r="Y138"/>
  <c r="Y115"/>
  <c r="Y105"/>
  <c r="Y214"/>
  <c r="Y176"/>
  <c r="Y158"/>
  <c r="Y123" i="3"/>
  <c r="Y123" i="2" s="1"/>
  <c r="Y124"/>
  <c r="Y114"/>
  <c r="Y111" i="3"/>
  <c r="Y111" i="2" s="1"/>
  <c r="Y112"/>
  <c r="Y90"/>
  <c r="Y98"/>
  <c r="Y80"/>
  <c r="Y175"/>
  <c r="Y79"/>
  <c r="Y68"/>
  <c r="Y202"/>
  <c r="Y110"/>
  <c r="Y70"/>
  <c r="Y69"/>
  <c r="Y55"/>
  <c r="Y45"/>
  <c r="Y35"/>
  <c r="Y25"/>
  <c r="Y17"/>
  <c r="Y178"/>
  <c r="Y109"/>
  <c r="Y77"/>
  <c r="Y73"/>
  <c r="Y141"/>
  <c r="Y95"/>
  <c r="Y82"/>
  <c r="Y54"/>
  <c r="Y44"/>
  <c r="Y34"/>
  <c r="Y24"/>
  <c r="Y145"/>
  <c r="Y102"/>
  <c r="Y63" i="3"/>
  <c r="Y63" i="2" s="1"/>
  <c r="Y64"/>
  <c r="Y56"/>
  <c r="Y46"/>
  <c r="Y36"/>
  <c r="Y27" i="3"/>
  <c r="Y27" i="2" s="1"/>
  <c r="Y28"/>
  <c r="Y26"/>
  <c r="Y120"/>
  <c r="Y60"/>
  <c r="Y50"/>
  <c r="Y20"/>
  <c r="Y12"/>
  <c r="Y3" i="3"/>
  <c r="Y3" i="2" s="1"/>
  <c r="Y4"/>
  <c r="Y104"/>
  <c r="Y78"/>
  <c r="Y72"/>
  <c r="Y65"/>
  <c r="Y62"/>
  <c r="Y59"/>
  <c r="Y49"/>
  <c r="Y9"/>
  <c r="Y182"/>
  <c r="Y156"/>
  <c r="Y137"/>
  <c r="Y86"/>
  <c r="Y57"/>
  <c r="Y47"/>
  <c r="Y37"/>
  <c r="Y14"/>
  <c r="Y11"/>
  <c r="Y159" i="3"/>
  <c r="Y159" i="2" s="1"/>
  <c r="Y160"/>
  <c r="Y118"/>
  <c r="Y43"/>
  <c r="Y42"/>
  <c r="Y41"/>
  <c r="Y15" i="3"/>
  <c r="Y15" i="2" s="1"/>
  <c r="Y16"/>
  <c r="Y83"/>
  <c r="Y53"/>
  <c r="Y51" i="3"/>
  <c r="Y51" i="2" s="1"/>
  <c r="Y52"/>
  <c r="Y48"/>
  <c r="Y8"/>
  <c r="Y33"/>
  <c r="Y22"/>
  <c r="Y21"/>
  <c r="Y18"/>
  <c r="Y91"/>
  <c r="Y32"/>
  <c r="Y6"/>
  <c r="Y5"/>
  <c r="Y146"/>
  <c r="Y119"/>
  <c r="Y10"/>
  <c r="Y94"/>
  <c r="Y85"/>
  <c r="Y58"/>
  <c r="Y13"/>
  <c r="Y7"/>
  <c r="Y30"/>
  <c r="Y147" i="3"/>
  <c r="Y147" i="2" s="1"/>
  <c r="Y148"/>
  <c r="Y29"/>
  <c r="Y108"/>
  <c r="Y39" i="3"/>
  <c r="Y39" i="2" s="1"/>
  <c r="Y40"/>
  <c r="Y31"/>
  <c r="Y150"/>
  <c r="Y38"/>
  <c r="Y67"/>
  <c r="Y23"/>
  <c r="Y19"/>
  <c r="AO241"/>
  <c r="AO233"/>
  <c r="AO223"/>
  <c r="AO213"/>
  <c r="AO238"/>
  <c r="AO235"/>
  <c r="AO225"/>
  <c r="AO215"/>
  <c r="AO205"/>
  <c r="AO240"/>
  <c r="AO231" i="3"/>
  <c r="AO231" i="2" s="1"/>
  <c r="AO232"/>
  <c r="AO237"/>
  <c r="AO227"/>
  <c r="AO217"/>
  <c r="AO209"/>
  <c r="AO242"/>
  <c r="AO234"/>
  <c r="AO239"/>
  <c r="AO236"/>
  <c r="AO226"/>
  <c r="AO216"/>
  <c r="AO207" i="3"/>
  <c r="AO207" i="2" s="1"/>
  <c r="AO208"/>
  <c r="AO230"/>
  <c r="AO222"/>
  <c r="AO198"/>
  <c r="AO188"/>
  <c r="AO229"/>
  <c r="AO228"/>
  <c r="AO221"/>
  <c r="AO219" i="3"/>
  <c r="AO219" i="2" s="1"/>
  <c r="AO220"/>
  <c r="AO203"/>
  <c r="AO193"/>
  <c r="AO185"/>
  <c r="AO206"/>
  <c r="AO197"/>
  <c r="AO187"/>
  <c r="AO218"/>
  <c r="AO211"/>
  <c r="AO210"/>
  <c r="AO199"/>
  <c r="AO189"/>
  <c r="AO192"/>
  <c r="AO183" i="3"/>
  <c r="AO183" i="2" s="1"/>
  <c r="AO184"/>
  <c r="AO180"/>
  <c r="AO171" i="3"/>
  <c r="AO171" i="2" s="1"/>
  <c r="AO172"/>
  <c r="AO170"/>
  <c r="AO162"/>
  <c r="AO152"/>
  <c r="AO142"/>
  <c r="AO132"/>
  <c r="AO191"/>
  <c r="AO190"/>
  <c r="AO177"/>
  <c r="AO167"/>
  <c r="AO157"/>
  <c r="AO149"/>
  <c r="AO139"/>
  <c r="AO129"/>
  <c r="AO204"/>
  <c r="AO195" i="3"/>
  <c r="AO195" i="2" s="1"/>
  <c r="AO196"/>
  <c r="AO174"/>
  <c r="AO164"/>
  <c r="AO154"/>
  <c r="AO144"/>
  <c r="AO135" i="3"/>
  <c r="AO135" i="2" s="1"/>
  <c r="AO136"/>
  <c r="AO134"/>
  <c r="AO126"/>
  <c r="AO201"/>
  <c r="AO200"/>
  <c r="AO173"/>
  <c r="AO163"/>
  <c r="AO153"/>
  <c r="AO143"/>
  <c r="AO133"/>
  <c r="AO125"/>
  <c r="AO194"/>
  <c r="AO179"/>
  <c r="AO166"/>
  <c r="AO151"/>
  <c r="AO131"/>
  <c r="AO116"/>
  <c r="AO106"/>
  <c r="AO96"/>
  <c r="AO87" i="3"/>
  <c r="AO87" i="2" s="1"/>
  <c r="AO88"/>
  <c r="AO224"/>
  <c r="AO186"/>
  <c r="AO165"/>
  <c r="AO121"/>
  <c r="AO113"/>
  <c r="AO103"/>
  <c r="AO93"/>
  <c r="AO214"/>
  <c r="AO169"/>
  <c r="AO161"/>
  <c r="AO140"/>
  <c r="AO117"/>
  <c r="AO107"/>
  <c r="AO97"/>
  <c r="AO89"/>
  <c r="AO178"/>
  <c r="AO176"/>
  <c r="AO159" i="3"/>
  <c r="AO159" i="2" s="1"/>
  <c r="AO160"/>
  <c r="AO145"/>
  <c r="AO127"/>
  <c r="AO98"/>
  <c r="AO91"/>
  <c r="AO84"/>
  <c r="AO75" i="3"/>
  <c r="AO75" i="2" s="1"/>
  <c r="AO76"/>
  <c r="AO74"/>
  <c r="AO66"/>
  <c r="AO212"/>
  <c r="AO158"/>
  <c r="AO156"/>
  <c r="AO141"/>
  <c r="AO111" i="3"/>
  <c r="AO111" i="2" s="1"/>
  <c r="AO112"/>
  <c r="AO102"/>
  <c r="AO81"/>
  <c r="AO71"/>
  <c r="AO61"/>
  <c r="AO202"/>
  <c r="AO150"/>
  <c r="AO147" i="3"/>
  <c r="AO147" i="2" s="1"/>
  <c r="AO148"/>
  <c r="AO122"/>
  <c r="AO101"/>
  <c r="AO92"/>
  <c r="AO90"/>
  <c r="AO182"/>
  <c r="AO138"/>
  <c r="AO95"/>
  <c r="AO83"/>
  <c r="AO137"/>
  <c r="AO104"/>
  <c r="AO82"/>
  <c r="AO155"/>
  <c r="AO130"/>
  <c r="AO110"/>
  <c r="AO109"/>
  <c r="AO108"/>
  <c r="AO85"/>
  <c r="AO77"/>
  <c r="AO105"/>
  <c r="AO94"/>
  <c r="AO65"/>
  <c r="AO63" i="3"/>
  <c r="AO63" i="2" s="1"/>
  <c r="AO64"/>
  <c r="AO55"/>
  <c r="AO45"/>
  <c r="AO35"/>
  <c r="AO25"/>
  <c r="AO17"/>
  <c r="AO181"/>
  <c r="AO115"/>
  <c r="AO99" i="3"/>
  <c r="AO99" i="2" s="1"/>
  <c r="AO100"/>
  <c r="AO80"/>
  <c r="AO68"/>
  <c r="AO175"/>
  <c r="AO168"/>
  <c r="AO114"/>
  <c r="AO54"/>
  <c r="AO44"/>
  <c r="AO34"/>
  <c r="AO24"/>
  <c r="AO56"/>
  <c r="AO46"/>
  <c r="AO36"/>
  <c r="AO27" i="3"/>
  <c r="AO27" i="2" s="1"/>
  <c r="AO28"/>
  <c r="AO26"/>
  <c r="AO118"/>
  <c r="AO60"/>
  <c r="AO39" i="3"/>
  <c r="AO39" i="2" s="1"/>
  <c r="AO40"/>
  <c r="AO30"/>
  <c r="AO22"/>
  <c r="AO19"/>
  <c r="AO3" i="3"/>
  <c r="AO3" i="2" s="1"/>
  <c r="AO4"/>
  <c r="AO119"/>
  <c r="AO69"/>
  <c r="AO67"/>
  <c r="AO29"/>
  <c r="AO21"/>
  <c r="AO14"/>
  <c r="AO11"/>
  <c r="AO9"/>
  <c r="AO123" i="3"/>
  <c r="AO123" i="2" s="1"/>
  <c r="AO124"/>
  <c r="AO59"/>
  <c r="AO49"/>
  <c r="AO10"/>
  <c r="AO78"/>
  <c r="AO58"/>
  <c r="AO57"/>
  <c r="AO51" i="3"/>
  <c r="AO51" i="2" s="1"/>
  <c r="AO52"/>
  <c r="AO86"/>
  <c r="AO50"/>
  <c r="AO20"/>
  <c r="AO15" i="3"/>
  <c r="AO15" i="2" s="1"/>
  <c r="AO16"/>
  <c r="AO5"/>
  <c r="AO146"/>
  <c r="AO37"/>
  <c r="AO8"/>
  <c r="AO6"/>
  <c r="AO13"/>
  <c r="AO7"/>
  <c r="AO62"/>
  <c r="AO53"/>
  <c r="AO33"/>
  <c r="AO23"/>
  <c r="AO12"/>
  <c r="AO79"/>
  <c r="AO73"/>
  <c r="AO32"/>
  <c r="AO18"/>
  <c r="AO120"/>
  <c r="AO41"/>
  <c r="AO38"/>
  <c r="AO43"/>
  <c r="AO42"/>
  <c r="AO70"/>
  <c r="AO72"/>
  <c r="AO48"/>
  <c r="AO128"/>
  <c r="AO47"/>
  <c r="AO31"/>
  <c r="AQ239"/>
  <c r="AQ229"/>
  <c r="AQ221"/>
  <c r="AQ211"/>
  <c r="AQ236"/>
  <c r="AQ241"/>
  <c r="AQ233"/>
  <c r="AQ223"/>
  <c r="AQ213"/>
  <c r="AQ238"/>
  <c r="AQ235"/>
  <c r="AQ225"/>
  <c r="AQ215"/>
  <c r="AQ205"/>
  <c r="AQ240"/>
  <c r="AQ231" i="3"/>
  <c r="AQ231" i="2" s="1"/>
  <c r="AQ232"/>
  <c r="AQ237"/>
  <c r="AQ242"/>
  <c r="AQ234"/>
  <c r="AQ224"/>
  <c r="AQ214"/>
  <c r="AQ217"/>
  <c r="AQ216"/>
  <c r="AQ209"/>
  <c r="AQ207" i="3"/>
  <c r="AQ207" i="2" s="1"/>
  <c r="AQ208"/>
  <c r="AQ204"/>
  <c r="AQ195" i="3"/>
  <c r="AQ195" i="2" s="1"/>
  <c r="AQ196"/>
  <c r="AQ194"/>
  <c r="AQ186"/>
  <c r="AQ230"/>
  <c r="AQ222"/>
  <c r="AQ201"/>
  <c r="AQ191"/>
  <c r="AQ181"/>
  <c r="AQ203"/>
  <c r="AQ193"/>
  <c r="AQ185"/>
  <c r="AQ212"/>
  <c r="AQ197"/>
  <c r="AQ187"/>
  <c r="AQ199"/>
  <c r="AQ198"/>
  <c r="AQ178"/>
  <c r="AQ168"/>
  <c r="AQ159" i="3"/>
  <c r="AQ159" i="2" s="1"/>
  <c r="AQ160"/>
  <c r="AQ158"/>
  <c r="AQ150"/>
  <c r="AQ140"/>
  <c r="AQ130"/>
  <c r="AQ206"/>
  <c r="AQ192"/>
  <c r="AQ183" i="3"/>
  <c r="AQ183" i="2" s="1"/>
  <c r="AQ184"/>
  <c r="AQ175"/>
  <c r="AQ165"/>
  <c r="AQ155"/>
  <c r="AQ145"/>
  <c r="AQ137"/>
  <c r="AQ127"/>
  <c r="AQ190"/>
  <c r="AQ180"/>
  <c r="AQ171" i="3"/>
  <c r="AQ171" i="2" s="1"/>
  <c r="AQ172"/>
  <c r="AQ170"/>
  <c r="AQ162"/>
  <c r="AQ152"/>
  <c r="AQ142"/>
  <c r="AQ132"/>
  <c r="AQ227"/>
  <c r="AQ202"/>
  <c r="AQ179"/>
  <c r="AQ169"/>
  <c r="AQ161"/>
  <c r="AQ151"/>
  <c r="AQ141"/>
  <c r="AQ131"/>
  <c r="AQ218"/>
  <c r="AQ173"/>
  <c r="AQ167"/>
  <c r="AQ153"/>
  <c r="AQ133"/>
  <c r="AQ123" i="3"/>
  <c r="AQ123" i="2" s="1"/>
  <c r="AQ124"/>
  <c r="AQ122"/>
  <c r="AQ114"/>
  <c r="AQ104"/>
  <c r="AQ94"/>
  <c r="AQ188"/>
  <c r="AQ166"/>
  <c r="AQ144"/>
  <c r="AQ135" i="3"/>
  <c r="AQ135" i="2" s="1"/>
  <c r="AQ136"/>
  <c r="AQ119"/>
  <c r="AQ109"/>
  <c r="AQ101"/>
  <c r="AQ200"/>
  <c r="AQ163"/>
  <c r="AQ126"/>
  <c r="AQ115"/>
  <c r="AQ105"/>
  <c r="AQ95"/>
  <c r="AQ219" i="3"/>
  <c r="AQ219" i="2" s="1"/>
  <c r="AQ220"/>
  <c r="AQ189"/>
  <c r="AQ182"/>
  <c r="AQ174"/>
  <c r="AQ138"/>
  <c r="AQ87" i="3"/>
  <c r="AQ87" i="2" s="1"/>
  <c r="AQ88"/>
  <c r="AQ82"/>
  <c r="AQ72"/>
  <c r="AQ63" i="3"/>
  <c r="AQ63" i="2" s="1"/>
  <c r="AQ64"/>
  <c r="AQ62"/>
  <c r="AQ176"/>
  <c r="AQ154"/>
  <c r="AQ118"/>
  <c r="AQ113"/>
  <c r="AQ108"/>
  <c r="AQ103"/>
  <c r="AQ91"/>
  <c r="AQ79"/>
  <c r="AQ69"/>
  <c r="AQ59"/>
  <c r="AQ156"/>
  <c r="AQ143"/>
  <c r="AQ111" i="3"/>
  <c r="AQ111" i="2" s="1"/>
  <c r="AQ112"/>
  <c r="AQ102"/>
  <c r="AQ98"/>
  <c r="AQ93"/>
  <c r="AQ157"/>
  <c r="AQ134"/>
  <c r="AQ129"/>
  <c r="AQ117"/>
  <c r="AQ96"/>
  <c r="AQ90"/>
  <c r="AQ228"/>
  <c r="AQ139"/>
  <c r="AQ146"/>
  <c r="AQ128"/>
  <c r="AQ125"/>
  <c r="AQ71"/>
  <c r="AQ86"/>
  <c r="AQ83"/>
  <c r="AQ75" i="3"/>
  <c r="AQ75" i="2" s="1"/>
  <c r="AQ76"/>
  <c r="AQ53"/>
  <c r="AQ43"/>
  <c r="AQ33"/>
  <c r="AQ23"/>
  <c r="AQ13"/>
  <c r="AQ164"/>
  <c r="AQ116"/>
  <c r="AQ66"/>
  <c r="AQ121"/>
  <c r="AQ120"/>
  <c r="AQ89"/>
  <c r="AQ85"/>
  <c r="AQ73"/>
  <c r="AQ68"/>
  <c r="AQ67"/>
  <c r="AQ51" i="3"/>
  <c r="AQ51" i="2" s="1"/>
  <c r="AQ52"/>
  <c r="AQ50"/>
  <c r="AQ42"/>
  <c r="AQ32"/>
  <c r="AQ22"/>
  <c r="AQ110"/>
  <c r="AQ84"/>
  <c r="AQ74"/>
  <c r="AQ54"/>
  <c r="AQ44"/>
  <c r="AQ34"/>
  <c r="AQ24"/>
  <c r="AQ56"/>
  <c r="AQ46"/>
  <c r="AQ41"/>
  <c r="AQ36"/>
  <c r="AQ31"/>
  <c r="AQ12"/>
  <c r="AQ60"/>
  <c r="AQ39" i="3"/>
  <c r="AQ39" i="2" s="1"/>
  <c r="AQ40"/>
  <c r="AQ30"/>
  <c r="AQ19"/>
  <c r="AQ17"/>
  <c r="AQ7"/>
  <c r="AQ106"/>
  <c r="AQ81"/>
  <c r="AQ20"/>
  <c r="AQ14"/>
  <c r="AQ11"/>
  <c r="AQ9"/>
  <c r="AQ226"/>
  <c r="AQ177"/>
  <c r="AQ147" i="3"/>
  <c r="AQ147" i="2" s="1"/>
  <c r="AQ148"/>
  <c r="AQ107"/>
  <c r="AQ97"/>
  <c r="AQ55"/>
  <c r="AQ49"/>
  <c r="AQ48"/>
  <c r="AQ47"/>
  <c r="AQ10"/>
  <c r="AQ6"/>
  <c r="AQ78"/>
  <c r="AQ58"/>
  <c r="AQ57"/>
  <c r="AQ5"/>
  <c r="AQ3" i="3"/>
  <c r="AQ3" i="2" s="1"/>
  <c r="AQ4"/>
  <c r="AQ149"/>
  <c r="AQ65"/>
  <c r="AQ61"/>
  <c r="AQ38"/>
  <c r="AQ26"/>
  <c r="AQ99" i="3"/>
  <c r="AQ99" i="2" s="1"/>
  <c r="AQ100"/>
  <c r="AQ37"/>
  <c r="AQ25"/>
  <c r="AQ15" i="3"/>
  <c r="AQ15" i="2" s="1"/>
  <c r="AQ16"/>
  <c r="AQ210"/>
  <c r="AQ70"/>
  <c r="AQ77"/>
  <c r="AQ92"/>
  <c r="AQ18"/>
  <c r="AQ27" i="3"/>
  <c r="AQ27" i="2" s="1"/>
  <c r="AQ28"/>
  <c r="AQ8"/>
  <c r="AQ80"/>
  <c r="AQ45"/>
  <c r="AQ29"/>
  <c r="AQ21"/>
  <c r="AQ35"/>
  <c r="BC235"/>
  <c r="BC225"/>
  <c r="BC215"/>
  <c r="BC205"/>
  <c r="BC240"/>
  <c r="BC231" i="3"/>
  <c r="BC231" i="2" s="1"/>
  <c r="BC232"/>
  <c r="BC237"/>
  <c r="BC227"/>
  <c r="BC217"/>
  <c r="BC209"/>
  <c r="BC242"/>
  <c r="BC234"/>
  <c r="BC239"/>
  <c r="BC229"/>
  <c r="BC221"/>
  <c r="BC211"/>
  <c r="BC236"/>
  <c r="BC241"/>
  <c r="BC233"/>
  <c r="BC238"/>
  <c r="BC228"/>
  <c r="BC219" i="3"/>
  <c r="BC219" i="2" s="1"/>
  <c r="BC220"/>
  <c r="BC218"/>
  <c r="BC210"/>
  <c r="BC200"/>
  <c r="BC190"/>
  <c r="BC214"/>
  <c r="BC197"/>
  <c r="BC187"/>
  <c r="BC213"/>
  <c r="BC212"/>
  <c r="BC206"/>
  <c r="BC199"/>
  <c r="BC189"/>
  <c r="BC224"/>
  <c r="BC201"/>
  <c r="BC191"/>
  <c r="BC181"/>
  <c r="BC223"/>
  <c r="BC174"/>
  <c r="BC164"/>
  <c r="BC154"/>
  <c r="BC144"/>
  <c r="BC135" i="3"/>
  <c r="BC135" i="2" s="1"/>
  <c r="BC136"/>
  <c r="BC134"/>
  <c r="BC204"/>
  <c r="BC195" i="3"/>
  <c r="BC195" i="2" s="1"/>
  <c r="BC196"/>
  <c r="BC179"/>
  <c r="BC169"/>
  <c r="BC161"/>
  <c r="BC151"/>
  <c r="BC141"/>
  <c r="BC131"/>
  <c r="BC216"/>
  <c r="BC207" i="3"/>
  <c r="BC207" i="2" s="1"/>
  <c r="BC208"/>
  <c r="BC188"/>
  <c r="BC182"/>
  <c r="BC176"/>
  <c r="BC166"/>
  <c r="BC156"/>
  <c r="BC147" i="3"/>
  <c r="BC147" i="2" s="1"/>
  <c r="BC148"/>
  <c r="BC146"/>
  <c r="BC138"/>
  <c r="BC128"/>
  <c r="BC194"/>
  <c r="BC186"/>
  <c r="BC175"/>
  <c r="BC165"/>
  <c r="BC155"/>
  <c r="BC145"/>
  <c r="BC137"/>
  <c r="BC127"/>
  <c r="BC230"/>
  <c r="BC143"/>
  <c r="BC118"/>
  <c r="BC108"/>
  <c r="BC99" i="3"/>
  <c r="BC99" i="2" s="1"/>
  <c r="BC100"/>
  <c r="BC98"/>
  <c r="BC90"/>
  <c r="BC202"/>
  <c r="BC198"/>
  <c r="BC178"/>
  <c r="BC158"/>
  <c r="BC150"/>
  <c r="BC142"/>
  <c r="BC130"/>
  <c r="BC115"/>
  <c r="BC105"/>
  <c r="BC95"/>
  <c r="BC193"/>
  <c r="BC183" i="3"/>
  <c r="BC183" i="2" s="1"/>
  <c r="BC184"/>
  <c r="BC173"/>
  <c r="BC153"/>
  <c r="BC139"/>
  <c r="BC133"/>
  <c r="BC126"/>
  <c r="BC125"/>
  <c r="BC119"/>
  <c r="BC109"/>
  <c r="BC101"/>
  <c r="BC91"/>
  <c r="BC170"/>
  <c r="BC94"/>
  <c r="BC86"/>
  <c r="BC78"/>
  <c r="BC68"/>
  <c r="BC192"/>
  <c r="BC185"/>
  <c r="BC177"/>
  <c r="BC113"/>
  <c r="BC111" i="3"/>
  <c r="BC111" i="2" s="1"/>
  <c r="BC112"/>
  <c r="BC103"/>
  <c r="BC102"/>
  <c r="BC87" i="3"/>
  <c r="BC87" i="2" s="1"/>
  <c r="BC88"/>
  <c r="BC83"/>
  <c r="BC73"/>
  <c r="BC65"/>
  <c r="BC168"/>
  <c r="BC162"/>
  <c r="BC157"/>
  <c r="BC132"/>
  <c r="BC117"/>
  <c r="BC107"/>
  <c r="BC93"/>
  <c r="BC92"/>
  <c r="BC167"/>
  <c r="BC81"/>
  <c r="BC74"/>
  <c r="BC149"/>
  <c r="BC140"/>
  <c r="BC116"/>
  <c r="BC79"/>
  <c r="BC226"/>
  <c r="BC159" i="3"/>
  <c r="BC159" i="2" s="1"/>
  <c r="BC160"/>
  <c r="BC123" i="3"/>
  <c r="BC123" i="2" s="1"/>
  <c r="BC124"/>
  <c r="BC114"/>
  <c r="BC97"/>
  <c r="BC96"/>
  <c r="BC82"/>
  <c r="BC61"/>
  <c r="BC110"/>
  <c r="BC85"/>
  <c r="BC57"/>
  <c r="BC47"/>
  <c r="BC37"/>
  <c r="BC29"/>
  <c r="BC19"/>
  <c r="BC63" i="3"/>
  <c r="BC63" i="2" s="1"/>
  <c r="BC64"/>
  <c r="BC171" i="3"/>
  <c r="BC171" i="2" s="1"/>
  <c r="BC172"/>
  <c r="BC84"/>
  <c r="BC70"/>
  <c r="BC69"/>
  <c r="BC56"/>
  <c r="BC46"/>
  <c r="BC36"/>
  <c r="BC27" i="3"/>
  <c r="BC27" i="2" s="1"/>
  <c r="BC28"/>
  <c r="BC26"/>
  <c r="BC180"/>
  <c r="BC120"/>
  <c r="BC58"/>
  <c r="BC48"/>
  <c r="BC39" i="3"/>
  <c r="BC39" i="2" s="1"/>
  <c r="BC40"/>
  <c r="BC38"/>
  <c r="BC30"/>
  <c r="BC20"/>
  <c r="BC75" i="3"/>
  <c r="BC75" i="2" s="1"/>
  <c r="BC76"/>
  <c r="BC71"/>
  <c r="BC66"/>
  <c r="BC41"/>
  <c r="BC31"/>
  <c r="BC13"/>
  <c r="BC6"/>
  <c r="BC77"/>
  <c r="BC59"/>
  <c r="BC55"/>
  <c r="BC45"/>
  <c r="BC35"/>
  <c r="BC22"/>
  <c r="BC18"/>
  <c r="BC54"/>
  <c r="BC50"/>
  <c r="BC44"/>
  <c r="BC34"/>
  <c r="BC25"/>
  <c r="BC12"/>
  <c r="BC5"/>
  <c r="BC122"/>
  <c r="BC80"/>
  <c r="BC67"/>
  <c r="BC10"/>
  <c r="BC72"/>
  <c r="BC24"/>
  <c r="BC15" i="3"/>
  <c r="BC15" i="2" s="1"/>
  <c r="BC16"/>
  <c r="BC163"/>
  <c r="BC121"/>
  <c r="BC106"/>
  <c r="BC32"/>
  <c r="BC17"/>
  <c r="BC3" i="3"/>
  <c r="BC3" i="2" s="1"/>
  <c r="BC4"/>
  <c r="BC152"/>
  <c r="BC51" i="3"/>
  <c r="BC51" i="2" s="1"/>
  <c r="BC52"/>
  <c r="BC21"/>
  <c r="BC43"/>
  <c r="BC203"/>
  <c r="BC129"/>
  <c r="BC11"/>
  <c r="BC7"/>
  <c r="BC53"/>
  <c r="BC49"/>
  <c r="BC33"/>
  <c r="BC14"/>
  <c r="BC9"/>
  <c r="BC42"/>
  <c r="BC23"/>
  <c r="BC60"/>
  <c r="BC89"/>
  <c r="BC62"/>
  <c r="BC8"/>
  <c r="BC104"/>
  <c r="BC222"/>
  <c r="G235"/>
  <c r="G225"/>
  <c r="G215"/>
  <c r="G240"/>
  <c r="G231" i="3"/>
  <c r="G231" i="2" s="1"/>
  <c r="G232"/>
  <c r="G237"/>
  <c r="G227"/>
  <c r="G217"/>
  <c r="G209"/>
  <c r="G242"/>
  <c r="G234"/>
  <c r="G239"/>
  <c r="G229"/>
  <c r="G221"/>
  <c r="G211"/>
  <c r="G236"/>
  <c r="G241"/>
  <c r="G233"/>
  <c r="G238"/>
  <c r="G228"/>
  <c r="G219" i="3"/>
  <c r="G219" i="2" s="1"/>
  <c r="G220"/>
  <c r="G218"/>
  <c r="G210"/>
  <c r="G200"/>
  <c r="G190"/>
  <c r="G214"/>
  <c r="G205"/>
  <c r="G197"/>
  <c r="G187"/>
  <c r="G213"/>
  <c r="G212"/>
  <c r="G199"/>
  <c r="G189"/>
  <c r="G224"/>
  <c r="G206"/>
  <c r="G201"/>
  <c r="G191"/>
  <c r="G181"/>
  <c r="G174"/>
  <c r="G164"/>
  <c r="G154"/>
  <c r="G144"/>
  <c r="G135" i="3"/>
  <c r="G135" i="2" s="1"/>
  <c r="G136"/>
  <c r="G134"/>
  <c r="G204"/>
  <c r="G195" i="3"/>
  <c r="G195" i="2" s="1"/>
  <c r="G196"/>
  <c r="G179"/>
  <c r="G169"/>
  <c r="G161"/>
  <c r="G151"/>
  <c r="G141"/>
  <c r="G131"/>
  <c r="G188"/>
  <c r="G182"/>
  <c r="G176"/>
  <c r="G166"/>
  <c r="G156"/>
  <c r="G147" i="3"/>
  <c r="G147" i="2" s="1"/>
  <c r="G148"/>
  <c r="G146"/>
  <c r="G138"/>
  <c r="G128"/>
  <c r="G194"/>
  <c r="G186"/>
  <c r="G175"/>
  <c r="G165"/>
  <c r="G155"/>
  <c r="G145"/>
  <c r="G137"/>
  <c r="G127"/>
  <c r="G192"/>
  <c r="G143"/>
  <c r="G118"/>
  <c r="G108"/>
  <c r="G99" i="3"/>
  <c r="G99" i="2" s="1"/>
  <c r="G100"/>
  <c r="G98"/>
  <c r="G90"/>
  <c r="G230"/>
  <c r="G216"/>
  <c r="G193"/>
  <c r="G183" i="3"/>
  <c r="G183" i="2" s="1"/>
  <c r="G184"/>
  <c r="G178"/>
  <c r="G158"/>
  <c r="G150"/>
  <c r="G142"/>
  <c r="G130"/>
  <c r="G125"/>
  <c r="G115"/>
  <c r="G105"/>
  <c r="G95"/>
  <c r="G223"/>
  <c r="G202"/>
  <c r="G198"/>
  <c r="G173"/>
  <c r="G153"/>
  <c r="G139"/>
  <c r="G133"/>
  <c r="G119"/>
  <c r="G109"/>
  <c r="G101"/>
  <c r="G91"/>
  <c r="G203"/>
  <c r="G167"/>
  <c r="G129"/>
  <c r="G123" i="3"/>
  <c r="G123" i="2" s="1"/>
  <c r="G124"/>
  <c r="G86"/>
  <c r="G78"/>
  <c r="G68"/>
  <c r="G226"/>
  <c r="G222"/>
  <c r="G185"/>
  <c r="G170"/>
  <c r="G114"/>
  <c r="G104"/>
  <c r="G83"/>
  <c r="G73"/>
  <c r="G65"/>
  <c r="G177"/>
  <c r="G94"/>
  <c r="G207" i="3"/>
  <c r="G207" i="2" s="1"/>
  <c r="G208"/>
  <c r="G157"/>
  <c r="G152"/>
  <c r="G110"/>
  <c r="G92"/>
  <c r="G72"/>
  <c r="G171" i="3"/>
  <c r="G171" i="2" s="1"/>
  <c r="G172"/>
  <c r="G163"/>
  <c r="G102"/>
  <c r="G97"/>
  <c r="G96"/>
  <c r="G85"/>
  <c r="G162"/>
  <c r="G126"/>
  <c r="G121"/>
  <c r="G106"/>
  <c r="G103"/>
  <c r="G87" i="3"/>
  <c r="G87" i="2" s="1"/>
  <c r="G88"/>
  <c r="G84"/>
  <c r="G80"/>
  <c r="G75" i="3"/>
  <c r="G75" i="2" s="1"/>
  <c r="G76"/>
  <c r="G180"/>
  <c r="G93"/>
  <c r="G89"/>
  <c r="G60"/>
  <c r="G57"/>
  <c r="G47"/>
  <c r="G37"/>
  <c r="G29"/>
  <c r="G19"/>
  <c r="G132"/>
  <c r="G122"/>
  <c r="G116"/>
  <c r="G113"/>
  <c r="G69"/>
  <c r="G67"/>
  <c r="G66"/>
  <c r="G56"/>
  <c r="G46"/>
  <c r="G36"/>
  <c r="G27" i="3"/>
  <c r="G27" i="2" s="1"/>
  <c r="G28"/>
  <c r="G26"/>
  <c r="G71"/>
  <c r="G58"/>
  <c r="G48"/>
  <c r="G39" i="3"/>
  <c r="G39" i="2" s="1"/>
  <c r="G40"/>
  <c r="G38"/>
  <c r="G30"/>
  <c r="G20"/>
  <c r="G111" i="3"/>
  <c r="G111" i="2" s="1"/>
  <c r="G112"/>
  <c r="G74"/>
  <c r="G6"/>
  <c r="G168"/>
  <c r="G149"/>
  <c r="G140"/>
  <c r="G62"/>
  <c r="G51" i="3"/>
  <c r="G51" i="2" s="1"/>
  <c r="G52"/>
  <c r="G42"/>
  <c r="G32"/>
  <c r="G23"/>
  <c r="G12"/>
  <c r="G117"/>
  <c r="G81"/>
  <c r="G70"/>
  <c r="G55"/>
  <c r="G45"/>
  <c r="G35"/>
  <c r="G22"/>
  <c r="G14"/>
  <c r="G11"/>
  <c r="G5"/>
  <c r="G33"/>
  <c r="G8"/>
  <c r="G77"/>
  <c r="G44"/>
  <c r="G41"/>
  <c r="G17"/>
  <c r="G7"/>
  <c r="G53"/>
  <c r="G49"/>
  <c r="G18"/>
  <c r="G13"/>
  <c r="G107"/>
  <c r="G63" i="3"/>
  <c r="G63" i="2" s="1"/>
  <c r="G64"/>
  <c r="G159" i="3"/>
  <c r="G159" i="2" s="1"/>
  <c r="G160"/>
  <c r="G61"/>
  <c r="G25"/>
  <c r="G3" i="3"/>
  <c r="G3" i="2" s="1"/>
  <c r="G4"/>
  <c r="G34"/>
  <c r="G24"/>
  <c r="G21"/>
  <c r="G10"/>
  <c r="G15" i="3"/>
  <c r="G15" i="2" s="1"/>
  <c r="G16"/>
  <c r="G79"/>
  <c r="G9"/>
  <c r="G50"/>
  <c r="G82"/>
  <c r="G31"/>
  <c r="G43"/>
  <c r="G120"/>
  <c r="G59"/>
  <c r="G54"/>
  <c r="M237"/>
  <c r="M227"/>
  <c r="M217"/>
  <c r="M209"/>
  <c r="M242"/>
  <c r="M234"/>
  <c r="M239"/>
  <c r="M229"/>
  <c r="M221"/>
  <c r="M211"/>
  <c r="M236"/>
  <c r="M241"/>
  <c r="M233"/>
  <c r="M223"/>
  <c r="M213"/>
  <c r="M238"/>
  <c r="M235"/>
  <c r="M240"/>
  <c r="M231" i="3"/>
  <c r="M231" i="2" s="1"/>
  <c r="M232"/>
  <c r="M230"/>
  <c r="M222"/>
  <c r="M212"/>
  <c r="M224"/>
  <c r="M202"/>
  <c r="M192"/>
  <c r="M183" i="3"/>
  <c r="M183" i="2" s="1"/>
  <c r="M184"/>
  <c r="M182"/>
  <c r="M216"/>
  <c r="M207" i="3"/>
  <c r="M207" i="2" s="1"/>
  <c r="M208"/>
  <c r="M206"/>
  <c r="M199"/>
  <c r="M189"/>
  <c r="M228"/>
  <c r="M219" i="3"/>
  <c r="M219" i="2" s="1"/>
  <c r="M220"/>
  <c r="M215"/>
  <c r="M201"/>
  <c r="M191"/>
  <c r="M181"/>
  <c r="M226"/>
  <c r="M203"/>
  <c r="M193"/>
  <c r="M185"/>
  <c r="M218"/>
  <c r="M214"/>
  <c r="M210"/>
  <c r="M194"/>
  <c r="M186"/>
  <c r="M176"/>
  <c r="M166"/>
  <c r="M156"/>
  <c r="M147" i="3"/>
  <c r="M147" i="2" s="1"/>
  <c r="M148"/>
  <c r="M146"/>
  <c r="M138"/>
  <c r="M128"/>
  <c r="M198"/>
  <c r="M173"/>
  <c r="M163"/>
  <c r="M153"/>
  <c r="M143"/>
  <c r="M133"/>
  <c r="M125"/>
  <c r="M178"/>
  <c r="M168"/>
  <c r="M159" i="3"/>
  <c r="M159" i="2" s="1"/>
  <c r="M160"/>
  <c r="M158"/>
  <c r="M150"/>
  <c r="M140"/>
  <c r="M130"/>
  <c r="M225"/>
  <c r="M188"/>
  <c r="M177"/>
  <c r="M167"/>
  <c r="M157"/>
  <c r="M149"/>
  <c r="M139"/>
  <c r="M129"/>
  <c r="M204"/>
  <c r="M169"/>
  <c r="M161"/>
  <c r="M145"/>
  <c r="M137"/>
  <c r="M127"/>
  <c r="M120"/>
  <c r="M111" i="3"/>
  <c r="M111" i="2" s="1"/>
  <c r="M112"/>
  <c r="M110"/>
  <c r="M102"/>
  <c r="M92"/>
  <c r="M190"/>
  <c r="M180"/>
  <c r="M171" i="3"/>
  <c r="M171" i="2" s="1"/>
  <c r="M172"/>
  <c r="M152"/>
  <c r="M132"/>
  <c r="M117"/>
  <c r="M107"/>
  <c r="M97"/>
  <c r="M175"/>
  <c r="M155"/>
  <c r="M121"/>
  <c r="M113"/>
  <c r="M103"/>
  <c r="M93"/>
  <c r="M165"/>
  <c r="M154"/>
  <c r="M122"/>
  <c r="M101"/>
  <c r="M80"/>
  <c r="M70"/>
  <c r="M60"/>
  <c r="M200"/>
  <c r="M195" i="3"/>
  <c r="M195" i="2" s="1"/>
  <c r="M196"/>
  <c r="M141"/>
  <c r="M131"/>
  <c r="M116"/>
  <c r="M106"/>
  <c r="M85"/>
  <c r="M77"/>
  <c r="M67"/>
  <c r="M99" i="3"/>
  <c r="M99" i="2" s="1"/>
  <c r="M100"/>
  <c r="M96"/>
  <c r="M87" i="3"/>
  <c r="M87" i="2" s="1"/>
  <c r="M88"/>
  <c r="M81"/>
  <c r="M74"/>
  <c r="M123" i="3"/>
  <c r="M123" i="2" s="1"/>
  <c r="M124"/>
  <c r="M115"/>
  <c r="M114"/>
  <c r="M79"/>
  <c r="M205"/>
  <c r="M179"/>
  <c r="M144"/>
  <c r="M142"/>
  <c r="M119"/>
  <c r="M95"/>
  <c r="M94"/>
  <c r="M82"/>
  <c r="M68"/>
  <c r="M197"/>
  <c r="M135" i="3"/>
  <c r="M135" i="2" s="1"/>
  <c r="M136"/>
  <c r="M108"/>
  <c r="M71"/>
  <c r="M59"/>
  <c r="M49"/>
  <c r="M41"/>
  <c r="M31"/>
  <c r="M21"/>
  <c r="M11"/>
  <c r="M105"/>
  <c r="M104"/>
  <c r="M78"/>
  <c r="M134"/>
  <c r="M118"/>
  <c r="M73"/>
  <c r="M61"/>
  <c r="M58"/>
  <c r="M48"/>
  <c r="M39" i="3"/>
  <c r="M39" i="2" s="1"/>
  <c r="M40"/>
  <c r="M38"/>
  <c r="M30"/>
  <c r="M20"/>
  <c r="M187"/>
  <c r="M164"/>
  <c r="M162"/>
  <c r="M63" i="3"/>
  <c r="M63" i="2" s="1"/>
  <c r="M64"/>
  <c r="M51" i="3"/>
  <c r="M51" i="2" s="1"/>
  <c r="M52"/>
  <c r="M50"/>
  <c r="M42"/>
  <c r="M32"/>
  <c r="M22"/>
  <c r="M89"/>
  <c r="M86"/>
  <c r="M69"/>
  <c r="M8"/>
  <c r="M109"/>
  <c r="M90"/>
  <c r="M54"/>
  <c r="M44"/>
  <c r="M34"/>
  <c r="M27" i="3"/>
  <c r="M27" i="2" s="1"/>
  <c r="M28"/>
  <c r="M25"/>
  <c r="M14"/>
  <c r="M5"/>
  <c r="M98"/>
  <c r="M62"/>
  <c r="M57"/>
  <c r="M53"/>
  <c r="M47"/>
  <c r="M43"/>
  <c r="M37"/>
  <c r="M33"/>
  <c r="M24"/>
  <c r="M13"/>
  <c r="M7"/>
  <c r="M126"/>
  <c r="M19"/>
  <c r="M10"/>
  <c r="M3" i="3"/>
  <c r="M3" i="2" s="1"/>
  <c r="M4"/>
  <c r="M170"/>
  <c r="M151"/>
  <c r="M84"/>
  <c r="M26"/>
  <c r="M23"/>
  <c r="M91"/>
  <c r="M29"/>
  <c r="M174"/>
  <c r="M56"/>
  <c r="M35"/>
  <c r="M18"/>
  <c r="M66"/>
  <c r="M65"/>
  <c r="M9"/>
  <c r="M6"/>
  <c r="M83"/>
  <c r="M45"/>
  <c r="M46"/>
  <c r="M75" i="3"/>
  <c r="M75" i="2" s="1"/>
  <c r="M76"/>
  <c r="M36"/>
  <c r="M15" i="3"/>
  <c r="M15" i="2" s="1"/>
  <c r="M16"/>
  <c r="M55"/>
  <c r="M12"/>
  <c r="M72"/>
  <c r="M17"/>
  <c r="AN238"/>
  <c r="AN228"/>
  <c r="AN219" i="3"/>
  <c r="AN219" i="2" s="1"/>
  <c r="AN220"/>
  <c r="AN218"/>
  <c r="AN210"/>
  <c r="AN235"/>
  <c r="AN240"/>
  <c r="AN231" i="3"/>
  <c r="AN231" i="2" s="1"/>
  <c r="AN232"/>
  <c r="AN230"/>
  <c r="AN222"/>
  <c r="AN212"/>
  <c r="AN237"/>
  <c r="AN242"/>
  <c r="AN234"/>
  <c r="AN224"/>
  <c r="AN214"/>
  <c r="AN239"/>
  <c r="AN236"/>
  <c r="AN241"/>
  <c r="AN233"/>
  <c r="AN223"/>
  <c r="AN213"/>
  <c r="AN229"/>
  <c r="AN221"/>
  <c r="AN215"/>
  <c r="AN203"/>
  <c r="AN193"/>
  <c r="AN185"/>
  <c r="AN200"/>
  <c r="AN190"/>
  <c r="AN226"/>
  <c r="AN202"/>
  <c r="AN192"/>
  <c r="AN183" i="3"/>
  <c r="AN183" i="2" s="1"/>
  <c r="AN184"/>
  <c r="AN182"/>
  <c r="AN204"/>
  <c r="AN195" i="3"/>
  <c r="AN195" i="2" s="1"/>
  <c r="AN196"/>
  <c r="AN194"/>
  <c r="AN186"/>
  <c r="AN206"/>
  <c r="AN197"/>
  <c r="AN191"/>
  <c r="AN177"/>
  <c r="AN167"/>
  <c r="AN157"/>
  <c r="AN149"/>
  <c r="AN139"/>
  <c r="AN129"/>
  <c r="AN174"/>
  <c r="AN164"/>
  <c r="AN154"/>
  <c r="AN144"/>
  <c r="AN135" i="3"/>
  <c r="AN135" i="2" s="1"/>
  <c r="AN136"/>
  <c r="AN134"/>
  <c r="AN126"/>
  <c r="AN189"/>
  <c r="AN179"/>
  <c r="AN169"/>
  <c r="AN161"/>
  <c r="AN151"/>
  <c r="AN141"/>
  <c r="AN131"/>
  <c r="AN205"/>
  <c r="AN178"/>
  <c r="AN168"/>
  <c r="AN159" i="3"/>
  <c r="AN159" i="2" s="1"/>
  <c r="AN160"/>
  <c r="AN158"/>
  <c r="AN150"/>
  <c r="AN140"/>
  <c r="AN130"/>
  <c r="AN209"/>
  <c r="AN207" i="3"/>
  <c r="AN207" i="2" s="1"/>
  <c r="AN208"/>
  <c r="AN188"/>
  <c r="AN187"/>
  <c r="AN165"/>
  <c r="AN121"/>
  <c r="AN113"/>
  <c r="AN103"/>
  <c r="AN93"/>
  <c r="AN181"/>
  <c r="AN143"/>
  <c r="AN127"/>
  <c r="AN118"/>
  <c r="AN108"/>
  <c r="AN99" i="3"/>
  <c r="AN99" i="2" s="1"/>
  <c r="AN100"/>
  <c r="AN98"/>
  <c r="AN201"/>
  <c r="AN199"/>
  <c r="AN146"/>
  <c r="AN138"/>
  <c r="AN123" i="3"/>
  <c r="AN123" i="2" s="1"/>
  <c r="AN124"/>
  <c r="AN122"/>
  <c r="AN114"/>
  <c r="AN104"/>
  <c r="AN94"/>
  <c r="AN217"/>
  <c r="AN180"/>
  <c r="AN156"/>
  <c r="AN111" i="3"/>
  <c r="AN111" i="2" s="1"/>
  <c r="AN112"/>
  <c r="AN102"/>
  <c r="AN81"/>
  <c r="AN71"/>
  <c r="AN61"/>
  <c r="AN227"/>
  <c r="AN171" i="3"/>
  <c r="AN171" i="2" s="1"/>
  <c r="AN172"/>
  <c r="AN147" i="3"/>
  <c r="AN147" i="2" s="1"/>
  <c r="AN148"/>
  <c r="AN133"/>
  <c r="AN117"/>
  <c r="AN107"/>
  <c r="AN101"/>
  <c r="AN92"/>
  <c r="AN90"/>
  <c r="AN86"/>
  <c r="AN78"/>
  <c r="AN68"/>
  <c r="AN216"/>
  <c r="AN198"/>
  <c r="AN163"/>
  <c r="AN152"/>
  <c r="AN116"/>
  <c r="AN106"/>
  <c r="AN97"/>
  <c r="AN145"/>
  <c r="AN120"/>
  <c r="AN119"/>
  <c r="AN79"/>
  <c r="AN153"/>
  <c r="AN128"/>
  <c r="AN125"/>
  <c r="AN211"/>
  <c r="AN162"/>
  <c r="AN115"/>
  <c r="AN87" i="3"/>
  <c r="AN87" i="2" s="1"/>
  <c r="AN88"/>
  <c r="AN74"/>
  <c r="AN70"/>
  <c r="AN66"/>
  <c r="AN155"/>
  <c r="AN80"/>
  <c r="AN77"/>
  <c r="AN62"/>
  <c r="AN51" i="3"/>
  <c r="AN51" i="2" s="1"/>
  <c r="AN52"/>
  <c r="AN50"/>
  <c r="AN42"/>
  <c r="AN32"/>
  <c r="AN22"/>
  <c r="AN12"/>
  <c r="AN173"/>
  <c r="AN166"/>
  <c r="AN85"/>
  <c r="AN73"/>
  <c r="AN69"/>
  <c r="AN67"/>
  <c r="AN176"/>
  <c r="AN170"/>
  <c r="AN137"/>
  <c r="AN59"/>
  <c r="AN49"/>
  <c r="AN41"/>
  <c r="AN31"/>
  <c r="AN21"/>
  <c r="AN109"/>
  <c r="AN53"/>
  <c r="AN43"/>
  <c r="AN33"/>
  <c r="AN23"/>
  <c r="AN132"/>
  <c r="AN84"/>
  <c r="AN83"/>
  <c r="AN63" i="3"/>
  <c r="AN63" i="2" s="1"/>
  <c r="AN64"/>
  <c r="AN55"/>
  <c r="AN45"/>
  <c r="AN35"/>
  <c r="AN29"/>
  <c r="AN26"/>
  <c r="AN14"/>
  <c r="AN11"/>
  <c r="AN9"/>
  <c r="AN175"/>
  <c r="AN20"/>
  <c r="AN15" i="3"/>
  <c r="AN15" i="2" s="1"/>
  <c r="AN16"/>
  <c r="AN6"/>
  <c r="AN105"/>
  <c r="AN58"/>
  <c r="AN48"/>
  <c r="AN38"/>
  <c r="AN13"/>
  <c r="AN8"/>
  <c r="AN91"/>
  <c r="AN56"/>
  <c r="AN5"/>
  <c r="AN110"/>
  <c r="AN89"/>
  <c r="AN82"/>
  <c r="AN27" i="3"/>
  <c r="AN27" i="2" s="1"/>
  <c r="AN28"/>
  <c r="AN65"/>
  <c r="AN60"/>
  <c r="AN30"/>
  <c r="AN25"/>
  <c r="AN24"/>
  <c r="AN225"/>
  <c r="AN10"/>
  <c r="AN7"/>
  <c r="AN75" i="3"/>
  <c r="AN75" i="2" s="1"/>
  <c r="AN76"/>
  <c r="AN57"/>
  <c r="AN36"/>
  <c r="AN54"/>
  <c r="AN19"/>
  <c r="AN72"/>
  <c r="AN39" i="3"/>
  <c r="AN39" i="2" s="1"/>
  <c r="AN40"/>
  <c r="AN37"/>
  <c r="AN17"/>
  <c r="AN44"/>
  <c r="AN47"/>
  <c r="AN34"/>
  <c r="AN96"/>
  <c r="AN46"/>
  <c r="AN95"/>
  <c r="AN3" i="3"/>
  <c r="AN3" i="2" s="1"/>
  <c r="AN4"/>
  <c r="AN18"/>
  <c r="AN142"/>
  <c r="AI239"/>
  <c r="AI229"/>
  <c r="AI221"/>
  <c r="AI211"/>
  <c r="AI236"/>
  <c r="AI241"/>
  <c r="AI233"/>
  <c r="AI223"/>
  <c r="AI213"/>
  <c r="AI238"/>
  <c r="AI235"/>
  <c r="AI225"/>
  <c r="AI215"/>
  <c r="AI205"/>
  <c r="AI240"/>
  <c r="AI231" i="3"/>
  <c r="AI231" i="2" s="1"/>
  <c r="AI232"/>
  <c r="AI237"/>
  <c r="AI242"/>
  <c r="AI234"/>
  <c r="AI224"/>
  <c r="AI214"/>
  <c r="AI227"/>
  <c r="AI226"/>
  <c r="AI204"/>
  <c r="AI195" i="3"/>
  <c r="AI195" i="2" s="1"/>
  <c r="AI196"/>
  <c r="AI194"/>
  <c r="AI186"/>
  <c r="AI212"/>
  <c r="AI201"/>
  <c r="AI191"/>
  <c r="AI181"/>
  <c r="AI203"/>
  <c r="AI193"/>
  <c r="AI185"/>
  <c r="AI230"/>
  <c r="AI222"/>
  <c r="AI197"/>
  <c r="AI187"/>
  <c r="AI189"/>
  <c r="AI188"/>
  <c r="AI182"/>
  <c r="AI178"/>
  <c r="AI168"/>
  <c r="AI159" i="3"/>
  <c r="AI159" i="2" s="1"/>
  <c r="AI160"/>
  <c r="AI158"/>
  <c r="AI150"/>
  <c r="AI140"/>
  <c r="AI130"/>
  <c r="AI202"/>
  <c r="AI175"/>
  <c r="AI165"/>
  <c r="AI155"/>
  <c r="AI145"/>
  <c r="AI137"/>
  <c r="AI127"/>
  <c r="AI228"/>
  <c r="AI219" i="3"/>
  <c r="AI219" i="2" s="1"/>
  <c r="AI220"/>
  <c r="AI200"/>
  <c r="AI180"/>
  <c r="AI171" i="3"/>
  <c r="AI171" i="2" s="1"/>
  <c r="AI172"/>
  <c r="AI170"/>
  <c r="AI162"/>
  <c r="AI152"/>
  <c r="AI142"/>
  <c r="AI132"/>
  <c r="AI218"/>
  <c r="AI217"/>
  <c r="AI216"/>
  <c r="AI210"/>
  <c r="AI209"/>
  <c r="AI207" i="3"/>
  <c r="AI207" i="2" s="1"/>
  <c r="AI208"/>
  <c r="AI192"/>
  <c r="AI183" i="3"/>
  <c r="AI183" i="2" s="1"/>
  <c r="AI184"/>
  <c r="AI179"/>
  <c r="AI169"/>
  <c r="AI161"/>
  <c r="AI151"/>
  <c r="AI141"/>
  <c r="AI131"/>
  <c r="AI176"/>
  <c r="AI156"/>
  <c r="AI147" i="3"/>
  <c r="AI147" i="2" s="1"/>
  <c r="AI148"/>
  <c r="AI128"/>
  <c r="AI126"/>
  <c r="AI123" i="3"/>
  <c r="AI123" i="2" s="1"/>
  <c r="AI124"/>
  <c r="AI122"/>
  <c r="AI114"/>
  <c r="AI104"/>
  <c r="AI94"/>
  <c r="AI163"/>
  <c r="AI119"/>
  <c r="AI109"/>
  <c r="AI101"/>
  <c r="AI166"/>
  <c r="AI144"/>
  <c r="AI135" i="3"/>
  <c r="AI135" i="2" s="1"/>
  <c r="AI136"/>
  <c r="AI115"/>
  <c r="AI105"/>
  <c r="AI95"/>
  <c r="AI206"/>
  <c r="AI167"/>
  <c r="AI143"/>
  <c r="AI139"/>
  <c r="AI133"/>
  <c r="AI121"/>
  <c r="AI99" i="3"/>
  <c r="AI99" i="2" s="1"/>
  <c r="AI100"/>
  <c r="AI89"/>
  <c r="AI82"/>
  <c r="AI72"/>
  <c r="AI63" i="3"/>
  <c r="AI63" i="2" s="1"/>
  <c r="AI64"/>
  <c r="AI62"/>
  <c r="AI198"/>
  <c r="AI146"/>
  <c r="AI129"/>
  <c r="AI120"/>
  <c r="AI110"/>
  <c r="AI79"/>
  <c r="AI69"/>
  <c r="AI190"/>
  <c r="AI134"/>
  <c r="AI87" i="3"/>
  <c r="AI87" i="2" s="1"/>
  <c r="AI88"/>
  <c r="AI177"/>
  <c r="AI149"/>
  <c r="AI106"/>
  <c r="AI103"/>
  <c r="AI91"/>
  <c r="AI81"/>
  <c r="AI74"/>
  <c r="AI111" i="3"/>
  <c r="AI111" i="2" s="1"/>
  <c r="AI112"/>
  <c r="AI80"/>
  <c r="AI173"/>
  <c r="AI164"/>
  <c r="AI93"/>
  <c r="AI90"/>
  <c r="AI68"/>
  <c r="AI157"/>
  <c r="AI118"/>
  <c r="AI116"/>
  <c r="AI53"/>
  <c r="AI43"/>
  <c r="AI33"/>
  <c r="AI23"/>
  <c r="AI13"/>
  <c r="AI174"/>
  <c r="AI125"/>
  <c r="AI117"/>
  <c r="AI84"/>
  <c r="AI138"/>
  <c r="AI78"/>
  <c r="AI75" i="3"/>
  <c r="AI75" i="2" s="1"/>
  <c r="AI76"/>
  <c r="AI61"/>
  <c r="AI51" i="3"/>
  <c r="AI51" i="2" s="1"/>
  <c r="AI52"/>
  <c r="AI50"/>
  <c r="AI42"/>
  <c r="AI32"/>
  <c r="AI22"/>
  <c r="AI108"/>
  <c r="AI97"/>
  <c r="AI96"/>
  <c r="AI65"/>
  <c r="AI54"/>
  <c r="AI44"/>
  <c r="AI34"/>
  <c r="AI24"/>
  <c r="AI58"/>
  <c r="AI48"/>
  <c r="AI38"/>
  <c r="AI18"/>
  <c r="AI71"/>
  <c r="AI66"/>
  <c r="AI57"/>
  <c r="AI47"/>
  <c r="AI37"/>
  <c r="AI12"/>
  <c r="AI7"/>
  <c r="AI107"/>
  <c r="AI102"/>
  <c r="AI56"/>
  <c r="AI46"/>
  <c r="AI41"/>
  <c r="AI36"/>
  <c r="AI31"/>
  <c r="AI19"/>
  <c r="AI9"/>
  <c r="AI30"/>
  <c r="AI27" i="3"/>
  <c r="AI27" i="2" s="1"/>
  <c r="AI28"/>
  <c r="AI17"/>
  <c r="AI113"/>
  <c r="AI73"/>
  <c r="AI60"/>
  <c r="AI26"/>
  <c r="AI83"/>
  <c r="AI14"/>
  <c r="AI6"/>
  <c r="AI77"/>
  <c r="AI35"/>
  <c r="AI25"/>
  <c r="AI67"/>
  <c r="AI55"/>
  <c r="AI98"/>
  <c r="AI70"/>
  <c r="AI39" i="3"/>
  <c r="AI39" i="2" s="1"/>
  <c r="AI40"/>
  <c r="AI21"/>
  <c r="AI20"/>
  <c r="AI199"/>
  <c r="AI86"/>
  <c r="AI29"/>
  <c r="AI10"/>
  <c r="AI5"/>
  <c r="AI8"/>
  <c r="AI85"/>
  <c r="AI59"/>
  <c r="AI45"/>
  <c r="AI153"/>
  <c r="AI92"/>
  <c r="AI154"/>
  <c r="AI49"/>
  <c r="AI3" i="3"/>
  <c r="AI3" i="2" s="1"/>
  <c r="AI4"/>
  <c r="AI15" i="3"/>
  <c r="AI15" i="2" s="1"/>
  <c r="AI16"/>
  <c r="AI11"/>
  <c r="W235"/>
  <c r="W225"/>
  <c r="W215"/>
  <c r="W240"/>
  <c r="W231" i="3"/>
  <c r="W231" i="2" s="1"/>
  <c r="W232"/>
  <c r="W237"/>
  <c r="W227"/>
  <c r="W217"/>
  <c r="W209"/>
  <c r="W242"/>
  <c r="W234"/>
  <c r="W239"/>
  <c r="W229"/>
  <c r="W221"/>
  <c r="W211"/>
  <c r="W236"/>
  <c r="W241"/>
  <c r="W233"/>
  <c r="W238"/>
  <c r="W228"/>
  <c r="W219" i="3"/>
  <c r="W219" i="2" s="1"/>
  <c r="W220"/>
  <c r="W218"/>
  <c r="W210"/>
  <c r="W200"/>
  <c r="W190"/>
  <c r="W214"/>
  <c r="W205"/>
  <c r="W197"/>
  <c r="W187"/>
  <c r="W213"/>
  <c r="W212"/>
  <c r="W199"/>
  <c r="W189"/>
  <c r="W224"/>
  <c r="W201"/>
  <c r="W191"/>
  <c r="W181"/>
  <c r="W223"/>
  <c r="W174"/>
  <c r="W164"/>
  <c r="W154"/>
  <c r="W144"/>
  <c r="W135" i="3"/>
  <c r="W135" i="2" s="1"/>
  <c r="W136"/>
  <c r="W134"/>
  <c r="W204"/>
  <c r="W195" i="3"/>
  <c r="W195" i="2" s="1"/>
  <c r="W196"/>
  <c r="W179"/>
  <c r="W169"/>
  <c r="W161"/>
  <c r="W151"/>
  <c r="W141"/>
  <c r="W131"/>
  <c r="W216"/>
  <c r="W207" i="3"/>
  <c r="W207" i="2" s="1"/>
  <c r="W208"/>
  <c r="W188"/>
  <c r="W182"/>
  <c r="W176"/>
  <c r="W166"/>
  <c r="W156"/>
  <c r="W147" i="3"/>
  <c r="W147" i="2" s="1"/>
  <c r="W148"/>
  <c r="W146"/>
  <c r="W138"/>
  <c r="W128"/>
  <c r="W194"/>
  <c r="W186"/>
  <c r="W175"/>
  <c r="W165"/>
  <c r="W155"/>
  <c r="W145"/>
  <c r="W137"/>
  <c r="W127"/>
  <c r="W143"/>
  <c r="W118"/>
  <c r="W108"/>
  <c r="W99" i="3"/>
  <c r="W99" i="2" s="1"/>
  <c r="W100"/>
  <c r="W98"/>
  <c r="W90"/>
  <c r="W202"/>
  <c r="W198"/>
  <c r="W178"/>
  <c r="W158"/>
  <c r="W150"/>
  <c r="W142"/>
  <c r="W130"/>
  <c r="W126"/>
  <c r="W115"/>
  <c r="W105"/>
  <c r="W95"/>
  <c r="W193"/>
  <c r="W183" i="3"/>
  <c r="W183" i="2" s="1"/>
  <c r="W184"/>
  <c r="W173"/>
  <c r="W153"/>
  <c r="W139"/>
  <c r="W133"/>
  <c r="W125"/>
  <c r="W119"/>
  <c r="W109"/>
  <c r="W101"/>
  <c r="W91"/>
  <c r="W168"/>
  <c r="W162"/>
  <c r="W157"/>
  <c r="W132"/>
  <c r="W96"/>
  <c r="W86"/>
  <c r="W78"/>
  <c r="W68"/>
  <c r="W230"/>
  <c r="W149"/>
  <c r="W140"/>
  <c r="W121"/>
  <c r="W120"/>
  <c r="W110"/>
  <c r="W87" i="3"/>
  <c r="W87" i="2" s="1"/>
  <c r="W88"/>
  <c r="W83"/>
  <c r="W73"/>
  <c r="W65"/>
  <c r="W226"/>
  <c r="W203"/>
  <c r="W180"/>
  <c r="W159" i="3"/>
  <c r="W159" i="2" s="1"/>
  <c r="W160"/>
  <c r="W123" i="3"/>
  <c r="W123" i="2" s="1"/>
  <c r="W124"/>
  <c r="W116"/>
  <c r="W113"/>
  <c r="W81"/>
  <c r="W74"/>
  <c r="W206"/>
  <c r="W122"/>
  <c r="W104"/>
  <c r="W89"/>
  <c r="W79"/>
  <c r="W171" i="3"/>
  <c r="W171" i="2" s="1"/>
  <c r="W172"/>
  <c r="W163"/>
  <c r="W129"/>
  <c r="W107"/>
  <c r="W82"/>
  <c r="W167"/>
  <c r="W80"/>
  <c r="W77"/>
  <c r="W57"/>
  <c r="W47"/>
  <c r="W37"/>
  <c r="W29"/>
  <c r="W19"/>
  <c r="W170"/>
  <c r="W85"/>
  <c r="W192"/>
  <c r="W152"/>
  <c r="W106"/>
  <c r="W94"/>
  <c r="W92"/>
  <c r="W61"/>
  <c r="W56"/>
  <c r="W46"/>
  <c r="W36"/>
  <c r="W27" i="3"/>
  <c r="W27" i="2" s="1"/>
  <c r="W28"/>
  <c r="W26"/>
  <c r="W222"/>
  <c r="W185"/>
  <c r="W75" i="3"/>
  <c r="W75" i="2" s="1"/>
  <c r="W76"/>
  <c r="W72"/>
  <c r="W67"/>
  <c r="W66"/>
  <c r="W62"/>
  <c r="W58"/>
  <c r="W48"/>
  <c r="W39" i="3"/>
  <c r="W39" i="2" s="1"/>
  <c r="W40"/>
  <c r="W38"/>
  <c r="W30"/>
  <c r="W20"/>
  <c r="W70"/>
  <c r="W59"/>
  <c r="W49"/>
  <c r="W17"/>
  <c r="W6"/>
  <c r="W177"/>
  <c r="W103"/>
  <c r="W102"/>
  <c r="W63" i="3"/>
  <c r="W63" i="2" s="1"/>
  <c r="W64"/>
  <c r="W53"/>
  <c r="W43"/>
  <c r="W33"/>
  <c r="W24"/>
  <c r="W14"/>
  <c r="W11"/>
  <c r="W69"/>
  <c r="W51" i="3"/>
  <c r="W51" i="2" s="1"/>
  <c r="W52"/>
  <c r="W42"/>
  <c r="W32"/>
  <c r="W23"/>
  <c r="W10"/>
  <c r="W5"/>
  <c r="W93"/>
  <c r="W55"/>
  <c r="W44"/>
  <c r="W117"/>
  <c r="W54"/>
  <c r="W9"/>
  <c r="W50"/>
  <c r="W21"/>
  <c r="W18"/>
  <c r="W13"/>
  <c r="W12"/>
  <c r="W7"/>
  <c r="W3" i="3"/>
  <c r="W3" i="2" s="1"/>
  <c r="W4"/>
  <c r="W60"/>
  <c r="W31"/>
  <c r="W8"/>
  <c r="W15" i="3"/>
  <c r="W15" i="2" s="1"/>
  <c r="W16"/>
  <c r="W35"/>
  <c r="W25"/>
  <c r="W111" i="3"/>
  <c r="W111" i="2" s="1"/>
  <c r="W112"/>
  <c r="W45"/>
  <c r="W97"/>
  <c r="W114"/>
  <c r="W22"/>
  <c r="W71"/>
  <c r="W34"/>
  <c r="W41"/>
  <c r="W84"/>
  <c r="AF238"/>
  <c r="AF228"/>
  <c r="AF219" i="3"/>
  <c r="AF219" i="2" s="1"/>
  <c r="AF220"/>
  <c r="AF218"/>
  <c r="AF210"/>
  <c r="AF235"/>
  <c r="AF240"/>
  <c r="AF231" i="3"/>
  <c r="AF231" i="2" s="1"/>
  <c r="AF232"/>
  <c r="AF230"/>
  <c r="AF222"/>
  <c r="AF212"/>
  <c r="AF237"/>
  <c r="AF242"/>
  <c r="AF234"/>
  <c r="AF224"/>
  <c r="AF214"/>
  <c r="AF239"/>
  <c r="AF236"/>
  <c r="AF241"/>
  <c r="AF233"/>
  <c r="AF223"/>
  <c r="AF213"/>
  <c r="AF225"/>
  <c r="AF211"/>
  <c r="AF203"/>
  <c r="AF193"/>
  <c r="AF185"/>
  <c r="AF200"/>
  <c r="AF190"/>
  <c r="AF216"/>
  <c r="AF207" i="3"/>
  <c r="AF207" i="2" s="1"/>
  <c r="AF208"/>
  <c r="AF202"/>
  <c r="AF192"/>
  <c r="AF183" i="3"/>
  <c r="AF183" i="2" s="1"/>
  <c r="AF184"/>
  <c r="AF182"/>
  <c r="AF206"/>
  <c r="AF204"/>
  <c r="AF195" i="3"/>
  <c r="AF195" i="2" s="1"/>
  <c r="AF196"/>
  <c r="AF194"/>
  <c r="AF186"/>
  <c r="AF201"/>
  <c r="AF187"/>
  <c r="AF177"/>
  <c r="AF167"/>
  <c r="AF157"/>
  <c r="AF149"/>
  <c r="AF139"/>
  <c r="AF129"/>
  <c r="AF229"/>
  <c r="AF221"/>
  <c r="AF174"/>
  <c r="AF164"/>
  <c r="AF154"/>
  <c r="AF144"/>
  <c r="AF135" i="3"/>
  <c r="AF135" i="2" s="1"/>
  <c r="AF136"/>
  <c r="AF134"/>
  <c r="AF126"/>
  <c r="AF227"/>
  <c r="AF226"/>
  <c r="AF199"/>
  <c r="AF179"/>
  <c r="AF169"/>
  <c r="AF161"/>
  <c r="AF151"/>
  <c r="AF141"/>
  <c r="AF131"/>
  <c r="AF178"/>
  <c r="AF168"/>
  <c r="AF159" i="3"/>
  <c r="AF159" i="2" s="1"/>
  <c r="AF160"/>
  <c r="AF158"/>
  <c r="AF150"/>
  <c r="AF140"/>
  <c r="AF130"/>
  <c r="AF181"/>
  <c r="AF170"/>
  <c r="AF162"/>
  <c r="AF121"/>
  <c r="AF113"/>
  <c r="AF103"/>
  <c r="AF93"/>
  <c r="AF146"/>
  <c r="AF138"/>
  <c r="AF118"/>
  <c r="AF108"/>
  <c r="AF99" i="3"/>
  <c r="AF99" i="2" s="1"/>
  <c r="AF100"/>
  <c r="AF98"/>
  <c r="AF217"/>
  <c r="AF143"/>
  <c r="AF123" i="3"/>
  <c r="AF123" i="2" s="1"/>
  <c r="AF124"/>
  <c r="AF122"/>
  <c r="AF114"/>
  <c r="AF104"/>
  <c r="AF94"/>
  <c r="AF198"/>
  <c r="AF163"/>
  <c r="AF137"/>
  <c r="AF119"/>
  <c r="AF109"/>
  <c r="AF87" i="3"/>
  <c r="AF87" i="2" s="1"/>
  <c r="AF88"/>
  <c r="AF81"/>
  <c r="AF71"/>
  <c r="AF61"/>
  <c r="AF175"/>
  <c r="AF173"/>
  <c r="AF91"/>
  <c r="AF86"/>
  <c r="AF78"/>
  <c r="AF68"/>
  <c r="AF215"/>
  <c r="AF166"/>
  <c r="AF155"/>
  <c r="AF153"/>
  <c r="AF125"/>
  <c r="AF171" i="3"/>
  <c r="AF171" i="2" s="1"/>
  <c r="AF172"/>
  <c r="AF156"/>
  <c r="AF142"/>
  <c r="AF107"/>
  <c r="AF84"/>
  <c r="AF80"/>
  <c r="AF75" i="3"/>
  <c r="AF75" i="2" s="1"/>
  <c r="AF76"/>
  <c r="AF73"/>
  <c r="AF147" i="3"/>
  <c r="AF147" i="2" s="1"/>
  <c r="AF148"/>
  <c r="AF127"/>
  <c r="AF116"/>
  <c r="AF115"/>
  <c r="AF209"/>
  <c r="AF152"/>
  <c r="AF145"/>
  <c r="AF102"/>
  <c r="AF97"/>
  <c r="AF96"/>
  <c r="AF95"/>
  <c r="AF67"/>
  <c r="AF189"/>
  <c r="AF165"/>
  <c r="AF120"/>
  <c r="AF117"/>
  <c r="AF111" i="3"/>
  <c r="AF111" i="2" s="1"/>
  <c r="AF112"/>
  <c r="AF89"/>
  <c r="AF79"/>
  <c r="AF74"/>
  <c r="AF51" i="3"/>
  <c r="AF51" i="2" s="1"/>
  <c r="AF52"/>
  <c r="AF50"/>
  <c r="AF42"/>
  <c r="AF32"/>
  <c r="AF22"/>
  <c r="AF12"/>
  <c r="AF90"/>
  <c r="AF180"/>
  <c r="AF110"/>
  <c r="AF66"/>
  <c r="AF62"/>
  <c r="AF60"/>
  <c r="AF59"/>
  <c r="AF49"/>
  <c r="AF41"/>
  <c r="AF31"/>
  <c r="AF21"/>
  <c r="AF106"/>
  <c r="AF92"/>
  <c r="AF85"/>
  <c r="AF53"/>
  <c r="AF43"/>
  <c r="AF33"/>
  <c r="AF23"/>
  <c r="AF205"/>
  <c r="AF82"/>
  <c r="AF17"/>
  <c r="AF9"/>
  <c r="AF56"/>
  <c r="AF46"/>
  <c r="AF36"/>
  <c r="AF19"/>
  <c r="AF14"/>
  <c r="AF11"/>
  <c r="AF6"/>
  <c r="AF191"/>
  <c r="AF188"/>
  <c r="AF128"/>
  <c r="AF77"/>
  <c r="AF72"/>
  <c r="AF70"/>
  <c r="AF65"/>
  <c r="AF55"/>
  <c r="AF45"/>
  <c r="AF35"/>
  <c r="AF29"/>
  <c r="AF26"/>
  <c r="AF10"/>
  <c r="AF8"/>
  <c r="AF25"/>
  <c r="AF18"/>
  <c r="AF13"/>
  <c r="AF132"/>
  <c r="AF101"/>
  <c r="AF39" i="3"/>
  <c r="AF39" i="2" s="1"/>
  <c r="AF40"/>
  <c r="AF34"/>
  <c r="AF24"/>
  <c r="AF7"/>
  <c r="AF133"/>
  <c r="AF63" i="3"/>
  <c r="AF63" i="2" s="1"/>
  <c r="AF64"/>
  <c r="AF44"/>
  <c r="AF5"/>
  <c r="AF83"/>
  <c r="AF54"/>
  <c r="AF197"/>
  <c r="AF105"/>
  <c r="AF20"/>
  <c r="AF69"/>
  <c r="AF3" i="3"/>
  <c r="AF3" i="2" s="1"/>
  <c r="AF4"/>
  <c r="AF38"/>
  <c r="AF15" i="3"/>
  <c r="AF15" i="2" s="1"/>
  <c r="AF16"/>
  <c r="AF176"/>
  <c r="AF58"/>
  <c r="AF57"/>
  <c r="AF37"/>
  <c r="AF30"/>
  <c r="AF47"/>
  <c r="AF27" i="3"/>
  <c r="AF27" i="2" s="1"/>
  <c r="AF28"/>
  <c r="AF48"/>
  <c r="BG239"/>
  <c r="BG229"/>
  <c r="BG221"/>
  <c r="BG211"/>
  <c r="BG236"/>
  <c r="BG241"/>
  <c r="BG233"/>
  <c r="BG223"/>
  <c r="BG213"/>
  <c r="BG238"/>
  <c r="BG235"/>
  <c r="BG225"/>
  <c r="BG215"/>
  <c r="BG205"/>
  <c r="BG240"/>
  <c r="BG231" i="3"/>
  <c r="BG231" i="2" s="1"/>
  <c r="BG232"/>
  <c r="BG237"/>
  <c r="BG242"/>
  <c r="BG234"/>
  <c r="BG224"/>
  <c r="BG214"/>
  <c r="BG217"/>
  <c r="BG216"/>
  <c r="BG209"/>
  <c r="BG207" i="3"/>
  <c r="BG207" i="2" s="1"/>
  <c r="BG208"/>
  <c r="BG204"/>
  <c r="BG195" i="3"/>
  <c r="BG195" i="2" s="1"/>
  <c r="BG196"/>
  <c r="BG194"/>
  <c r="BG186"/>
  <c r="BG230"/>
  <c r="BG222"/>
  <c r="BG201"/>
  <c r="BG191"/>
  <c r="BG181"/>
  <c r="BG203"/>
  <c r="BG193"/>
  <c r="BG185"/>
  <c r="BG212"/>
  <c r="BG206"/>
  <c r="BG197"/>
  <c r="BG187"/>
  <c r="BG228"/>
  <c r="BG226"/>
  <c r="BG219" i="3"/>
  <c r="BG219" i="2" s="1"/>
  <c r="BG220"/>
  <c r="BG199"/>
  <c r="BG198"/>
  <c r="BG178"/>
  <c r="BG168"/>
  <c r="BG159" i="3"/>
  <c r="BG159" i="2" s="1"/>
  <c r="BG160"/>
  <c r="BG158"/>
  <c r="BG150"/>
  <c r="BG140"/>
  <c r="BG130"/>
  <c r="BG227"/>
  <c r="BG192"/>
  <c r="BG183" i="3"/>
  <c r="BG183" i="2" s="1"/>
  <c r="BG184"/>
  <c r="BG175"/>
  <c r="BG165"/>
  <c r="BG155"/>
  <c r="BG145"/>
  <c r="BG137"/>
  <c r="BG127"/>
  <c r="BG190"/>
  <c r="BG171" i="3"/>
  <c r="BG171" i="2" s="1"/>
  <c r="BG172"/>
  <c r="BG170"/>
  <c r="BG162"/>
  <c r="BG152"/>
  <c r="BG142"/>
  <c r="BG132"/>
  <c r="BG202"/>
  <c r="BG180"/>
  <c r="BG179"/>
  <c r="BG169"/>
  <c r="BG161"/>
  <c r="BG151"/>
  <c r="BG141"/>
  <c r="BG131"/>
  <c r="BG173"/>
  <c r="BG167"/>
  <c r="BG153"/>
  <c r="BG133"/>
  <c r="BG125"/>
  <c r="BG123" i="3"/>
  <c r="BG123" i="2" s="1"/>
  <c r="BG124"/>
  <c r="BG122"/>
  <c r="BG114"/>
  <c r="BG104"/>
  <c r="BG94"/>
  <c r="BG218"/>
  <c r="BG200"/>
  <c r="BG166"/>
  <c r="BG144"/>
  <c r="BG135" i="3"/>
  <c r="BG135" i="2" s="1"/>
  <c r="BG136"/>
  <c r="BG119"/>
  <c r="BG109"/>
  <c r="BG101"/>
  <c r="BG188"/>
  <c r="BG163"/>
  <c r="BG115"/>
  <c r="BG105"/>
  <c r="BG95"/>
  <c r="BG147" i="3"/>
  <c r="BG147" i="2" s="1"/>
  <c r="BG148"/>
  <c r="BG139"/>
  <c r="BG129"/>
  <c r="BG126"/>
  <c r="BG120"/>
  <c r="BG110"/>
  <c r="BG90"/>
  <c r="BG82"/>
  <c r="BG72"/>
  <c r="BG63" i="3"/>
  <c r="BG63" i="2" s="1"/>
  <c r="BG64"/>
  <c r="BG62"/>
  <c r="BG146"/>
  <c r="BG79"/>
  <c r="BG69"/>
  <c r="BG59"/>
  <c r="BG177"/>
  <c r="BG134"/>
  <c r="BG89"/>
  <c r="BG189"/>
  <c r="BG176"/>
  <c r="BG102"/>
  <c r="BG99" i="3"/>
  <c r="BG99" i="2" s="1"/>
  <c r="BG100"/>
  <c r="BG98"/>
  <c r="BG97"/>
  <c r="BG78"/>
  <c r="BG154"/>
  <c r="BG143"/>
  <c r="BG138"/>
  <c r="BG108"/>
  <c r="BG107"/>
  <c r="BG85"/>
  <c r="BG84"/>
  <c r="BG77"/>
  <c r="BG116"/>
  <c r="BG113"/>
  <c r="BG92"/>
  <c r="BG87" i="3"/>
  <c r="BG87" i="2" s="1"/>
  <c r="BG88"/>
  <c r="BG80"/>
  <c r="BG73"/>
  <c r="BG65"/>
  <c r="BG182"/>
  <c r="BG149"/>
  <c r="BG60"/>
  <c r="BG53"/>
  <c r="BG43"/>
  <c r="BG33"/>
  <c r="BG23"/>
  <c r="BG13"/>
  <c r="BG75" i="3"/>
  <c r="BG75" i="2" s="1"/>
  <c r="BG76"/>
  <c r="BG210"/>
  <c r="BG157"/>
  <c r="BG156"/>
  <c r="BG106"/>
  <c r="BG96"/>
  <c r="BG51" i="3"/>
  <c r="BG51" i="2" s="1"/>
  <c r="BG52"/>
  <c r="BG50"/>
  <c r="BG42"/>
  <c r="BG32"/>
  <c r="BG22"/>
  <c r="BG68"/>
  <c r="BG54"/>
  <c r="BG44"/>
  <c r="BG34"/>
  <c r="BG24"/>
  <c r="BG57"/>
  <c r="BG47"/>
  <c r="BG37"/>
  <c r="BG164"/>
  <c r="BG93"/>
  <c r="BG91"/>
  <c r="BG71"/>
  <c r="BG66"/>
  <c r="BG14"/>
  <c r="BG11"/>
  <c r="BG7"/>
  <c r="BG86"/>
  <c r="BG39" i="3"/>
  <c r="BG39" i="2" s="1"/>
  <c r="BG40"/>
  <c r="BG30"/>
  <c r="BG9"/>
  <c r="BG74"/>
  <c r="BG58"/>
  <c r="BG29"/>
  <c r="BG21"/>
  <c r="BG20"/>
  <c r="BG70"/>
  <c r="BG27" i="3"/>
  <c r="BG27" i="2" s="1"/>
  <c r="BG28"/>
  <c r="BG10"/>
  <c r="BG8"/>
  <c r="BG128"/>
  <c r="BG35"/>
  <c r="BG31"/>
  <c r="BG25"/>
  <c r="BG15" i="3"/>
  <c r="BG15" i="2" s="1"/>
  <c r="BG16"/>
  <c r="BG19"/>
  <c r="BG174"/>
  <c r="BG117"/>
  <c r="BG83"/>
  <c r="BG46"/>
  <c r="BG81"/>
  <c r="BG36"/>
  <c r="BG3" i="3"/>
  <c r="BG3" i="2" s="1"/>
  <c r="BG4"/>
  <c r="BG61"/>
  <c r="BG48"/>
  <c r="BG41"/>
  <c r="BG26"/>
  <c r="BG121"/>
  <c r="BG118"/>
  <c r="BG49"/>
  <c r="BG38"/>
  <c r="BG17"/>
  <c r="BG18"/>
  <c r="BG45"/>
  <c r="BG67"/>
  <c r="BG12"/>
  <c r="BG6"/>
  <c r="BG56"/>
  <c r="BG5"/>
  <c r="BG111" i="3"/>
  <c r="BG111" i="2" s="1"/>
  <c r="BG112"/>
  <c r="BG103"/>
  <c r="BG55"/>
  <c r="BD238"/>
  <c r="BD228"/>
  <c r="BD219" i="3"/>
  <c r="BD219" i="2" s="1"/>
  <c r="BD220"/>
  <c r="BD218"/>
  <c r="BD210"/>
  <c r="BD235"/>
  <c r="BD240"/>
  <c r="BD231" i="3"/>
  <c r="BD231" i="2" s="1"/>
  <c r="BD232"/>
  <c r="BD230"/>
  <c r="BD222"/>
  <c r="BD212"/>
  <c r="BD237"/>
  <c r="BD242"/>
  <c r="BD234"/>
  <c r="BD224"/>
  <c r="BD214"/>
  <c r="BD239"/>
  <c r="BD236"/>
  <c r="BD241"/>
  <c r="BD233"/>
  <c r="BD223"/>
  <c r="BD213"/>
  <c r="BD229"/>
  <c r="BD221"/>
  <c r="BD215"/>
  <c r="BD203"/>
  <c r="BD193"/>
  <c r="BD185"/>
  <c r="BD200"/>
  <c r="BD190"/>
  <c r="BD180"/>
  <c r="BD226"/>
  <c r="BD202"/>
  <c r="BD192"/>
  <c r="BD183" i="3"/>
  <c r="BD183" i="2" s="1"/>
  <c r="BD184"/>
  <c r="BD182"/>
  <c r="BD204"/>
  <c r="BD195" i="3"/>
  <c r="BD195" i="2" s="1"/>
  <c r="BD196"/>
  <c r="BD194"/>
  <c r="BD186"/>
  <c r="BD227"/>
  <c r="BD197"/>
  <c r="BD191"/>
  <c r="BD177"/>
  <c r="BD167"/>
  <c r="BD157"/>
  <c r="BD149"/>
  <c r="BD139"/>
  <c r="BD129"/>
  <c r="BD174"/>
  <c r="BD164"/>
  <c r="BD154"/>
  <c r="BD144"/>
  <c r="BD135" i="3"/>
  <c r="BD135" i="2" s="1"/>
  <c r="BD136"/>
  <c r="BD134"/>
  <c r="BD126"/>
  <c r="BD217"/>
  <c r="BD211"/>
  <c r="BD209"/>
  <c r="BD205"/>
  <c r="BD189"/>
  <c r="BD179"/>
  <c r="BD169"/>
  <c r="BD161"/>
  <c r="BD151"/>
  <c r="BD141"/>
  <c r="BD131"/>
  <c r="BD206"/>
  <c r="BD178"/>
  <c r="BD168"/>
  <c r="BD159" i="3"/>
  <c r="BD159" i="2" s="1"/>
  <c r="BD160"/>
  <c r="BD158"/>
  <c r="BD150"/>
  <c r="BD140"/>
  <c r="BD130"/>
  <c r="BD165"/>
  <c r="BD121"/>
  <c r="BD113"/>
  <c r="BD103"/>
  <c r="BD93"/>
  <c r="BD207" i="3"/>
  <c r="BD207" i="2" s="1"/>
  <c r="BD208"/>
  <c r="BD201"/>
  <c r="BD199"/>
  <c r="BD143"/>
  <c r="BD118"/>
  <c r="BD108"/>
  <c r="BD99" i="3"/>
  <c r="BD99" i="2" s="1"/>
  <c r="BD100"/>
  <c r="BD98"/>
  <c r="BD225"/>
  <c r="BD181"/>
  <c r="BD146"/>
  <c r="BD138"/>
  <c r="BD123" i="3"/>
  <c r="BD123" i="2" s="1"/>
  <c r="BD124"/>
  <c r="BD122"/>
  <c r="BD114"/>
  <c r="BD104"/>
  <c r="BD94"/>
  <c r="BD175"/>
  <c r="BD137"/>
  <c r="BD89"/>
  <c r="BD81"/>
  <c r="BD71"/>
  <c r="BD61"/>
  <c r="BD173"/>
  <c r="BD170"/>
  <c r="BD155"/>
  <c r="BD86"/>
  <c r="BD78"/>
  <c r="BD68"/>
  <c r="BD166"/>
  <c r="BD153"/>
  <c r="BD142"/>
  <c r="BD128"/>
  <c r="BD111" i="3"/>
  <c r="BD111" i="2" s="1"/>
  <c r="BD112"/>
  <c r="BD102"/>
  <c r="BD87" i="3"/>
  <c r="BD87" i="2" s="1"/>
  <c r="BD88"/>
  <c r="BD125"/>
  <c r="BD106"/>
  <c r="BD105"/>
  <c r="BD85"/>
  <c r="BD77"/>
  <c r="BD216"/>
  <c r="BD110"/>
  <c r="BD109"/>
  <c r="BD92"/>
  <c r="BD83"/>
  <c r="BD171" i="3"/>
  <c r="BD171" i="2" s="1"/>
  <c r="BD172"/>
  <c r="BD163"/>
  <c r="BD117"/>
  <c r="BD101"/>
  <c r="BD72"/>
  <c r="BD63" i="3"/>
  <c r="BD63" i="2" s="1"/>
  <c r="BD64"/>
  <c r="BD198"/>
  <c r="BD187"/>
  <c r="BD152"/>
  <c r="BD147" i="3"/>
  <c r="BD147" i="2" s="1"/>
  <c r="BD148"/>
  <c r="BD90"/>
  <c r="BD80"/>
  <c r="BD75" i="3"/>
  <c r="BD75" i="2" s="1"/>
  <c r="BD76"/>
  <c r="BD51" i="3"/>
  <c r="BD51" i="2" s="1"/>
  <c r="BD52"/>
  <c r="BD50"/>
  <c r="BD42"/>
  <c r="BD32"/>
  <c r="BD22"/>
  <c r="BD12"/>
  <c r="BD145"/>
  <c r="BD97"/>
  <c r="BD82"/>
  <c r="BD95"/>
  <c r="BD91"/>
  <c r="BD79"/>
  <c r="BD67"/>
  <c r="BD66"/>
  <c r="BD62"/>
  <c r="BD49"/>
  <c r="BD41"/>
  <c r="BD31"/>
  <c r="BD21"/>
  <c r="BD116"/>
  <c r="BD115"/>
  <c r="BD74"/>
  <c r="BD60"/>
  <c r="BD53"/>
  <c r="BD43"/>
  <c r="BD33"/>
  <c r="BD23"/>
  <c r="BD162"/>
  <c r="BD127"/>
  <c r="BD96"/>
  <c r="BD56"/>
  <c r="BD46"/>
  <c r="BD36"/>
  <c r="BD10"/>
  <c r="BD9"/>
  <c r="BD132"/>
  <c r="BD39" i="3"/>
  <c r="BD39" i="2" s="1"/>
  <c r="BD40"/>
  <c r="BD30"/>
  <c r="BD13"/>
  <c r="BD6"/>
  <c r="BD119"/>
  <c r="BD73"/>
  <c r="BD70"/>
  <c r="BD65"/>
  <c r="BD20"/>
  <c r="BD19"/>
  <c r="BD8"/>
  <c r="BD7"/>
  <c r="BD107"/>
  <c r="BD26"/>
  <c r="BD25"/>
  <c r="BD69"/>
  <c r="BD38"/>
  <c r="BD37"/>
  <c r="BD11"/>
  <c r="BD156"/>
  <c r="BD120"/>
  <c r="BD45"/>
  <c r="BD44"/>
  <c r="BD57"/>
  <c r="BD35"/>
  <c r="BD14"/>
  <c r="BD48"/>
  <c r="BD34"/>
  <c r="BD29"/>
  <c r="BD27" i="3"/>
  <c r="BD27" i="2" s="1"/>
  <c r="BD28"/>
  <c r="BD188"/>
  <c r="BD24"/>
  <c r="BD3" i="3"/>
  <c r="BD3" i="2" s="1"/>
  <c r="BD4"/>
  <c r="BD176"/>
  <c r="BD54"/>
  <c r="BD17"/>
  <c r="BD133"/>
  <c r="BD18"/>
  <c r="BD15" i="3"/>
  <c r="BD15" i="2" s="1"/>
  <c r="BD16"/>
  <c r="BD84"/>
  <c r="BD59"/>
  <c r="BD47"/>
  <c r="BD58"/>
  <c r="BD5"/>
  <c r="BD55"/>
  <c r="L242"/>
  <c r="L234"/>
  <c r="L224"/>
  <c r="L214"/>
  <c r="L239"/>
  <c r="L236"/>
  <c r="L226"/>
  <c r="L216"/>
  <c r="L207" i="3"/>
  <c r="L207" i="2" s="1"/>
  <c r="L208"/>
  <c r="L206"/>
  <c r="L241"/>
  <c r="L233"/>
  <c r="L238"/>
  <c r="L228"/>
  <c r="L219" i="3"/>
  <c r="L219" i="2" s="1"/>
  <c r="L220"/>
  <c r="L218"/>
  <c r="L210"/>
  <c r="L235"/>
  <c r="L240"/>
  <c r="L231" i="3"/>
  <c r="L231" i="2" s="1"/>
  <c r="L232"/>
  <c r="L237"/>
  <c r="L227"/>
  <c r="L217"/>
  <c r="L209"/>
  <c r="L199"/>
  <c r="L189"/>
  <c r="L223"/>
  <c r="L204"/>
  <c r="L195" i="3"/>
  <c r="L195" i="2" s="1"/>
  <c r="L196"/>
  <c r="L194"/>
  <c r="L186"/>
  <c r="L198"/>
  <c r="L188"/>
  <c r="L213"/>
  <c r="L200"/>
  <c r="L190"/>
  <c r="L173"/>
  <c r="L163"/>
  <c r="L153"/>
  <c r="L143"/>
  <c r="L133"/>
  <c r="L193"/>
  <c r="L185"/>
  <c r="L178"/>
  <c r="L168"/>
  <c r="L159" i="3"/>
  <c r="L159" i="2" s="1"/>
  <c r="L160"/>
  <c r="L158"/>
  <c r="L150"/>
  <c r="L140"/>
  <c r="L130"/>
  <c r="L205"/>
  <c r="L197"/>
  <c r="L192"/>
  <c r="L191"/>
  <c r="L183" i="3"/>
  <c r="L183" i="2" s="1"/>
  <c r="L184"/>
  <c r="L175"/>
  <c r="L165"/>
  <c r="L155"/>
  <c r="L145"/>
  <c r="L137"/>
  <c r="L127"/>
  <c r="L203"/>
  <c r="L182"/>
  <c r="L181"/>
  <c r="L174"/>
  <c r="L164"/>
  <c r="L154"/>
  <c r="L144"/>
  <c r="L135" i="3"/>
  <c r="L135" i="2" s="1"/>
  <c r="L136"/>
  <c r="L134"/>
  <c r="L126"/>
  <c r="L212"/>
  <c r="L180"/>
  <c r="L171" i="3"/>
  <c r="L171" i="2" s="1"/>
  <c r="L172"/>
  <c r="L152"/>
  <c r="L146"/>
  <c r="L138"/>
  <c r="L132"/>
  <c r="L117"/>
  <c r="L107"/>
  <c r="L97"/>
  <c r="L89"/>
  <c r="L229"/>
  <c r="L215"/>
  <c r="L187"/>
  <c r="L167"/>
  <c r="L123" i="3"/>
  <c r="L123" i="2" s="1"/>
  <c r="L124"/>
  <c r="L122"/>
  <c r="L114"/>
  <c r="L104"/>
  <c r="L94"/>
  <c r="L176"/>
  <c r="L170"/>
  <c r="L162"/>
  <c r="L156"/>
  <c r="L147" i="3"/>
  <c r="L147" i="2" s="1"/>
  <c r="L148"/>
  <c r="L141"/>
  <c r="L128"/>
  <c r="L125"/>
  <c r="L118"/>
  <c r="L108"/>
  <c r="L99" i="3"/>
  <c r="L99" i="2" s="1"/>
  <c r="L100"/>
  <c r="L98"/>
  <c r="L90"/>
  <c r="L169"/>
  <c r="L131"/>
  <c r="L116"/>
  <c r="L106"/>
  <c r="L92"/>
  <c r="L85"/>
  <c r="L77"/>
  <c r="L67"/>
  <c r="L96"/>
  <c r="L87" i="3"/>
  <c r="L87" i="2" s="1"/>
  <c r="L88"/>
  <c r="L82"/>
  <c r="L72"/>
  <c r="L63" i="3"/>
  <c r="L63" i="2" s="1"/>
  <c r="L64"/>
  <c r="L62"/>
  <c r="L222"/>
  <c r="L211"/>
  <c r="L179"/>
  <c r="L161"/>
  <c r="L139"/>
  <c r="L129"/>
  <c r="L121"/>
  <c r="L115"/>
  <c r="L105"/>
  <c r="L91"/>
  <c r="L109"/>
  <c r="L103"/>
  <c r="L84"/>
  <c r="L75" i="3"/>
  <c r="L75" i="2" s="1"/>
  <c r="L76"/>
  <c r="L151"/>
  <c r="L111" i="3"/>
  <c r="L111" i="2" s="1"/>
  <c r="L112"/>
  <c r="L83"/>
  <c r="L221"/>
  <c r="L120"/>
  <c r="L101"/>
  <c r="L93"/>
  <c r="L86"/>
  <c r="L78"/>
  <c r="L177"/>
  <c r="L95"/>
  <c r="L81"/>
  <c r="L70"/>
  <c r="L56"/>
  <c r="L46"/>
  <c r="L36"/>
  <c r="L27" i="3"/>
  <c r="L27" i="2" s="1"/>
  <c r="L28"/>
  <c r="L26"/>
  <c r="L18"/>
  <c r="L149"/>
  <c r="L55"/>
  <c r="L45"/>
  <c r="L35"/>
  <c r="L25"/>
  <c r="L230"/>
  <c r="L166"/>
  <c r="L113"/>
  <c r="L110"/>
  <c r="L66"/>
  <c r="L60"/>
  <c r="L57"/>
  <c r="L47"/>
  <c r="L37"/>
  <c r="L29"/>
  <c r="L202"/>
  <c r="L102"/>
  <c r="L61"/>
  <c r="L54"/>
  <c r="L50"/>
  <c r="L44"/>
  <c r="L34"/>
  <c r="L20"/>
  <c r="L14"/>
  <c r="L11"/>
  <c r="L5"/>
  <c r="L74"/>
  <c r="L59"/>
  <c r="L49"/>
  <c r="L19"/>
  <c r="L15" i="3"/>
  <c r="L15" i="2" s="1"/>
  <c r="L16"/>
  <c r="L10"/>
  <c r="L225"/>
  <c r="L142"/>
  <c r="L3" i="3"/>
  <c r="L3" i="2" s="1"/>
  <c r="L4"/>
  <c r="L201"/>
  <c r="L30"/>
  <c r="L24"/>
  <c r="L23"/>
  <c r="L22"/>
  <c r="L80"/>
  <c r="L33"/>
  <c r="L32"/>
  <c r="L31"/>
  <c r="L9"/>
  <c r="L43"/>
  <c r="L42"/>
  <c r="L41"/>
  <c r="L69"/>
  <c r="L38"/>
  <c r="L119"/>
  <c r="L71"/>
  <c r="L58"/>
  <c r="L12"/>
  <c r="L79"/>
  <c r="L53"/>
  <c r="L17"/>
  <c r="L8"/>
  <c r="L73"/>
  <c r="L68"/>
  <c r="L157"/>
  <c r="L65"/>
  <c r="L39" i="3"/>
  <c r="L39" i="2" s="1"/>
  <c r="L40"/>
  <c r="L21"/>
  <c r="L7"/>
  <c r="L51" i="3"/>
  <c r="L51" i="2" s="1"/>
  <c r="L52"/>
  <c r="L48"/>
  <c r="L6"/>
  <c r="L13"/>
  <c r="J236"/>
  <c r="J226"/>
  <c r="J216"/>
  <c r="J207" i="3"/>
  <c r="J207" i="2" s="1"/>
  <c r="J208"/>
  <c r="J206"/>
  <c r="J241"/>
  <c r="J233"/>
  <c r="J238"/>
  <c r="J228"/>
  <c r="J219" i="3"/>
  <c r="J219" i="2" s="1"/>
  <c r="J220"/>
  <c r="J218"/>
  <c r="J210"/>
  <c r="J235"/>
  <c r="J240"/>
  <c r="J231" i="3"/>
  <c r="J231" i="2" s="1"/>
  <c r="J232"/>
  <c r="J230"/>
  <c r="J222"/>
  <c r="J212"/>
  <c r="J237"/>
  <c r="J242"/>
  <c r="J234"/>
  <c r="J239"/>
  <c r="J229"/>
  <c r="J221"/>
  <c r="J211"/>
  <c r="J223"/>
  <c r="J201"/>
  <c r="J191"/>
  <c r="J181"/>
  <c r="J215"/>
  <c r="J198"/>
  <c r="J188"/>
  <c r="J227"/>
  <c r="J214"/>
  <c r="J200"/>
  <c r="J190"/>
  <c r="J225"/>
  <c r="J202"/>
  <c r="J192"/>
  <c r="J183" i="3"/>
  <c r="J183" i="2" s="1"/>
  <c r="J184"/>
  <c r="J182"/>
  <c r="J193"/>
  <c r="J185"/>
  <c r="J175"/>
  <c r="J165"/>
  <c r="J155"/>
  <c r="J145"/>
  <c r="J137"/>
  <c r="J205"/>
  <c r="J197"/>
  <c r="J180"/>
  <c r="J171" i="3"/>
  <c r="J171" i="2" s="1"/>
  <c r="J172"/>
  <c r="J170"/>
  <c r="J162"/>
  <c r="J152"/>
  <c r="J142"/>
  <c r="J132"/>
  <c r="J177"/>
  <c r="J167"/>
  <c r="J157"/>
  <c r="J149"/>
  <c r="J139"/>
  <c r="J129"/>
  <c r="J187"/>
  <c r="J176"/>
  <c r="J166"/>
  <c r="J156"/>
  <c r="J147" i="3"/>
  <c r="J147" i="2" s="1"/>
  <c r="J148"/>
  <c r="J146"/>
  <c r="J138"/>
  <c r="J128"/>
  <c r="J168"/>
  <c r="J159" i="3"/>
  <c r="J159" i="2" s="1"/>
  <c r="J160"/>
  <c r="J144"/>
  <c r="J135" i="3"/>
  <c r="J135" i="2" s="1"/>
  <c r="J136"/>
  <c r="J126"/>
  <c r="J119"/>
  <c r="J109"/>
  <c r="J101"/>
  <c r="J91"/>
  <c r="J213"/>
  <c r="J194"/>
  <c r="J189"/>
  <c r="J179"/>
  <c r="J151"/>
  <c r="J131"/>
  <c r="J116"/>
  <c r="J106"/>
  <c r="J96"/>
  <c r="J209"/>
  <c r="J174"/>
  <c r="J154"/>
  <c r="J134"/>
  <c r="J120"/>
  <c r="J111" i="3"/>
  <c r="J111" i="2" s="1"/>
  <c r="J112"/>
  <c r="J110"/>
  <c r="J102"/>
  <c r="J92"/>
  <c r="J195" i="3"/>
  <c r="J195" i="2" s="1"/>
  <c r="J196"/>
  <c r="J158"/>
  <c r="J141"/>
  <c r="J133"/>
  <c r="J121"/>
  <c r="J99" i="3"/>
  <c r="J99" i="2" s="1"/>
  <c r="J100"/>
  <c r="J79"/>
  <c r="J69"/>
  <c r="J203"/>
  <c r="J163"/>
  <c r="J161"/>
  <c r="J150"/>
  <c r="J115"/>
  <c r="J105"/>
  <c r="J84"/>
  <c r="J75" i="3"/>
  <c r="J75" i="2" s="1"/>
  <c r="J76"/>
  <c r="J74"/>
  <c r="J66"/>
  <c r="J123" i="3"/>
  <c r="J123" i="2" s="1"/>
  <c r="J124"/>
  <c r="J95"/>
  <c r="J173"/>
  <c r="J169"/>
  <c r="J108"/>
  <c r="J107"/>
  <c r="J90"/>
  <c r="J80"/>
  <c r="J73"/>
  <c r="J140"/>
  <c r="J125"/>
  <c r="J93"/>
  <c r="J86"/>
  <c r="J78"/>
  <c r="J199"/>
  <c r="J153"/>
  <c r="J98"/>
  <c r="J97"/>
  <c r="J81"/>
  <c r="J67"/>
  <c r="J204"/>
  <c r="J186"/>
  <c r="J178"/>
  <c r="J104"/>
  <c r="J103"/>
  <c r="J94"/>
  <c r="J83"/>
  <c r="J61"/>
  <c r="J58"/>
  <c r="J48"/>
  <c r="J39" i="3"/>
  <c r="J39" i="2" s="1"/>
  <c r="J40"/>
  <c r="J38"/>
  <c r="J30"/>
  <c r="J20"/>
  <c r="J130"/>
  <c r="J89"/>
  <c r="J77"/>
  <c r="J224"/>
  <c r="J143"/>
  <c r="J117"/>
  <c r="J114"/>
  <c r="J85"/>
  <c r="J60"/>
  <c r="J57"/>
  <c r="J47"/>
  <c r="J37"/>
  <c r="J29"/>
  <c r="J127"/>
  <c r="J68"/>
  <c r="J62"/>
  <c r="J59"/>
  <c r="J49"/>
  <c r="J41"/>
  <c r="J31"/>
  <c r="J21"/>
  <c r="J122"/>
  <c r="J7"/>
  <c r="J113"/>
  <c r="J71"/>
  <c r="J53"/>
  <c r="J43"/>
  <c r="J33"/>
  <c r="J24"/>
  <c r="J13"/>
  <c r="J3" i="3"/>
  <c r="J3" i="2" s="1"/>
  <c r="J4"/>
  <c r="J82"/>
  <c r="J56"/>
  <c r="J51" i="3"/>
  <c r="J51" i="2" s="1"/>
  <c r="J52"/>
  <c r="J46"/>
  <c r="J42"/>
  <c r="J36"/>
  <c r="J32"/>
  <c r="J23"/>
  <c r="J12"/>
  <c r="J6"/>
  <c r="J35"/>
  <c r="J25"/>
  <c r="J9"/>
  <c r="J217"/>
  <c r="J72"/>
  <c r="J34"/>
  <c r="J15" i="3"/>
  <c r="J15" i="2" s="1"/>
  <c r="J16"/>
  <c r="J55"/>
  <c r="J44"/>
  <c r="J70"/>
  <c r="J50"/>
  <c r="J63" i="3"/>
  <c r="J63" i="2" s="1"/>
  <c r="J64"/>
  <c r="J26"/>
  <c r="J164"/>
  <c r="J65"/>
  <c r="J54"/>
  <c r="J11"/>
  <c r="J5"/>
  <c r="J118"/>
  <c r="J22"/>
  <c r="J14"/>
  <c r="J87" i="3"/>
  <c r="J87" i="2" s="1"/>
  <c r="J88"/>
  <c r="J19"/>
  <c r="J17"/>
  <c r="J10"/>
  <c r="J8"/>
  <c r="J45"/>
  <c r="J27" i="3"/>
  <c r="J27" i="2" s="1"/>
  <c r="J28"/>
  <c r="J18"/>
  <c r="O235"/>
  <c r="O225"/>
  <c r="O215"/>
  <c r="O240"/>
  <c r="O231" i="3"/>
  <c r="O231" i="2" s="1"/>
  <c r="O232"/>
  <c r="O237"/>
  <c r="O227"/>
  <c r="O217"/>
  <c r="O209"/>
  <c r="O242"/>
  <c r="O234"/>
  <c r="O239"/>
  <c r="O229"/>
  <c r="O221"/>
  <c r="O211"/>
  <c r="O236"/>
  <c r="O241"/>
  <c r="O233"/>
  <c r="O238"/>
  <c r="O228"/>
  <c r="O219" i="3"/>
  <c r="O219" i="2" s="1"/>
  <c r="O220"/>
  <c r="O218"/>
  <c r="O210"/>
  <c r="O200"/>
  <c r="O190"/>
  <c r="O224"/>
  <c r="O205"/>
  <c r="O197"/>
  <c r="O187"/>
  <c r="O230"/>
  <c r="O223"/>
  <c r="O222"/>
  <c r="O199"/>
  <c r="O189"/>
  <c r="O214"/>
  <c r="O201"/>
  <c r="O191"/>
  <c r="O181"/>
  <c r="O216"/>
  <c r="O212"/>
  <c r="O207" i="3"/>
  <c r="O207" i="2" s="1"/>
  <c r="O208"/>
  <c r="O206"/>
  <c r="O174"/>
  <c r="O164"/>
  <c r="O154"/>
  <c r="O144"/>
  <c r="O135" i="3"/>
  <c r="O135" i="2" s="1"/>
  <c r="O136"/>
  <c r="O134"/>
  <c r="O213"/>
  <c r="O194"/>
  <c r="O186"/>
  <c r="O179"/>
  <c r="O169"/>
  <c r="O161"/>
  <c r="O151"/>
  <c r="O141"/>
  <c r="O131"/>
  <c r="O198"/>
  <c r="O176"/>
  <c r="O166"/>
  <c r="O156"/>
  <c r="O147" i="3"/>
  <c r="O147" i="2" s="1"/>
  <c r="O148"/>
  <c r="O146"/>
  <c r="O138"/>
  <c r="O128"/>
  <c r="O226"/>
  <c r="O204"/>
  <c r="O195" i="3"/>
  <c r="O195" i="2" s="1"/>
  <c r="O196"/>
  <c r="O175"/>
  <c r="O165"/>
  <c r="O155"/>
  <c r="O145"/>
  <c r="O137"/>
  <c r="O127"/>
  <c r="O202"/>
  <c r="O140"/>
  <c r="O118"/>
  <c r="O108"/>
  <c r="O99" i="3"/>
  <c r="O99" i="2" s="1"/>
  <c r="O100"/>
  <c r="O98"/>
  <c r="O90"/>
  <c r="O203"/>
  <c r="O192"/>
  <c r="O173"/>
  <c r="O153"/>
  <c r="O139"/>
  <c r="O133"/>
  <c r="O115"/>
  <c r="O105"/>
  <c r="O95"/>
  <c r="O178"/>
  <c r="O158"/>
  <c r="O150"/>
  <c r="O142"/>
  <c r="O130"/>
  <c r="O119"/>
  <c r="O109"/>
  <c r="O101"/>
  <c r="O91"/>
  <c r="O188"/>
  <c r="O171" i="3"/>
  <c r="O171" i="2" s="1"/>
  <c r="O172"/>
  <c r="O113"/>
  <c r="O111" i="3"/>
  <c r="O111" i="2" s="1"/>
  <c r="O112"/>
  <c r="O103"/>
  <c r="O102"/>
  <c r="O86"/>
  <c r="O78"/>
  <c r="O68"/>
  <c r="O152"/>
  <c r="O143"/>
  <c r="O117"/>
  <c r="O107"/>
  <c r="O93"/>
  <c r="O92"/>
  <c r="O89"/>
  <c r="O83"/>
  <c r="O73"/>
  <c r="O65"/>
  <c r="O185"/>
  <c r="O167"/>
  <c r="O163"/>
  <c r="O125"/>
  <c r="O122"/>
  <c r="O116"/>
  <c r="O106"/>
  <c r="O97"/>
  <c r="O162"/>
  <c r="O126"/>
  <c r="O87" i="3"/>
  <c r="O87" i="2" s="1"/>
  <c r="O88"/>
  <c r="O180"/>
  <c r="O157"/>
  <c r="O129"/>
  <c r="O84"/>
  <c r="O80"/>
  <c r="O182"/>
  <c r="O177"/>
  <c r="O170"/>
  <c r="O149"/>
  <c r="O123" i="3"/>
  <c r="O123" i="2" s="1"/>
  <c r="O124"/>
  <c r="O114"/>
  <c r="O96"/>
  <c r="O79"/>
  <c r="O72"/>
  <c r="O67"/>
  <c r="O66"/>
  <c r="O62"/>
  <c r="O57"/>
  <c r="O47"/>
  <c r="O37"/>
  <c r="O29"/>
  <c r="O19"/>
  <c r="O75" i="3"/>
  <c r="O75" i="2" s="1"/>
  <c r="O76"/>
  <c r="O70"/>
  <c r="O69"/>
  <c r="O120"/>
  <c r="O77"/>
  <c r="O56"/>
  <c r="O46"/>
  <c r="O36"/>
  <c r="O27" i="3"/>
  <c r="O27" i="2" s="1"/>
  <c r="O28"/>
  <c r="O26"/>
  <c r="O160"/>
  <c r="O159" i="3"/>
  <c r="O159" i="2" s="1"/>
  <c r="O85"/>
  <c r="O61"/>
  <c r="O58"/>
  <c r="O48"/>
  <c r="O39" i="3"/>
  <c r="O39" i="2" s="1"/>
  <c r="O40"/>
  <c r="O38"/>
  <c r="O30"/>
  <c r="O20"/>
  <c r="O121"/>
  <c r="O104"/>
  <c r="O55"/>
  <c r="O45"/>
  <c r="O35"/>
  <c r="O22"/>
  <c r="O12"/>
  <c r="O6"/>
  <c r="O110"/>
  <c r="O21"/>
  <c r="O17"/>
  <c r="O71"/>
  <c r="O60"/>
  <c r="O59"/>
  <c r="O49"/>
  <c r="O15" i="3"/>
  <c r="O15" i="2" s="1"/>
  <c r="O16"/>
  <c r="O5"/>
  <c r="O193"/>
  <c r="O183" i="3"/>
  <c r="O183" i="2" s="1"/>
  <c r="O184"/>
  <c r="O132"/>
  <c r="O74"/>
  <c r="O14"/>
  <c r="O25"/>
  <c r="O24"/>
  <c r="O10"/>
  <c r="O168"/>
  <c r="O81"/>
  <c r="O32"/>
  <c r="O31"/>
  <c r="O82"/>
  <c r="O42"/>
  <c r="O41"/>
  <c r="O50"/>
  <c r="O13"/>
  <c r="O33"/>
  <c r="O23"/>
  <c r="O18"/>
  <c r="O11"/>
  <c r="O9"/>
  <c r="O3" i="3"/>
  <c r="O3" i="2" s="1"/>
  <c r="O4"/>
  <c r="O94"/>
  <c r="O63" i="3"/>
  <c r="O63" i="2" s="1"/>
  <c r="O64"/>
  <c r="O8"/>
  <c r="O7"/>
  <c r="O54"/>
  <c r="O51" i="3"/>
  <c r="O51" i="2" s="1"/>
  <c r="O52"/>
  <c r="O44"/>
  <c r="O43"/>
  <c r="O53"/>
  <c r="O34"/>
  <c r="AW241"/>
  <c r="AW233"/>
  <c r="AW223"/>
  <c r="AW213"/>
  <c r="AW238"/>
  <c r="AW235"/>
  <c r="AW225"/>
  <c r="AW215"/>
  <c r="AW205"/>
  <c r="AW240"/>
  <c r="AW231" i="3"/>
  <c r="AW231" i="2" s="1"/>
  <c r="AW232"/>
  <c r="AW237"/>
  <c r="AW227"/>
  <c r="AW217"/>
  <c r="AW209"/>
  <c r="AW242"/>
  <c r="AW234"/>
  <c r="AW239"/>
  <c r="AW236"/>
  <c r="AW226"/>
  <c r="AW216"/>
  <c r="AW207" i="3"/>
  <c r="AW207" i="2" s="1"/>
  <c r="AW208"/>
  <c r="AW212"/>
  <c r="AW206"/>
  <c r="AW198"/>
  <c r="AW188"/>
  <c r="AW218"/>
  <c r="AW211"/>
  <c r="AW210"/>
  <c r="AW203"/>
  <c r="AW193"/>
  <c r="AW185"/>
  <c r="AW197"/>
  <c r="AW187"/>
  <c r="AW229"/>
  <c r="AW228"/>
  <c r="AW221"/>
  <c r="AW219" i="3"/>
  <c r="AW219" i="2" s="1"/>
  <c r="AW220"/>
  <c r="AW199"/>
  <c r="AW189"/>
  <c r="AW202"/>
  <c r="AW181"/>
  <c r="AW171" i="3"/>
  <c r="AW171" i="2" s="1"/>
  <c r="AW172"/>
  <c r="AW170"/>
  <c r="AW162"/>
  <c r="AW152"/>
  <c r="AW142"/>
  <c r="AW132"/>
  <c r="AW214"/>
  <c r="AW201"/>
  <c r="AW200"/>
  <c r="AW177"/>
  <c r="AW167"/>
  <c r="AW157"/>
  <c r="AW149"/>
  <c r="AW139"/>
  <c r="AW129"/>
  <c r="AW194"/>
  <c r="AW186"/>
  <c r="AW174"/>
  <c r="AW164"/>
  <c r="AW154"/>
  <c r="AW144"/>
  <c r="AW135" i="3"/>
  <c r="AW135" i="2" s="1"/>
  <c r="AW136"/>
  <c r="AW134"/>
  <c r="AW126"/>
  <c r="AW230"/>
  <c r="AW224"/>
  <c r="AW222"/>
  <c r="AW191"/>
  <c r="AW190"/>
  <c r="AW173"/>
  <c r="AW163"/>
  <c r="AW153"/>
  <c r="AW143"/>
  <c r="AW133"/>
  <c r="AW125"/>
  <c r="AW195" i="3"/>
  <c r="AW195" i="2" s="1"/>
  <c r="AW196"/>
  <c r="AW175"/>
  <c r="AW155"/>
  <c r="AW116"/>
  <c r="AW106"/>
  <c r="AW96"/>
  <c r="AW87" i="3"/>
  <c r="AW87" i="2" s="1"/>
  <c r="AW88"/>
  <c r="AW204"/>
  <c r="AW169"/>
  <c r="AW161"/>
  <c r="AW140"/>
  <c r="AW121"/>
  <c r="AW113"/>
  <c r="AW103"/>
  <c r="AW93"/>
  <c r="AW182"/>
  <c r="AW165"/>
  <c r="AW117"/>
  <c r="AW107"/>
  <c r="AW97"/>
  <c r="AW89"/>
  <c r="AW168"/>
  <c r="AW166"/>
  <c r="AW151"/>
  <c r="AW99" i="3"/>
  <c r="AW99" i="2" s="1"/>
  <c r="AW100"/>
  <c r="AW90"/>
  <c r="AW84"/>
  <c r="AW75" i="3"/>
  <c r="AW75" i="2" s="1"/>
  <c r="AW76"/>
  <c r="AW74"/>
  <c r="AW66"/>
  <c r="AW138"/>
  <c r="AW130"/>
  <c r="AW128"/>
  <c r="AW115"/>
  <c r="AW105"/>
  <c r="AW81"/>
  <c r="AW71"/>
  <c r="AW61"/>
  <c r="AW180"/>
  <c r="AW159" i="3"/>
  <c r="AW159" i="2" s="1"/>
  <c r="AW160"/>
  <c r="AW145"/>
  <c r="AW123" i="3"/>
  <c r="AW123" i="2" s="1"/>
  <c r="AW124"/>
  <c r="AW120"/>
  <c r="AW110"/>
  <c r="AW95"/>
  <c r="AW91"/>
  <c r="AW86"/>
  <c r="AW78"/>
  <c r="AW72"/>
  <c r="AW156"/>
  <c r="AW119"/>
  <c r="AW118"/>
  <c r="AW94"/>
  <c r="AW85"/>
  <c r="AW77"/>
  <c r="AW179"/>
  <c r="AW176"/>
  <c r="AW158"/>
  <c r="AW137"/>
  <c r="AW122"/>
  <c r="AW104"/>
  <c r="AW102"/>
  <c r="AW80"/>
  <c r="AW73"/>
  <c r="AW65"/>
  <c r="AW183" i="3"/>
  <c r="AW183" i="2" s="1"/>
  <c r="AW184"/>
  <c r="AW146"/>
  <c r="AW108"/>
  <c r="AW79"/>
  <c r="AW70"/>
  <c r="AW60"/>
  <c r="AW55"/>
  <c r="AW45"/>
  <c r="AW35"/>
  <c r="AW25"/>
  <c r="AW17"/>
  <c r="AW127"/>
  <c r="AW101"/>
  <c r="AW54"/>
  <c r="AW44"/>
  <c r="AW34"/>
  <c r="AW24"/>
  <c r="AW192"/>
  <c r="AW111" i="3"/>
  <c r="AW111" i="2" s="1"/>
  <c r="AW112"/>
  <c r="AW63" i="3"/>
  <c r="AW63" i="2" s="1"/>
  <c r="AW64"/>
  <c r="AW56"/>
  <c r="AW46"/>
  <c r="AW36"/>
  <c r="AW27" i="3"/>
  <c r="AW27" i="2" s="1"/>
  <c r="AW28"/>
  <c r="AW26"/>
  <c r="AW150"/>
  <c r="AW141"/>
  <c r="AW92"/>
  <c r="AW49"/>
  <c r="AW14"/>
  <c r="AW11"/>
  <c r="AW3" i="3"/>
  <c r="AW3" i="2" s="1"/>
  <c r="AW4"/>
  <c r="AW58"/>
  <c r="AW53"/>
  <c r="AW48"/>
  <c r="AW43"/>
  <c r="AW38"/>
  <c r="AW33"/>
  <c r="AW15" i="3"/>
  <c r="AW15" i="2" s="1"/>
  <c r="AW16"/>
  <c r="AW9"/>
  <c r="AW131"/>
  <c r="AW51" i="3"/>
  <c r="AW51" i="2" s="1"/>
  <c r="AW52"/>
  <c r="AW42"/>
  <c r="AW32"/>
  <c r="AW23"/>
  <c r="AW13"/>
  <c r="AW114"/>
  <c r="AW62"/>
  <c r="AW39" i="3"/>
  <c r="AW39" i="2" s="1"/>
  <c r="AW40"/>
  <c r="AW37"/>
  <c r="AW12"/>
  <c r="AW147" i="3"/>
  <c r="AW147" i="2" s="1"/>
  <c r="AW148"/>
  <c r="AW69"/>
  <c r="AW41"/>
  <c r="AW18"/>
  <c r="AW178"/>
  <c r="AW57"/>
  <c r="AW47"/>
  <c r="AW31"/>
  <c r="AW30"/>
  <c r="AW29"/>
  <c r="AW83"/>
  <c r="AW59"/>
  <c r="AW50"/>
  <c r="AW109"/>
  <c r="AW82"/>
  <c r="AW67"/>
  <c r="AW8"/>
  <c r="AW7"/>
  <c r="AW98"/>
  <c r="AW19"/>
  <c r="AW22"/>
  <c r="AW21"/>
  <c r="AW20"/>
  <c r="AW68"/>
  <c r="AW6"/>
  <c r="AW5"/>
  <c r="AW10"/>
  <c r="AL240"/>
  <c r="AL231" i="3"/>
  <c r="AL231" i="2" s="1"/>
  <c r="AL232"/>
  <c r="AL230"/>
  <c r="AL222"/>
  <c r="AL212"/>
  <c r="AL237"/>
  <c r="AL242"/>
  <c r="AL234"/>
  <c r="AL224"/>
  <c r="AL214"/>
  <c r="AL239"/>
  <c r="AL236"/>
  <c r="AL226"/>
  <c r="AL216"/>
  <c r="AL207" i="3"/>
  <c r="AL207" i="2" s="1"/>
  <c r="AL208"/>
  <c r="AL206"/>
  <c r="AL241"/>
  <c r="AL233"/>
  <c r="AL238"/>
  <c r="AL235"/>
  <c r="AL225"/>
  <c r="AL215"/>
  <c r="AL228"/>
  <c r="AL219" i="3"/>
  <c r="AL219" i="2" s="1"/>
  <c r="AL220"/>
  <c r="AL197"/>
  <c r="AL187"/>
  <c r="AL227"/>
  <c r="AL202"/>
  <c r="AL192"/>
  <c r="AL183" i="3"/>
  <c r="AL183" i="2" s="1"/>
  <c r="AL184"/>
  <c r="AL182"/>
  <c r="AL211"/>
  <c r="AL205"/>
  <c r="AL204"/>
  <c r="AL195" i="3"/>
  <c r="AL195" i="2" s="1"/>
  <c r="AL196"/>
  <c r="AL194"/>
  <c r="AL186"/>
  <c r="AL217"/>
  <c r="AL209"/>
  <c r="AL198"/>
  <c r="AL188"/>
  <c r="AL190"/>
  <c r="AL179"/>
  <c r="AL169"/>
  <c r="AL161"/>
  <c r="AL151"/>
  <c r="AL141"/>
  <c r="AL131"/>
  <c r="AL189"/>
  <c r="AL176"/>
  <c r="AL166"/>
  <c r="AL156"/>
  <c r="AL147" i="3"/>
  <c r="AL147" i="2" s="1"/>
  <c r="AL148"/>
  <c r="AL146"/>
  <c r="AL138"/>
  <c r="AL128"/>
  <c r="AL203"/>
  <c r="AL181"/>
  <c r="AL173"/>
  <c r="AL163"/>
  <c r="AL153"/>
  <c r="AL143"/>
  <c r="AL133"/>
  <c r="AL199"/>
  <c r="AL180"/>
  <c r="AL171" i="3"/>
  <c r="AL171" i="2" s="1"/>
  <c r="AL172"/>
  <c r="AL170"/>
  <c r="AL162"/>
  <c r="AL152"/>
  <c r="AL142"/>
  <c r="AL132"/>
  <c r="AL223"/>
  <c r="AL193"/>
  <c r="AL191"/>
  <c r="AL178"/>
  <c r="AL158"/>
  <c r="AL150"/>
  <c r="AL130"/>
  <c r="AL127"/>
  <c r="AL125"/>
  <c r="AL115"/>
  <c r="AL105"/>
  <c r="AL95"/>
  <c r="AL210"/>
  <c r="AL185"/>
  <c r="AL177"/>
  <c r="AL164"/>
  <c r="AL157"/>
  <c r="AL149"/>
  <c r="AL129"/>
  <c r="AL120"/>
  <c r="AL111" i="3"/>
  <c r="AL111" i="2" s="1"/>
  <c r="AL112"/>
  <c r="AL110"/>
  <c r="AL102"/>
  <c r="AL92"/>
  <c r="AL168"/>
  <c r="AL159" i="3"/>
  <c r="AL159" i="2" s="1"/>
  <c r="AL160"/>
  <c r="AL145"/>
  <c r="AL137"/>
  <c r="AL116"/>
  <c r="AL106"/>
  <c r="AL96"/>
  <c r="AL87" i="3"/>
  <c r="AL87" i="2" s="1"/>
  <c r="AL88"/>
  <c r="AL154"/>
  <c r="AL135" i="3"/>
  <c r="AL135" i="2" s="1"/>
  <c r="AL136"/>
  <c r="AL122"/>
  <c r="AL101"/>
  <c r="AL97"/>
  <c r="AL90"/>
  <c r="AL83"/>
  <c r="AL73"/>
  <c r="AL65"/>
  <c r="AL167"/>
  <c r="AL165"/>
  <c r="AL80"/>
  <c r="AL70"/>
  <c r="AL60"/>
  <c r="AL175"/>
  <c r="AL139"/>
  <c r="AL121"/>
  <c r="AL99" i="3"/>
  <c r="AL99" i="2" s="1"/>
  <c r="AL100"/>
  <c r="AL89"/>
  <c r="AL140"/>
  <c r="AL118"/>
  <c r="AL82"/>
  <c r="AL174"/>
  <c r="AL155"/>
  <c r="AL144"/>
  <c r="AL109"/>
  <c r="AL107"/>
  <c r="AL91"/>
  <c r="AL81"/>
  <c r="AL201"/>
  <c r="AL200"/>
  <c r="AL126"/>
  <c r="AL123" i="3"/>
  <c r="AL123" i="2" s="1"/>
  <c r="AL124"/>
  <c r="AL114"/>
  <c r="AL69"/>
  <c r="AL62"/>
  <c r="AL103"/>
  <c r="AL93"/>
  <c r="AL85"/>
  <c r="AL68"/>
  <c r="AL54"/>
  <c r="AL44"/>
  <c r="AL34"/>
  <c r="AL24"/>
  <c r="AL15" i="3"/>
  <c r="AL15" i="2" s="1"/>
  <c r="AL16"/>
  <c r="AL14"/>
  <c r="AL119"/>
  <c r="AL71"/>
  <c r="AL221"/>
  <c r="AL113"/>
  <c r="AL84"/>
  <c r="AL74"/>
  <c r="AL53"/>
  <c r="AL43"/>
  <c r="AL33"/>
  <c r="AL23"/>
  <c r="AL98"/>
  <c r="AL78"/>
  <c r="AL72"/>
  <c r="AL63" i="3"/>
  <c r="AL63" i="2" s="1"/>
  <c r="AL64"/>
  <c r="AL55"/>
  <c r="AL45"/>
  <c r="AL35"/>
  <c r="AL25"/>
  <c r="AL67"/>
  <c r="AL50"/>
  <c r="AL20"/>
  <c r="AL10"/>
  <c r="AL59"/>
  <c r="AL49"/>
  <c r="AL27" i="3"/>
  <c r="AL27" i="2" s="1"/>
  <c r="AL28"/>
  <c r="AL13"/>
  <c r="AL8"/>
  <c r="AL104"/>
  <c r="AL79"/>
  <c r="AL75" i="3"/>
  <c r="AL75" i="2" s="1"/>
  <c r="AL76"/>
  <c r="AL66"/>
  <c r="AL57"/>
  <c r="AL47"/>
  <c r="AL37"/>
  <c r="AL94"/>
  <c r="AL86"/>
  <c r="AL3" i="3"/>
  <c r="AL3" i="2" s="1"/>
  <c r="AL4"/>
  <c r="AL29"/>
  <c r="AL21"/>
  <c r="AL11"/>
  <c r="AL117"/>
  <c r="AL32"/>
  <c r="AL31"/>
  <c r="AL26"/>
  <c r="AL18"/>
  <c r="AL134"/>
  <c r="AL58"/>
  <c r="AL36"/>
  <c r="AL77"/>
  <c r="AL51" i="3"/>
  <c r="AL51" i="2" s="1"/>
  <c r="AL52"/>
  <c r="AL22"/>
  <c r="AL229"/>
  <c r="AL108"/>
  <c r="AL42"/>
  <c r="AL41"/>
  <c r="AL30"/>
  <c r="AL12"/>
  <c r="AL6"/>
  <c r="AL218"/>
  <c r="AL56"/>
  <c r="AL5"/>
  <c r="AL46"/>
  <c r="AL61"/>
  <c r="AL17"/>
  <c r="AL9"/>
  <c r="AL48"/>
  <c r="AL19"/>
  <c r="AL213"/>
  <c r="AL7"/>
  <c r="AL38"/>
  <c r="AL39" i="3"/>
  <c r="AL39" i="2" s="1"/>
  <c r="AL40"/>
  <c r="S239"/>
  <c r="S229"/>
  <c r="S221"/>
  <c r="S211"/>
  <c r="S236"/>
  <c r="S241"/>
  <c r="S233"/>
  <c r="S223"/>
  <c r="S213"/>
  <c r="S238"/>
  <c r="S235"/>
  <c r="S225"/>
  <c r="S215"/>
  <c r="S240"/>
  <c r="S231" i="3"/>
  <c r="S231" i="2" s="1"/>
  <c r="S232"/>
  <c r="S237"/>
  <c r="S242"/>
  <c r="S234"/>
  <c r="S224"/>
  <c r="S214"/>
  <c r="S227"/>
  <c r="S226"/>
  <c r="S204"/>
  <c r="S195" i="3"/>
  <c r="S195" i="2" s="1"/>
  <c r="S196"/>
  <c r="S194"/>
  <c r="S186"/>
  <c r="S212"/>
  <c r="S201"/>
  <c r="S191"/>
  <c r="S181"/>
  <c r="S203"/>
  <c r="S193"/>
  <c r="S185"/>
  <c r="S230"/>
  <c r="S222"/>
  <c r="S206"/>
  <c r="S205"/>
  <c r="S197"/>
  <c r="S187"/>
  <c r="S189"/>
  <c r="S188"/>
  <c r="S182"/>
  <c r="S178"/>
  <c r="S168"/>
  <c r="S159" i="3"/>
  <c r="S159" i="2" s="1"/>
  <c r="S160"/>
  <c r="S158"/>
  <c r="S150"/>
  <c r="S140"/>
  <c r="S130"/>
  <c r="S218"/>
  <c r="S217"/>
  <c r="S216"/>
  <c r="S210"/>
  <c r="S209"/>
  <c r="S207" i="3"/>
  <c r="S207" i="2" s="1"/>
  <c r="S208"/>
  <c r="S202"/>
  <c r="S175"/>
  <c r="S165"/>
  <c r="S155"/>
  <c r="S145"/>
  <c r="S137"/>
  <c r="S127"/>
  <c r="S200"/>
  <c r="S180"/>
  <c r="S171" i="3"/>
  <c r="S171" i="2" s="1"/>
  <c r="S172"/>
  <c r="S170"/>
  <c r="S162"/>
  <c r="S152"/>
  <c r="S142"/>
  <c r="S132"/>
  <c r="S192"/>
  <c r="S183" i="3"/>
  <c r="S183" i="2" s="1"/>
  <c r="S184"/>
  <c r="S179"/>
  <c r="S169"/>
  <c r="S161"/>
  <c r="S151"/>
  <c r="S141"/>
  <c r="S131"/>
  <c r="S199"/>
  <c r="S198"/>
  <c r="S176"/>
  <c r="S156"/>
  <c r="S147" i="3"/>
  <c r="S147" i="2" s="1"/>
  <c r="S148"/>
  <c r="S128"/>
  <c r="S123" i="3"/>
  <c r="S123" i="2" s="1"/>
  <c r="S124"/>
  <c r="S122"/>
  <c r="S114"/>
  <c r="S104"/>
  <c r="S94"/>
  <c r="S228"/>
  <c r="S163"/>
  <c r="S119"/>
  <c r="S109"/>
  <c r="S101"/>
  <c r="S166"/>
  <c r="S144"/>
  <c r="S135" i="3"/>
  <c r="S135" i="2" s="1"/>
  <c r="S136"/>
  <c r="S115"/>
  <c r="S105"/>
  <c r="S95"/>
  <c r="S174"/>
  <c r="S164"/>
  <c r="S149"/>
  <c r="S138"/>
  <c r="S126"/>
  <c r="S82"/>
  <c r="S72"/>
  <c r="S63" i="3"/>
  <c r="S63" i="2" s="1"/>
  <c r="S64"/>
  <c r="S62"/>
  <c r="S154"/>
  <c r="S79"/>
  <c r="S69"/>
  <c r="S118"/>
  <c r="S113"/>
  <c r="S108"/>
  <c r="S103"/>
  <c r="S90"/>
  <c r="S153"/>
  <c r="S146"/>
  <c r="S102"/>
  <c r="S99" i="3"/>
  <c r="S99" i="2" s="1"/>
  <c r="S100"/>
  <c r="S98"/>
  <c r="S97"/>
  <c r="S89"/>
  <c r="S83"/>
  <c r="S173"/>
  <c r="S134"/>
  <c r="S107"/>
  <c r="S87" i="3"/>
  <c r="S87" i="2" s="1"/>
  <c r="S88"/>
  <c r="S116"/>
  <c r="S110"/>
  <c r="S92"/>
  <c r="S85"/>
  <c r="S84"/>
  <c r="S77"/>
  <c r="S75" i="3"/>
  <c r="S75" i="2" s="1"/>
  <c r="S76"/>
  <c r="S74"/>
  <c r="S53"/>
  <c r="S43"/>
  <c r="S33"/>
  <c r="S23"/>
  <c r="S13"/>
  <c r="S177"/>
  <c r="S139"/>
  <c r="S129"/>
  <c r="S106"/>
  <c r="S96"/>
  <c r="S91"/>
  <c r="S190"/>
  <c r="S81"/>
  <c r="S68"/>
  <c r="S51" i="3"/>
  <c r="S51" i="2" s="1"/>
  <c r="S52"/>
  <c r="S50"/>
  <c r="S42"/>
  <c r="S32"/>
  <c r="S22"/>
  <c r="S121"/>
  <c r="S120"/>
  <c r="S117"/>
  <c r="S111" i="3"/>
  <c r="S111" i="2" s="1"/>
  <c r="S112"/>
  <c r="S86"/>
  <c r="S54"/>
  <c r="S44"/>
  <c r="S34"/>
  <c r="S24"/>
  <c r="S157"/>
  <c r="S143"/>
  <c r="S78"/>
  <c r="S219" i="3"/>
  <c r="S219" i="2" s="1"/>
  <c r="S220"/>
  <c r="S73"/>
  <c r="S56"/>
  <c r="S46"/>
  <c r="S41"/>
  <c r="S36"/>
  <c r="S31"/>
  <c r="S7"/>
  <c r="S133"/>
  <c r="S61"/>
  <c r="S55"/>
  <c r="S45"/>
  <c r="S35"/>
  <c r="S29"/>
  <c r="S26"/>
  <c r="S21"/>
  <c r="S12"/>
  <c r="S9"/>
  <c r="S59"/>
  <c r="S58"/>
  <c r="S57"/>
  <c r="S20"/>
  <c r="S8"/>
  <c r="S70"/>
  <c r="S67"/>
  <c r="S27" i="3"/>
  <c r="S27" i="2" s="1"/>
  <c r="S28"/>
  <c r="S18"/>
  <c r="S6"/>
  <c r="S80"/>
  <c r="S66"/>
  <c r="S25"/>
  <c r="S14"/>
  <c r="S60"/>
  <c r="S30"/>
  <c r="S17"/>
  <c r="S10"/>
  <c r="S93"/>
  <c r="S37"/>
  <c r="S3" i="3"/>
  <c r="S3" i="2" s="1"/>
  <c r="S4"/>
  <c r="S15" i="3"/>
  <c r="S15" i="2" s="1"/>
  <c r="S16"/>
  <c r="S125"/>
  <c r="S65"/>
  <c r="S11"/>
  <c r="S167"/>
  <c r="S71"/>
  <c r="S39" i="3"/>
  <c r="S39" i="2" s="1"/>
  <c r="S40"/>
  <c r="S48"/>
  <c r="S19"/>
  <c r="S49"/>
  <c r="S38"/>
  <c r="S47"/>
  <c r="S5"/>
  <c r="R236"/>
  <c r="R226"/>
  <c r="R216"/>
  <c r="R207" i="3"/>
  <c r="R207" i="2" s="1"/>
  <c r="R208"/>
  <c r="R206"/>
  <c r="R241"/>
  <c r="R233"/>
  <c r="R238"/>
  <c r="R228"/>
  <c r="R219" i="3"/>
  <c r="R219" i="2" s="1"/>
  <c r="R220"/>
  <c r="R218"/>
  <c r="R210"/>
  <c r="R235"/>
  <c r="R240"/>
  <c r="R231" i="3"/>
  <c r="R231" i="2" s="1"/>
  <c r="R232"/>
  <c r="R230"/>
  <c r="R222"/>
  <c r="R212"/>
  <c r="R237"/>
  <c r="R242"/>
  <c r="R234"/>
  <c r="R239"/>
  <c r="R229"/>
  <c r="R221"/>
  <c r="R211"/>
  <c r="R213"/>
  <c r="R201"/>
  <c r="R191"/>
  <c r="R181"/>
  <c r="R225"/>
  <c r="R198"/>
  <c r="R188"/>
  <c r="R224"/>
  <c r="R217"/>
  <c r="R209"/>
  <c r="R200"/>
  <c r="R190"/>
  <c r="R215"/>
  <c r="R202"/>
  <c r="R192"/>
  <c r="R183" i="3"/>
  <c r="R183" i="2" s="1"/>
  <c r="R184"/>
  <c r="R182"/>
  <c r="R203"/>
  <c r="R175"/>
  <c r="R165"/>
  <c r="R155"/>
  <c r="R145"/>
  <c r="R137"/>
  <c r="R187"/>
  <c r="R180"/>
  <c r="R171" i="3"/>
  <c r="R171" i="2" s="1"/>
  <c r="R172"/>
  <c r="R170"/>
  <c r="R162"/>
  <c r="R152"/>
  <c r="R142"/>
  <c r="R132"/>
  <c r="R214"/>
  <c r="R177"/>
  <c r="R167"/>
  <c r="R157"/>
  <c r="R149"/>
  <c r="R139"/>
  <c r="R129"/>
  <c r="R205"/>
  <c r="R197"/>
  <c r="R176"/>
  <c r="R166"/>
  <c r="R156"/>
  <c r="R147" i="3"/>
  <c r="R147" i="2" s="1"/>
  <c r="R148"/>
  <c r="R146"/>
  <c r="R138"/>
  <c r="R128"/>
  <c r="R163"/>
  <c r="R141"/>
  <c r="R119"/>
  <c r="R109"/>
  <c r="R101"/>
  <c r="R91"/>
  <c r="R195" i="3"/>
  <c r="R195" i="2" s="1"/>
  <c r="R196"/>
  <c r="R174"/>
  <c r="R154"/>
  <c r="R134"/>
  <c r="R125"/>
  <c r="R116"/>
  <c r="R106"/>
  <c r="R96"/>
  <c r="R179"/>
  <c r="R151"/>
  <c r="R131"/>
  <c r="R126"/>
  <c r="R120"/>
  <c r="R111" i="3"/>
  <c r="R111" i="2" s="1"/>
  <c r="R112"/>
  <c r="R110"/>
  <c r="R102"/>
  <c r="R92"/>
  <c r="R223"/>
  <c r="R199"/>
  <c r="R130"/>
  <c r="R127"/>
  <c r="R114"/>
  <c r="R104"/>
  <c r="R79"/>
  <c r="R69"/>
  <c r="R169"/>
  <c r="R159" i="3"/>
  <c r="R159" i="2" s="1"/>
  <c r="R160"/>
  <c r="R135" i="3"/>
  <c r="R135" i="2" s="1"/>
  <c r="R136"/>
  <c r="R118"/>
  <c r="R113"/>
  <c r="R108"/>
  <c r="R103"/>
  <c r="R94"/>
  <c r="R90"/>
  <c r="R84"/>
  <c r="R75" i="3"/>
  <c r="R75" i="2" s="1"/>
  <c r="R76"/>
  <c r="R74"/>
  <c r="R66"/>
  <c r="R178"/>
  <c r="R143"/>
  <c r="R133"/>
  <c r="R98"/>
  <c r="R93"/>
  <c r="R186"/>
  <c r="R122"/>
  <c r="R121"/>
  <c r="R95"/>
  <c r="R81"/>
  <c r="R194"/>
  <c r="R189"/>
  <c r="R140"/>
  <c r="R70"/>
  <c r="R193"/>
  <c r="R168"/>
  <c r="R97"/>
  <c r="R82"/>
  <c r="R58"/>
  <c r="R48"/>
  <c r="R39" i="3"/>
  <c r="R39" i="2" s="1"/>
  <c r="R40"/>
  <c r="R38"/>
  <c r="R30"/>
  <c r="R20"/>
  <c r="R10"/>
  <c r="R204"/>
  <c r="R123" i="3"/>
  <c r="R123" i="2" s="1"/>
  <c r="R124"/>
  <c r="R107"/>
  <c r="R87" i="3"/>
  <c r="R87" i="2" s="1"/>
  <c r="R88"/>
  <c r="R65"/>
  <c r="R150"/>
  <c r="R105"/>
  <c r="R89"/>
  <c r="R78"/>
  <c r="R71"/>
  <c r="R67"/>
  <c r="R57"/>
  <c r="R47"/>
  <c r="R37"/>
  <c r="R29"/>
  <c r="R161"/>
  <c r="R73"/>
  <c r="R59"/>
  <c r="R49"/>
  <c r="R41"/>
  <c r="R31"/>
  <c r="R21"/>
  <c r="R227"/>
  <c r="R77"/>
  <c r="R56"/>
  <c r="R51" i="3"/>
  <c r="R51" i="2" s="1"/>
  <c r="R52"/>
  <c r="R46"/>
  <c r="R42"/>
  <c r="R36"/>
  <c r="R32"/>
  <c r="R23"/>
  <c r="R13"/>
  <c r="R7"/>
  <c r="R99" i="3"/>
  <c r="R99" i="2" s="1"/>
  <c r="R100"/>
  <c r="R86"/>
  <c r="R18"/>
  <c r="R3" i="3"/>
  <c r="R3" i="2" s="1"/>
  <c r="R4"/>
  <c r="R185"/>
  <c r="R85"/>
  <c r="R83"/>
  <c r="R17"/>
  <c r="R6"/>
  <c r="R117"/>
  <c r="R63" i="3"/>
  <c r="R63" i="2" s="1"/>
  <c r="R64"/>
  <c r="R50"/>
  <c r="R27" i="3"/>
  <c r="R27" i="2" s="1"/>
  <c r="R28"/>
  <c r="R153"/>
  <c r="R62"/>
  <c r="R173"/>
  <c r="R144"/>
  <c r="R72"/>
  <c r="R35"/>
  <c r="R34"/>
  <c r="R24"/>
  <c r="R19"/>
  <c r="R5"/>
  <c r="R115"/>
  <c r="R68"/>
  <c r="R45"/>
  <c r="R44"/>
  <c r="R8"/>
  <c r="R43"/>
  <c r="R15" i="3"/>
  <c r="R15" i="2" s="1"/>
  <c r="R16"/>
  <c r="R61"/>
  <c r="R25"/>
  <c r="R158"/>
  <c r="R55"/>
  <c r="R54"/>
  <c r="R11"/>
  <c r="R9"/>
  <c r="R164"/>
  <c r="R53"/>
  <c r="R33"/>
  <c r="R12"/>
  <c r="R26"/>
  <c r="R22"/>
  <c r="R14"/>
  <c r="R80"/>
  <c r="R60"/>
  <c r="AV238"/>
  <c r="AV228"/>
  <c r="AV220"/>
  <c r="AV219" i="3"/>
  <c r="AV219" i="2" s="1"/>
  <c r="AV218"/>
  <c r="AV210"/>
  <c r="AV235"/>
  <c r="AV240"/>
  <c r="AV231" i="3"/>
  <c r="AV231" i="2" s="1"/>
  <c r="AV232"/>
  <c r="AV230"/>
  <c r="AV222"/>
  <c r="AV212"/>
  <c r="AV237"/>
  <c r="AV242"/>
  <c r="AV234"/>
  <c r="AV224"/>
  <c r="AV214"/>
  <c r="AV239"/>
  <c r="AV236"/>
  <c r="AV241"/>
  <c r="AV233"/>
  <c r="AV223"/>
  <c r="AV213"/>
  <c r="AV225"/>
  <c r="AV211"/>
  <c r="AV203"/>
  <c r="AV193"/>
  <c r="AV185"/>
  <c r="AV205"/>
  <c r="AV200"/>
  <c r="AV190"/>
  <c r="AV216"/>
  <c r="AV207" i="3"/>
  <c r="AV207" i="2" s="1"/>
  <c r="AV208"/>
  <c r="AV202"/>
  <c r="AV192"/>
  <c r="AV183" i="3"/>
  <c r="AV183" i="2" s="1"/>
  <c r="AV184"/>
  <c r="AV182"/>
  <c r="AV204"/>
  <c r="AV195" i="3"/>
  <c r="AV195" i="2" s="1"/>
  <c r="AV196"/>
  <c r="AV194"/>
  <c r="AV186"/>
  <c r="AV217"/>
  <c r="AV215"/>
  <c r="AV209"/>
  <c r="AV201"/>
  <c r="AV187"/>
  <c r="AV177"/>
  <c r="AV167"/>
  <c r="AV157"/>
  <c r="AV149"/>
  <c r="AV139"/>
  <c r="AV129"/>
  <c r="AV174"/>
  <c r="AV164"/>
  <c r="AV154"/>
  <c r="AV144"/>
  <c r="AV135" i="3"/>
  <c r="AV135" i="2" s="1"/>
  <c r="AV136"/>
  <c r="AV134"/>
  <c r="AV126"/>
  <c r="AV199"/>
  <c r="AV179"/>
  <c r="AV169"/>
  <c r="AV161"/>
  <c r="AV151"/>
  <c r="AV141"/>
  <c r="AV131"/>
  <c r="AV229"/>
  <c r="AV221"/>
  <c r="AV178"/>
  <c r="AV168"/>
  <c r="AV159" i="3"/>
  <c r="AV159" i="2" s="1"/>
  <c r="AV160"/>
  <c r="AV158"/>
  <c r="AV150"/>
  <c r="AV140"/>
  <c r="AV130"/>
  <c r="AV206"/>
  <c r="AV170"/>
  <c r="AV162"/>
  <c r="AV125"/>
  <c r="AV121"/>
  <c r="AV113"/>
  <c r="AV103"/>
  <c r="AV93"/>
  <c r="AV146"/>
  <c r="AV138"/>
  <c r="AV118"/>
  <c r="AV108"/>
  <c r="AV99" i="3"/>
  <c r="AV99" i="2" s="1"/>
  <c r="AV100"/>
  <c r="AV98"/>
  <c r="AV227"/>
  <c r="AV226"/>
  <c r="AV143"/>
  <c r="AV123" i="3"/>
  <c r="AV123" i="2" s="1"/>
  <c r="AV124"/>
  <c r="AV122"/>
  <c r="AV114"/>
  <c r="AV104"/>
  <c r="AV94"/>
  <c r="AV142"/>
  <c r="AV132"/>
  <c r="AV128"/>
  <c r="AV115"/>
  <c r="AV105"/>
  <c r="AV96"/>
  <c r="AV81"/>
  <c r="AV71"/>
  <c r="AV61"/>
  <c r="AV197"/>
  <c r="AV189"/>
  <c r="AV180"/>
  <c r="AV145"/>
  <c r="AV120"/>
  <c r="AV110"/>
  <c r="AV95"/>
  <c r="AV86"/>
  <c r="AV78"/>
  <c r="AV68"/>
  <c r="AV176"/>
  <c r="AV119"/>
  <c r="AV109"/>
  <c r="AV89"/>
  <c r="AV188"/>
  <c r="AV173"/>
  <c r="AV111" i="3"/>
  <c r="AV111" i="2" s="1"/>
  <c r="AV112"/>
  <c r="AV87" i="3"/>
  <c r="AV87" i="2" s="1"/>
  <c r="AV88"/>
  <c r="AV82"/>
  <c r="AV165"/>
  <c r="AV163"/>
  <c r="AV133"/>
  <c r="AV117"/>
  <c r="AV101"/>
  <c r="AV90"/>
  <c r="AV153"/>
  <c r="AV147" i="3"/>
  <c r="AV147" i="2" s="1"/>
  <c r="AV148"/>
  <c r="AV83"/>
  <c r="AV69"/>
  <c r="AV62"/>
  <c r="AV191"/>
  <c r="AV97"/>
  <c r="AV84"/>
  <c r="AV51" i="3"/>
  <c r="AV51" i="2" s="1"/>
  <c r="AV52"/>
  <c r="AV50"/>
  <c r="AV42"/>
  <c r="AV32"/>
  <c r="AV22"/>
  <c r="AV12"/>
  <c r="AV156"/>
  <c r="AV107"/>
  <c r="AV106"/>
  <c r="AV92"/>
  <c r="AV91"/>
  <c r="AV74"/>
  <c r="AV72"/>
  <c r="AV49"/>
  <c r="AV41"/>
  <c r="AV31"/>
  <c r="AV21"/>
  <c r="AV85"/>
  <c r="AV65"/>
  <c r="AV53"/>
  <c r="AV43"/>
  <c r="AV33"/>
  <c r="AV23"/>
  <c r="AV58"/>
  <c r="AV48"/>
  <c r="AV38"/>
  <c r="AV15" i="3"/>
  <c r="AV15" i="2" s="1"/>
  <c r="AV16"/>
  <c r="AV9"/>
  <c r="AV181"/>
  <c r="AV166"/>
  <c r="AV155"/>
  <c r="AV152"/>
  <c r="AV73"/>
  <c r="AV70"/>
  <c r="AV57"/>
  <c r="AV47"/>
  <c r="AV37"/>
  <c r="AV24"/>
  <c r="AV10"/>
  <c r="AV6"/>
  <c r="AV171" i="3"/>
  <c r="AV171" i="2" s="1"/>
  <c r="AV172"/>
  <c r="AV67"/>
  <c r="AV63" i="3"/>
  <c r="AV63" i="2" s="1"/>
  <c r="AV64"/>
  <c r="AV60"/>
  <c r="AV56"/>
  <c r="AV46"/>
  <c r="AV36"/>
  <c r="AV18"/>
  <c r="AV8"/>
  <c r="AV77"/>
  <c r="AV34"/>
  <c r="AV17"/>
  <c r="AV175"/>
  <c r="AV45"/>
  <c r="AV19"/>
  <c r="AV13"/>
  <c r="AV59"/>
  <c r="AV54"/>
  <c r="AV14"/>
  <c r="AV7"/>
  <c r="AV127"/>
  <c r="AV116"/>
  <c r="AV44"/>
  <c r="AV27" i="3"/>
  <c r="AV27" i="2" s="1"/>
  <c r="AV28"/>
  <c r="AV102"/>
  <c r="AV11"/>
  <c r="AV5"/>
  <c r="AV198"/>
  <c r="AV80"/>
  <c r="AV20"/>
  <c r="AV66"/>
  <c r="AV35"/>
  <c r="AV26"/>
  <c r="AV25"/>
  <c r="AV79"/>
  <c r="AV55"/>
  <c r="AV39" i="3"/>
  <c r="AV39" i="2" s="1"/>
  <c r="AV40"/>
  <c r="AV3" i="3"/>
  <c r="AV3" i="2" s="1"/>
  <c r="AV4"/>
  <c r="AV29"/>
  <c r="AV75" i="3"/>
  <c r="AV75" i="2" s="1"/>
  <c r="AV76"/>
  <c r="AV137"/>
  <c r="AV30"/>
  <c r="N240"/>
  <c r="N231" i="3"/>
  <c r="N231" i="2" s="1"/>
  <c r="N232"/>
  <c r="N230"/>
  <c r="N222"/>
  <c r="N212"/>
  <c r="N237"/>
  <c r="N242"/>
  <c r="N234"/>
  <c r="N224"/>
  <c r="N214"/>
  <c r="N239"/>
  <c r="N236"/>
  <c r="N226"/>
  <c r="N216"/>
  <c r="N207" i="3"/>
  <c r="N207" i="2" s="1"/>
  <c r="N208"/>
  <c r="N206"/>
  <c r="N241"/>
  <c r="N233"/>
  <c r="N238"/>
  <c r="N235"/>
  <c r="N225"/>
  <c r="N215"/>
  <c r="N218"/>
  <c r="N210"/>
  <c r="N205"/>
  <c r="N197"/>
  <c r="N187"/>
  <c r="N217"/>
  <c r="N209"/>
  <c r="N202"/>
  <c r="N192"/>
  <c r="N183" i="3"/>
  <c r="N183" i="2" s="1"/>
  <c r="N184"/>
  <c r="N182"/>
  <c r="N229"/>
  <c r="N221"/>
  <c r="N204"/>
  <c r="N195" i="3"/>
  <c r="N195" i="2" s="1"/>
  <c r="N196"/>
  <c r="N194"/>
  <c r="N186"/>
  <c r="N227"/>
  <c r="N198"/>
  <c r="N188"/>
  <c r="N213"/>
  <c r="N211"/>
  <c r="N200"/>
  <c r="N179"/>
  <c r="N169"/>
  <c r="N161"/>
  <c r="N151"/>
  <c r="N141"/>
  <c r="N131"/>
  <c r="N199"/>
  <c r="N176"/>
  <c r="N166"/>
  <c r="N156"/>
  <c r="N147" i="3"/>
  <c r="N147" i="2" s="1"/>
  <c r="N148"/>
  <c r="N146"/>
  <c r="N138"/>
  <c r="N128"/>
  <c r="N193"/>
  <c r="N185"/>
  <c r="N173"/>
  <c r="N163"/>
  <c r="N153"/>
  <c r="N143"/>
  <c r="N133"/>
  <c r="N228"/>
  <c r="N223"/>
  <c r="N219" i="3"/>
  <c r="N219" i="2" s="1"/>
  <c r="N220"/>
  <c r="N189"/>
  <c r="N180"/>
  <c r="N171" i="3"/>
  <c r="N171" i="2" s="1"/>
  <c r="N172"/>
  <c r="N170"/>
  <c r="N162"/>
  <c r="N152"/>
  <c r="N142"/>
  <c r="N132"/>
  <c r="N203"/>
  <c r="N174"/>
  <c r="N154"/>
  <c r="N139"/>
  <c r="N134"/>
  <c r="N115"/>
  <c r="N105"/>
  <c r="N95"/>
  <c r="N191"/>
  <c r="N168"/>
  <c r="N159" i="3"/>
  <c r="N159" i="2" s="1"/>
  <c r="N160"/>
  <c r="N145"/>
  <c r="N137"/>
  <c r="N127"/>
  <c r="N120"/>
  <c r="N111" i="3"/>
  <c r="N111" i="2" s="1"/>
  <c r="N112"/>
  <c r="N110"/>
  <c r="N102"/>
  <c r="N92"/>
  <c r="N177"/>
  <c r="N164"/>
  <c r="N157"/>
  <c r="N149"/>
  <c r="N129"/>
  <c r="N116"/>
  <c r="N106"/>
  <c r="N96"/>
  <c r="N87" i="3"/>
  <c r="N87" i="2" s="1"/>
  <c r="N88"/>
  <c r="N181"/>
  <c r="N178"/>
  <c r="N135" i="3"/>
  <c r="N135" i="2" s="1"/>
  <c r="N136"/>
  <c r="N117"/>
  <c r="N107"/>
  <c r="N98"/>
  <c r="N93"/>
  <c r="N89"/>
  <c r="N83"/>
  <c r="N73"/>
  <c r="N65"/>
  <c r="N167"/>
  <c r="N165"/>
  <c r="N158"/>
  <c r="N125"/>
  <c r="N122"/>
  <c r="N101"/>
  <c r="N97"/>
  <c r="N80"/>
  <c r="N70"/>
  <c r="N60"/>
  <c r="N150"/>
  <c r="N130"/>
  <c r="N104"/>
  <c r="N85"/>
  <c r="N77"/>
  <c r="N190"/>
  <c r="N108"/>
  <c r="N90"/>
  <c r="N113"/>
  <c r="N99" i="3"/>
  <c r="N99" i="2" s="1"/>
  <c r="N100"/>
  <c r="N72"/>
  <c r="N63" i="3"/>
  <c r="N63" i="2" s="1"/>
  <c r="N64"/>
  <c r="N84"/>
  <c r="N75" i="3"/>
  <c r="N75" i="2" s="1"/>
  <c r="N76"/>
  <c r="N69"/>
  <c r="N68"/>
  <c r="N54"/>
  <c r="N44"/>
  <c r="N34"/>
  <c r="N24"/>
  <c r="N15" i="3"/>
  <c r="N15" i="2" s="1"/>
  <c r="N16"/>
  <c r="N14"/>
  <c r="N94"/>
  <c r="N81"/>
  <c r="N71"/>
  <c r="N201"/>
  <c r="N144"/>
  <c r="N140"/>
  <c r="N126"/>
  <c r="N121"/>
  <c r="N119"/>
  <c r="N86"/>
  <c r="N53"/>
  <c r="N43"/>
  <c r="N33"/>
  <c r="N23"/>
  <c r="N155"/>
  <c r="N82"/>
  <c r="N74"/>
  <c r="N55"/>
  <c r="N45"/>
  <c r="N35"/>
  <c r="N25"/>
  <c r="N175"/>
  <c r="N123" i="3"/>
  <c r="N123" i="2" s="1"/>
  <c r="N124"/>
  <c r="N103"/>
  <c r="N67"/>
  <c r="N29"/>
  <c r="N26"/>
  <c r="N21"/>
  <c r="N17"/>
  <c r="N114"/>
  <c r="N61"/>
  <c r="N50"/>
  <c r="N20"/>
  <c r="N11"/>
  <c r="N8"/>
  <c r="N91"/>
  <c r="N66"/>
  <c r="N58"/>
  <c r="N48"/>
  <c r="N38"/>
  <c r="N19"/>
  <c r="N10"/>
  <c r="N5"/>
  <c r="N30"/>
  <c r="N22"/>
  <c r="N3" i="3"/>
  <c r="N3" i="2" s="1"/>
  <c r="N4"/>
  <c r="N39" i="3"/>
  <c r="N39" i="2" s="1"/>
  <c r="N40"/>
  <c r="N36"/>
  <c r="N9"/>
  <c r="N49"/>
  <c r="N46"/>
  <c r="N27" i="3"/>
  <c r="N27" i="2" s="1"/>
  <c r="N28"/>
  <c r="N13"/>
  <c r="N109"/>
  <c r="N59"/>
  <c r="N37"/>
  <c r="N12"/>
  <c r="N78"/>
  <c r="N51" i="3"/>
  <c r="N51" i="2" s="1"/>
  <c r="N52"/>
  <c r="N7"/>
  <c r="N118"/>
  <c r="N79"/>
  <c r="N47"/>
  <c r="N6"/>
  <c r="N56"/>
  <c r="N42"/>
  <c r="N62"/>
  <c r="N31"/>
  <c r="N18"/>
  <c r="N41"/>
  <c r="N57"/>
  <c r="N32"/>
  <c r="AY239"/>
  <c r="AY229"/>
  <c r="AY221"/>
  <c r="AY211"/>
  <c r="AY236"/>
  <c r="AY241"/>
  <c r="AY233"/>
  <c r="AY223"/>
  <c r="AY213"/>
  <c r="AY238"/>
  <c r="AY235"/>
  <c r="AY225"/>
  <c r="AY215"/>
  <c r="AY205"/>
  <c r="AY240"/>
  <c r="AY231" i="3"/>
  <c r="AY231" i="2" s="1"/>
  <c r="AY232"/>
  <c r="AY237"/>
  <c r="AY242"/>
  <c r="AY234"/>
  <c r="AY224"/>
  <c r="AY214"/>
  <c r="AY227"/>
  <c r="AY226"/>
  <c r="AY204"/>
  <c r="AY195" i="3"/>
  <c r="AY195" i="2" s="1"/>
  <c r="AY196"/>
  <c r="AY194"/>
  <c r="AY186"/>
  <c r="AY212"/>
  <c r="AY206"/>
  <c r="AY201"/>
  <c r="AY191"/>
  <c r="AY181"/>
  <c r="AY203"/>
  <c r="AY193"/>
  <c r="AY185"/>
  <c r="AY230"/>
  <c r="AY222"/>
  <c r="AY197"/>
  <c r="AY187"/>
  <c r="AY189"/>
  <c r="AY188"/>
  <c r="AY182"/>
  <c r="AY180"/>
  <c r="AY178"/>
  <c r="AY168"/>
  <c r="AY159" i="3"/>
  <c r="AY159" i="2" s="1"/>
  <c r="AY160"/>
  <c r="AY158"/>
  <c r="AY150"/>
  <c r="AY140"/>
  <c r="AY130"/>
  <c r="AY218"/>
  <c r="AY217"/>
  <c r="AY216"/>
  <c r="AY210"/>
  <c r="AY209"/>
  <c r="AY207" i="3"/>
  <c r="AY207" i="2" s="1"/>
  <c r="AY208"/>
  <c r="AY202"/>
  <c r="AY175"/>
  <c r="AY165"/>
  <c r="AY155"/>
  <c r="AY145"/>
  <c r="AY137"/>
  <c r="AY127"/>
  <c r="AY200"/>
  <c r="AY171" i="3"/>
  <c r="AY171" i="2" s="1"/>
  <c r="AY172"/>
  <c r="AY170"/>
  <c r="AY162"/>
  <c r="AY152"/>
  <c r="AY142"/>
  <c r="AY132"/>
  <c r="AY192"/>
  <c r="AY183" i="3"/>
  <c r="AY183" i="2" s="1"/>
  <c r="AY184"/>
  <c r="AY179"/>
  <c r="AY169"/>
  <c r="AY161"/>
  <c r="AY151"/>
  <c r="AY141"/>
  <c r="AY131"/>
  <c r="AY199"/>
  <c r="AY198"/>
  <c r="AY176"/>
  <c r="AY156"/>
  <c r="AY147" i="3"/>
  <c r="AY147" i="2" s="1"/>
  <c r="AY148"/>
  <c r="AY128"/>
  <c r="AY123" i="3"/>
  <c r="AY123" i="2" s="1"/>
  <c r="AY124"/>
  <c r="AY122"/>
  <c r="AY114"/>
  <c r="AY104"/>
  <c r="AY94"/>
  <c r="AY163"/>
  <c r="AY119"/>
  <c r="AY109"/>
  <c r="AY101"/>
  <c r="AY228"/>
  <c r="AY166"/>
  <c r="AY144"/>
  <c r="AY135" i="3"/>
  <c r="AY135" i="2" s="1"/>
  <c r="AY136"/>
  <c r="AY115"/>
  <c r="AY105"/>
  <c r="AY95"/>
  <c r="AY177"/>
  <c r="AY173"/>
  <c r="AY117"/>
  <c r="AY116"/>
  <c r="AY107"/>
  <c r="AY106"/>
  <c r="AY92"/>
  <c r="AY82"/>
  <c r="AY72"/>
  <c r="AY63" i="3"/>
  <c r="AY63" i="2" s="1"/>
  <c r="AY64"/>
  <c r="AY62"/>
  <c r="AY219" i="3"/>
  <c r="AY219" i="2" s="1"/>
  <c r="AY220"/>
  <c r="AY157"/>
  <c r="AY153"/>
  <c r="AY97"/>
  <c r="AY96"/>
  <c r="AY79"/>
  <c r="AY69"/>
  <c r="AY59"/>
  <c r="AY174"/>
  <c r="AY164"/>
  <c r="AY149"/>
  <c r="AY138"/>
  <c r="AY125"/>
  <c r="AY121"/>
  <c r="AY99" i="3"/>
  <c r="AY99" i="2" s="1"/>
  <c r="AY100"/>
  <c r="AY90"/>
  <c r="AY154"/>
  <c r="AY110"/>
  <c r="AY83"/>
  <c r="AY129"/>
  <c r="AY113"/>
  <c r="AY139"/>
  <c r="AY133"/>
  <c r="AY118"/>
  <c r="AY85"/>
  <c r="AY84"/>
  <c r="AY77"/>
  <c r="AY75" i="3"/>
  <c r="AY75" i="2" s="1"/>
  <c r="AY76"/>
  <c r="AY143"/>
  <c r="AY134"/>
  <c r="AY126"/>
  <c r="AY98"/>
  <c r="AY73"/>
  <c r="AY68"/>
  <c r="AY53"/>
  <c r="AY43"/>
  <c r="AY33"/>
  <c r="AY23"/>
  <c r="AY13"/>
  <c r="AY146"/>
  <c r="AY108"/>
  <c r="AY71"/>
  <c r="AY70"/>
  <c r="AY67"/>
  <c r="AY167"/>
  <c r="AY103"/>
  <c r="AY102"/>
  <c r="AY93"/>
  <c r="AY87" i="3"/>
  <c r="AY87" i="2" s="1"/>
  <c r="AY88"/>
  <c r="AY78"/>
  <c r="AY51" i="3"/>
  <c r="AY51" i="2" s="1"/>
  <c r="AY52"/>
  <c r="AY50"/>
  <c r="AY42"/>
  <c r="AY32"/>
  <c r="AY22"/>
  <c r="AY89"/>
  <c r="AY54"/>
  <c r="AY44"/>
  <c r="AY34"/>
  <c r="AY24"/>
  <c r="AY91"/>
  <c r="AY20"/>
  <c r="AY17"/>
  <c r="AY190"/>
  <c r="AY86"/>
  <c r="AY49"/>
  <c r="AY27" i="3"/>
  <c r="AY27" i="2" s="1"/>
  <c r="AY28"/>
  <c r="AY25"/>
  <c r="AY7"/>
  <c r="AY120"/>
  <c r="AY57"/>
  <c r="AY47"/>
  <c r="AY37"/>
  <c r="AY15" i="3"/>
  <c r="AY15" i="2" s="1"/>
  <c r="AY16"/>
  <c r="AY10"/>
  <c r="AY9"/>
  <c r="AY81"/>
  <c r="AY61"/>
  <c r="AY31"/>
  <c r="AY26"/>
  <c r="AY11"/>
  <c r="AY5"/>
  <c r="AY3" i="3"/>
  <c r="AY3" i="2" s="1"/>
  <c r="AY4"/>
  <c r="AY39" i="3"/>
  <c r="AY39" i="2" s="1"/>
  <c r="AY40"/>
  <c r="AY38"/>
  <c r="AY36"/>
  <c r="AY35"/>
  <c r="AY66"/>
  <c r="AY48"/>
  <c r="AY46"/>
  <c r="AY45"/>
  <c r="AY19"/>
  <c r="AY18"/>
  <c r="AY41"/>
  <c r="AY65"/>
  <c r="AY30"/>
  <c r="AY29"/>
  <c r="AY6"/>
  <c r="AY74"/>
  <c r="AY55"/>
  <c r="AY14"/>
  <c r="AY21"/>
  <c r="AY111" i="3"/>
  <c r="AY111" i="2" s="1"/>
  <c r="AY112"/>
  <c r="AY60"/>
  <c r="AY56"/>
  <c r="AY58"/>
  <c r="AY12"/>
  <c r="AY8"/>
  <c r="AY80"/>
  <c r="Z236"/>
  <c r="Z226"/>
  <c r="Z216"/>
  <c r="Z207" i="3"/>
  <c r="Z207" i="2" s="1"/>
  <c r="Z208"/>
  <c r="Z206"/>
  <c r="Z241"/>
  <c r="Z233"/>
  <c r="Z238"/>
  <c r="Z228"/>
  <c r="Z219" i="3"/>
  <c r="Z219" i="2" s="1"/>
  <c r="Z220"/>
  <c r="Z218"/>
  <c r="Z210"/>
  <c r="Z235"/>
  <c r="Z240"/>
  <c r="Z231" i="3"/>
  <c r="Z231" i="2" s="1"/>
  <c r="Z232"/>
  <c r="Z230"/>
  <c r="Z222"/>
  <c r="Z212"/>
  <c r="Z237"/>
  <c r="Z242"/>
  <c r="Z234"/>
  <c r="Z239"/>
  <c r="Z229"/>
  <c r="Z221"/>
  <c r="Z211"/>
  <c r="Z223"/>
  <c r="Z201"/>
  <c r="Z191"/>
  <c r="Z181"/>
  <c r="Z215"/>
  <c r="Z198"/>
  <c r="Z188"/>
  <c r="Z227"/>
  <c r="Z214"/>
  <c r="Z205"/>
  <c r="Z200"/>
  <c r="Z190"/>
  <c r="Z225"/>
  <c r="Z202"/>
  <c r="Z192"/>
  <c r="Z183" i="3"/>
  <c r="Z183" i="2" s="1"/>
  <c r="Z184"/>
  <c r="Z182"/>
  <c r="Z224"/>
  <c r="Z193"/>
  <c r="Z185"/>
  <c r="Z175"/>
  <c r="Z165"/>
  <c r="Z155"/>
  <c r="Z145"/>
  <c r="Z137"/>
  <c r="Z197"/>
  <c r="Z180"/>
  <c r="Z171" i="3"/>
  <c r="Z171" i="2" s="1"/>
  <c r="Z172"/>
  <c r="Z170"/>
  <c r="Z162"/>
  <c r="Z152"/>
  <c r="Z142"/>
  <c r="Z132"/>
  <c r="Z177"/>
  <c r="Z167"/>
  <c r="Z157"/>
  <c r="Z149"/>
  <c r="Z139"/>
  <c r="Z129"/>
  <c r="Z187"/>
  <c r="Z176"/>
  <c r="Z166"/>
  <c r="Z156"/>
  <c r="Z147" i="3"/>
  <c r="Z147" i="2" s="1"/>
  <c r="Z148"/>
  <c r="Z146"/>
  <c r="Z138"/>
  <c r="Z128"/>
  <c r="Z168"/>
  <c r="Z159" i="3"/>
  <c r="Z159" i="2" s="1"/>
  <c r="Z160"/>
  <c r="Z144"/>
  <c r="Z135" i="3"/>
  <c r="Z135" i="2" s="1"/>
  <c r="Z136"/>
  <c r="Z119"/>
  <c r="Z109"/>
  <c r="Z101"/>
  <c r="Z91"/>
  <c r="Z179"/>
  <c r="Z151"/>
  <c r="Z131"/>
  <c r="Z127"/>
  <c r="Z116"/>
  <c r="Z106"/>
  <c r="Z96"/>
  <c r="Z194"/>
  <c r="Z189"/>
  <c r="Z174"/>
  <c r="Z154"/>
  <c r="Z134"/>
  <c r="Z120"/>
  <c r="Z111" i="3"/>
  <c r="Z111" i="2" s="1"/>
  <c r="Z112"/>
  <c r="Z110"/>
  <c r="Z102"/>
  <c r="Z92"/>
  <c r="Z173"/>
  <c r="Z117"/>
  <c r="Z107"/>
  <c r="Z79"/>
  <c r="Z69"/>
  <c r="Z199"/>
  <c r="Z164"/>
  <c r="Z153"/>
  <c r="Z122"/>
  <c r="Z97"/>
  <c r="Z89"/>
  <c r="Z84"/>
  <c r="Z75" i="3"/>
  <c r="Z75" i="2" s="1"/>
  <c r="Z76"/>
  <c r="Z74"/>
  <c r="Z66"/>
  <c r="Z195" i="3"/>
  <c r="Z195" i="2" s="1"/>
  <c r="Z196"/>
  <c r="Z140"/>
  <c r="Z130"/>
  <c r="Z126"/>
  <c r="Z121"/>
  <c r="Z99" i="3"/>
  <c r="Z99" i="2" s="1"/>
  <c r="Z100"/>
  <c r="Z204"/>
  <c r="Z203"/>
  <c r="Z133"/>
  <c r="Z125"/>
  <c r="Z115"/>
  <c r="Z82"/>
  <c r="Z178"/>
  <c r="Z150"/>
  <c r="Z143"/>
  <c r="Z118"/>
  <c r="Z94"/>
  <c r="Z161"/>
  <c r="Z104"/>
  <c r="Z103"/>
  <c r="Z87" i="3"/>
  <c r="Z87" i="2" s="1"/>
  <c r="Z88"/>
  <c r="Z83"/>
  <c r="Z62"/>
  <c r="Z217"/>
  <c r="Z169"/>
  <c r="Z158"/>
  <c r="Z113"/>
  <c r="Z90"/>
  <c r="Z86"/>
  <c r="Z71"/>
  <c r="Z67"/>
  <c r="Z58"/>
  <c r="Z48"/>
  <c r="Z39" i="3"/>
  <c r="Z39" i="2" s="1"/>
  <c r="Z40"/>
  <c r="Z38"/>
  <c r="Z30"/>
  <c r="Z20"/>
  <c r="Z10"/>
  <c r="Z70"/>
  <c r="Z213"/>
  <c r="Z108"/>
  <c r="Z85"/>
  <c r="Z57"/>
  <c r="Z47"/>
  <c r="Z37"/>
  <c r="Z29"/>
  <c r="Z19"/>
  <c r="Z93"/>
  <c r="Z59"/>
  <c r="Z49"/>
  <c r="Z41"/>
  <c r="Z31"/>
  <c r="Z21"/>
  <c r="Z80"/>
  <c r="Z68"/>
  <c r="Z18"/>
  <c r="Z7"/>
  <c r="Z123" i="3"/>
  <c r="Z123" i="2" s="1"/>
  <c r="Z124"/>
  <c r="Z105"/>
  <c r="Z60"/>
  <c r="Z54"/>
  <c r="Z50"/>
  <c r="Z44"/>
  <c r="Z34"/>
  <c r="Z27" i="3"/>
  <c r="Z27" i="2" s="1"/>
  <c r="Z28"/>
  <c r="Z25"/>
  <c r="Z12"/>
  <c r="Z3" i="3"/>
  <c r="Z3" i="2" s="1"/>
  <c r="Z4"/>
  <c r="Z163"/>
  <c r="Z114"/>
  <c r="Z73"/>
  <c r="Z53"/>
  <c r="Z43"/>
  <c r="Z33"/>
  <c r="Z24"/>
  <c r="Z6"/>
  <c r="Z65"/>
  <c r="Z5"/>
  <c r="Z63" i="3"/>
  <c r="Z63" i="2" s="1"/>
  <c r="Z64"/>
  <c r="Z61"/>
  <c r="Z46"/>
  <c r="Z45"/>
  <c r="Z42"/>
  <c r="Z15" i="3"/>
  <c r="Z15" i="2" s="1"/>
  <c r="Z16"/>
  <c r="Z141"/>
  <c r="Z17"/>
  <c r="Z95"/>
  <c r="Z51" i="3"/>
  <c r="Z51" i="2" s="1"/>
  <c r="Z52"/>
  <c r="Z23"/>
  <c r="Z11"/>
  <c r="Z209"/>
  <c r="Z186"/>
  <c r="Z22"/>
  <c r="Z72"/>
  <c r="Z26"/>
  <c r="Z13"/>
  <c r="Z56"/>
  <c r="Z55"/>
  <c r="Z81"/>
  <c r="Z77"/>
  <c r="Z78"/>
  <c r="Z9"/>
  <c r="Z14"/>
  <c r="Z35"/>
  <c r="Z32"/>
  <c r="Z98"/>
  <c r="Z36"/>
  <c r="Z8"/>
  <c r="AP236"/>
  <c r="AP226"/>
  <c r="AP216"/>
  <c r="AP207" i="3"/>
  <c r="AP207" i="2" s="1"/>
  <c r="AP208"/>
  <c r="AP206"/>
  <c r="AP241"/>
  <c r="AP233"/>
  <c r="AP238"/>
  <c r="AP228"/>
  <c r="AP219" i="3"/>
  <c r="AP219" i="2" s="1"/>
  <c r="AP220"/>
  <c r="AP218"/>
  <c r="AP210"/>
  <c r="AP235"/>
  <c r="AP240"/>
  <c r="AP231" i="3"/>
  <c r="AP231" i="2" s="1"/>
  <c r="AP232"/>
  <c r="AP230"/>
  <c r="AP222"/>
  <c r="AP212"/>
  <c r="AP237"/>
  <c r="AP242"/>
  <c r="AP234"/>
  <c r="AP239"/>
  <c r="AP229"/>
  <c r="AP221"/>
  <c r="AP211"/>
  <c r="AP223"/>
  <c r="AP201"/>
  <c r="AP191"/>
  <c r="AP181"/>
  <c r="AP215"/>
  <c r="AP198"/>
  <c r="AP188"/>
  <c r="AP227"/>
  <c r="AP214"/>
  <c r="AP200"/>
  <c r="AP190"/>
  <c r="AP225"/>
  <c r="AP205"/>
  <c r="AP202"/>
  <c r="AP192"/>
  <c r="AP183" i="3"/>
  <c r="AP183" i="2" s="1"/>
  <c r="AP184"/>
  <c r="AP182"/>
  <c r="AP193"/>
  <c r="AP185"/>
  <c r="AP175"/>
  <c r="AP165"/>
  <c r="AP155"/>
  <c r="AP145"/>
  <c r="AP137"/>
  <c r="AP197"/>
  <c r="AP180"/>
  <c r="AP171" i="3"/>
  <c r="AP171" i="2" s="1"/>
  <c r="AP172"/>
  <c r="AP170"/>
  <c r="AP162"/>
  <c r="AP152"/>
  <c r="AP142"/>
  <c r="AP132"/>
  <c r="AP177"/>
  <c r="AP167"/>
  <c r="AP157"/>
  <c r="AP149"/>
  <c r="AP139"/>
  <c r="AP129"/>
  <c r="AP187"/>
  <c r="AP176"/>
  <c r="AP166"/>
  <c r="AP156"/>
  <c r="AP147" i="3"/>
  <c r="AP147" i="2" s="1"/>
  <c r="AP148"/>
  <c r="AP146"/>
  <c r="AP138"/>
  <c r="AP128"/>
  <c r="AP168"/>
  <c r="AP159" i="3"/>
  <c r="AP159" i="2" s="1"/>
  <c r="AP160"/>
  <c r="AP144"/>
  <c r="AP135" i="3"/>
  <c r="AP135" i="2" s="1"/>
  <c r="AP136"/>
  <c r="AP119"/>
  <c r="AP109"/>
  <c r="AP101"/>
  <c r="AP91"/>
  <c r="AP209"/>
  <c r="AP194"/>
  <c r="AP189"/>
  <c r="AP179"/>
  <c r="AP151"/>
  <c r="AP131"/>
  <c r="AP116"/>
  <c r="AP106"/>
  <c r="AP96"/>
  <c r="AP213"/>
  <c r="AP174"/>
  <c r="AP154"/>
  <c r="AP134"/>
  <c r="AP120"/>
  <c r="AP111" i="3"/>
  <c r="AP111" i="2" s="1"/>
  <c r="AP112"/>
  <c r="AP110"/>
  <c r="AP102"/>
  <c r="AP92"/>
  <c r="AP204"/>
  <c r="AP118"/>
  <c r="AP113"/>
  <c r="AP108"/>
  <c r="AP103"/>
  <c r="AP94"/>
  <c r="AP79"/>
  <c r="AP69"/>
  <c r="AP59"/>
  <c r="AP217"/>
  <c r="AP186"/>
  <c r="AP178"/>
  <c r="AP169"/>
  <c r="AP143"/>
  <c r="AP127"/>
  <c r="AP126"/>
  <c r="AP98"/>
  <c r="AP93"/>
  <c r="AP84"/>
  <c r="AP75" i="3"/>
  <c r="AP75" i="2" s="1"/>
  <c r="AP76"/>
  <c r="AP74"/>
  <c r="AP66"/>
  <c r="AP158"/>
  <c r="AP141"/>
  <c r="AP133"/>
  <c r="AP117"/>
  <c r="AP107"/>
  <c r="AP123" i="3"/>
  <c r="AP123" i="2" s="1"/>
  <c r="AP124"/>
  <c r="AP114"/>
  <c r="AP99" i="3"/>
  <c r="AP99" i="2" s="1"/>
  <c r="AP100"/>
  <c r="AP97"/>
  <c r="AP80"/>
  <c r="AP73"/>
  <c r="AP224"/>
  <c r="AP203"/>
  <c r="AP195" i="3"/>
  <c r="AP195" i="2" s="1"/>
  <c r="AP196"/>
  <c r="AP105"/>
  <c r="AP89"/>
  <c r="AP86"/>
  <c r="AP78"/>
  <c r="AP150"/>
  <c r="AP81"/>
  <c r="AP67"/>
  <c r="AP164"/>
  <c r="AP163"/>
  <c r="AP161"/>
  <c r="AP95"/>
  <c r="AP87" i="3"/>
  <c r="AP87" i="2" s="1"/>
  <c r="AP88"/>
  <c r="AP72"/>
  <c r="AP61"/>
  <c r="AP58"/>
  <c r="AP48"/>
  <c r="AP39" i="3"/>
  <c r="AP39" i="2" s="1"/>
  <c r="AP40"/>
  <c r="AP38"/>
  <c r="AP30"/>
  <c r="AP20"/>
  <c r="AP10"/>
  <c r="AP122"/>
  <c r="AP104"/>
  <c r="AP77"/>
  <c r="AP65"/>
  <c r="AP199"/>
  <c r="AP125"/>
  <c r="AP82"/>
  <c r="AP71"/>
  <c r="AP70"/>
  <c r="AP60"/>
  <c r="AP57"/>
  <c r="AP47"/>
  <c r="AP37"/>
  <c r="AP29"/>
  <c r="AP19"/>
  <c r="AP130"/>
  <c r="AP49"/>
  <c r="AP41"/>
  <c r="AP31"/>
  <c r="AP21"/>
  <c r="AP173"/>
  <c r="AP85"/>
  <c r="AP62"/>
  <c r="AP17"/>
  <c r="AP7"/>
  <c r="AP83"/>
  <c r="AP63" i="3"/>
  <c r="AP63" i="2" s="1"/>
  <c r="AP64"/>
  <c r="AP55"/>
  <c r="AP45"/>
  <c r="AP35"/>
  <c r="AP26"/>
  <c r="AP22"/>
  <c r="AP3" i="3"/>
  <c r="AP3" i="2" s="1"/>
  <c r="AP4"/>
  <c r="AP121"/>
  <c r="AP54"/>
  <c r="AP50"/>
  <c r="AP44"/>
  <c r="AP34"/>
  <c r="AP27" i="3"/>
  <c r="AP27" i="2" s="1"/>
  <c r="AP28"/>
  <c r="AP25"/>
  <c r="AP15" i="3"/>
  <c r="AP15" i="2" s="1"/>
  <c r="AP16"/>
  <c r="AP6"/>
  <c r="AP140"/>
  <c r="AP90"/>
  <c r="AP53"/>
  <c r="AP46"/>
  <c r="AP42"/>
  <c r="AP56"/>
  <c r="AP51" i="3"/>
  <c r="AP51" i="2" s="1"/>
  <c r="AP52"/>
  <c r="AP153"/>
  <c r="AP68"/>
  <c r="AP11"/>
  <c r="AP14"/>
  <c r="AP9"/>
  <c r="AP8"/>
  <c r="AP36"/>
  <c r="AP32"/>
  <c r="AP23"/>
  <c r="AP12"/>
  <c r="AP115"/>
  <c r="AP43"/>
  <c r="AP13"/>
  <c r="AP5"/>
  <c r="AP24"/>
  <c r="AP33"/>
  <c r="AP18"/>
  <c r="I241"/>
  <c r="I233"/>
  <c r="I223"/>
  <c r="I213"/>
  <c r="I238"/>
  <c r="I235"/>
  <c r="I225"/>
  <c r="I215"/>
  <c r="I240"/>
  <c r="I231" i="3"/>
  <c r="I231" i="2" s="1"/>
  <c r="I232"/>
  <c r="I237"/>
  <c r="I227"/>
  <c r="I217"/>
  <c r="I209"/>
  <c r="I242"/>
  <c r="I234"/>
  <c r="I239"/>
  <c r="I236"/>
  <c r="I226"/>
  <c r="I216"/>
  <c r="I207" i="3"/>
  <c r="I207" i="2" s="1"/>
  <c r="I208"/>
  <c r="I230"/>
  <c r="I222"/>
  <c r="I198"/>
  <c r="I188"/>
  <c r="I229"/>
  <c r="I228"/>
  <c r="I221"/>
  <c r="I219" i="3"/>
  <c r="I219" i="2" s="1"/>
  <c r="I220"/>
  <c r="I203"/>
  <c r="I193"/>
  <c r="I185"/>
  <c r="I205"/>
  <c r="I197"/>
  <c r="I187"/>
  <c r="I218"/>
  <c r="I211"/>
  <c r="I210"/>
  <c r="I199"/>
  <c r="I189"/>
  <c r="I192"/>
  <c r="I183" i="3"/>
  <c r="I183" i="2" s="1"/>
  <c r="I184"/>
  <c r="I180"/>
  <c r="I171" i="3"/>
  <c r="I171" i="2" s="1"/>
  <c r="I172"/>
  <c r="I170"/>
  <c r="I162"/>
  <c r="I152"/>
  <c r="I142"/>
  <c r="I132"/>
  <c r="I191"/>
  <c r="I190"/>
  <c r="I177"/>
  <c r="I167"/>
  <c r="I157"/>
  <c r="I149"/>
  <c r="I139"/>
  <c r="I129"/>
  <c r="I204"/>
  <c r="I195" i="3"/>
  <c r="I195" i="2" s="1"/>
  <c r="I196"/>
  <c r="I174"/>
  <c r="I164"/>
  <c r="I154"/>
  <c r="I144"/>
  <c r="I135" i="3"/>
  <c r="I135" i="2" s="1"/>
  <c r="I136"/>
  <c r="I134"/>
  <c r="I126"/>
  <c r="I201"/>
  <c r="I200"/>
  <c r="I173"/>
  <c r="I163"/>
  <c r="I153"/>
  <c r="I143"/>
  <c r="I133"/>
  <c r="I125"/>
  <c r="I194"/>
  <c r="I179"/>
  <c r="I166"/>
  <c r="I151"/>
  <c r="I131"/>
  <c r="I116"/>
  <c r="I106"/>
  <c r="I96"/>
  <c r="I87" i="3"/>
  <c r="I87" i="2" s="1"/>
  <c r="I88"/>
  <c r="I214"/>
  <c r="I186"/>
  <c r="I165"/>
  <c r="I121"/>
  <c r="I113"/>
  <c r="I103"/>
  <c r="I93"/>
  <c r="I224"/>
  <c r="I169"/>
  <c r="I161"/>
  <c r="I140"/>
  <c r="I117"/>
  <c r="I107"/>
  <c r="I97"/>
  <c r="I89"/>
  <c r="I150"/>
  <c r="I147" i="3"/>
  <c r="I147" i="2" s="1"/>
  <c r="I148"/>
  <c r="I115"/>
  <c r="I105"/>
  <c r="I91"/>
  <c r="I84"/>
  <c r="I75" i="3"/>
  <c r="I75" i="2" s="1"/>
  <c r="I76"/>
  <c r="I74"/>
  <c r="I66"/>
  <c r="I146"/>
  <c r="I123" i="3"/>
  <c r="I123" i="2" s="1"/>
  <c r="I124"/>
  <c r="I120"/>
  <c r="I110"/>
  <c r="I95"/>
  <c r="I81"/>
  <c r="I71"/>
  <c r="I61"/>
  <c r="I182"/>
  <c r="I175"/>
  <c r="I137"/>
  <c r="I119"/>
  <c r="I114"/>
  <c r="I109"/>
  <c r="I104"/>
  <c r="I90"/>
  <c r="I202"/>
  <c r="I178"/>
  <c r="I83"/>
  <c r="I168"/>
  <c r="I118"/>
  <c r="I94"/>
  <c r="I82"/>
  <c r="I181"/>
  <c r="I159" i="3"/>
  <c r="I159" i="2" s="1"/>
  <c r="I160"/>
  <c r="I128"/>
  <c r="I127"/>
  <c r="I122"/>
  <c r="I102"/>
  <c r="I85"/>
  <c r="I77"/>
  <c r="I212"/>
  <c r="I138"/>
  <c r="I130"/>
  <c r="I92"/>
  <c r="I86"/>
  <c r="I73"/>
  <c r="I55"/>
  <c r="I45"/>
  <c r="I35"/>
  <c r="I25"/>
  <c r="I17"/>
  <c r="I206"/>
  <c r="I101"/>
  <c r="I111" i="3"/>
  <c r="I111" i="2" s="1"/>
  <c r="I112"/>
  <c r="I65"/>
  <c r="I63" i="3"/>
  <c r="I63" i="2" s="1"/>
  <c r="I64"/>
  <c r="I54"/>
  <c r="I44"/>
  <c r="I34"/>
  <c r="I24"/>
  <c r="I156"/>
  <c r="I98"/>
  <c r="I79"/>
  <c r="I72"/>
  <c r="I70"/>
  <c r="I69"/>
  <c r="I67"/>
  <c r="I56"/>
  <c r="I46"/>
  <c r="I36"/>
  <c r="I27" i="3"/>
  <c r="I27" i="2" s="1"/>
  <c r="I28"/>
  <c r="I26"/>
  <c r="I145"/>
  <c r="I108"/>
  <c r="I99" i="3"/>
  <c r="I99" i="2" s="1"/>
  <c r="I100"/>
  <c r="I58"/>
  <c r="I53"/>
  <c r="I48"/>
  <c r="I43"/>
  <c r="I38"/>
  <c r="I33"/>
  <c r="I13"/>
  <c r="I3" i="3"/>
  <c r="I3" i="2" s="1"/>
  <c r="I4"/>
  <c r="I60"/>
  <c r="I57"/>
  <c r="I47"/>
  <c r="I37"/>
  <c r="I18"/>
  <c r="I9"/>
  <c r="I41"/>
  <c r="I31"/>
  <c r="I155"/>
  <c r="I80"/>
  <c r="I39" i="3"/>
  <c r="I39" i="2" s="1"/>
  <c r="I40"/>
  <c r="I32"/>
  <c r="I15" i="3"/>
  <c r="I15" i="2" s="1"/>
  <c r="I16"/>
  <c r="I158"/>
  <c r="I11"/>
  <c r="I8"/>
  <c r="I176"/>
  <c r="I51" i="3"/>
  <c r="I51" i="2" s="1"/>
  <c r="I52"/>
  <c r="I7"/>
  <c r="I6"/>
  <c r="I59"/>
  <c r="I12"/>
  <c r="I19"/>
  <c r="I62"/>
  <c r="I10"/>
  <c r="I14"/>
  <c r="I141"/>
  <c r="I30"/>
  <c r="I29"/>
  <c r="I42"/>
  <c r="I68"/>
  <c r="I50"/>
  <c r="I20"/>
  <c r="I78"/>
  <c r="I22"/>
  <c r="I21"/>
  <c r="I49"/>
  <c r="I23"/>
  <c r="I5"/>
  <c r="AR242"/>
  <c r="AR234"/>
  <c r="AR224"/>
  <c r="AR214"/>
  <c r="AR239"/>
  <c r="AR236"/>
  <c r="AR226"/>
  <c r="AR216"/>
  <c r="AR207" i="3"/>
  <c r="AR207" i="2" s="1"/>
  <c r="AR208"/>
  <c r="AR206"/>
  <c r="AR241"/>
  <c r="AR233"/>
  <c r="AR238"/>
  <c r="AR228"/>
  <c r="AR219" i="3"/>
  <c r="AR219" i="2" s="1"/>
  <c r="AR220"/>
  <c r="AR218"/>
  <c r="AR210"/>
  <c r="AR235"/>
  <c r="AR240"/>
  <c r="AR231" i="3"/>
  <c r="AR231" i="2" s="1"/>
  <c r="AR232"/>
  <c r="AR237"/>
  <c r="AR227"/>
  <c r="AR217"/>
  <c r="AR209"/>
  <c r="AR199"/>
  <c r="AR189"/>
  <c r="AR223"/>
  <c r="AR204"/>
  <c r="AR195" i="3"/>
  <c r="AR195" i="2" s="1"/>
  <c r="AR196"/>
  <c r="AR194"/>
  <c r="AR186"/>
  <c r="AR198"/>
  <c r="AR188"/>
  <c r="AR213"/>
  <c r="AR200"/>
  <c r="AR190"/>
  <c r="AR180"/>
  <c r="AR173"/>
  <c r="AR163"/>
  <c r="AR153"/>
  <c r="AR143"/>
  <c r="AR133"/>
  <c r="AR193"/>
  <c r="AR185"/>
  <c r="AR178"/>
  <c r="AR168"/>
  <c r="AR159" i="3"/>
  <c r="AR159" i="2" s="1"/>
  <c r="AR160"/>
  <c r="AR158"/>
  <c r="AR150"/>
  <c r="AR140"/>
  <c r="AR130"/>
  <c r="AR197"/>
  <c r="AR192"/>
  <c r="AR191"/>
  <c r="AR183" i="3"/>
  <c r="AR183" i="2" s="1"/>
  <c r="AR184"/>
  <c r="AR175"/>
  <c r="AR165"/>
  <c r="AR155"/>
  <c r="AR145"/>
  <c r="AR137"/>
  <c r="AR127"/>
  <c r="AR203"/>
  <c r="AR182"/>
  <c r="AR181"/>
  <c r="AR174"/>
  <c r="AR164"/>
  <c r="AR154"/>
  <c r="AR144"/>
  <c r="AR135" i="3"/>
  <c r="AR135" i="2" s="1"/>
  <c r="AR136"/>
  <c r="AR134"/>
  <c r="AR126"/>
  <c r="AR222"/>
  <c r="AR171" i="3"/>
  <c r="AR171" i="2" s="1"/>
  <c r="AR172"/>
  <c r="AR152"/>
  <c r="AR146"/>
  <c r="AR138"/>
  <c r="AR132"/>
  <c r="AR117"/>
  <c r="AR107"/>
  <c r="AR97"/>
  <c r="AR89"/>
  <c r="AR187"/>
  <c r="AR167"/>
  <c r="AR123" i="3"/>
  <c r="AR123" i="2" s="1"/>
  <c r="AR124"/>
  <c r="AR122"/>
  <c r="AR114"/>
  <c r="AR104"/>
  <c r="AR94"/>
  <c r="AR229"/>
  <c r="AR215"/>
  <c r="AR205"/>
  <c r="AR176"/>
  <c r="AR170"/>
  <c r="AR162"/>
  <c r="AR156"/>
  <c r="AR147" i="3"/>
  <c r="AR147" i="2" s="1"/>
  <c r="AR148"/>
  <c r="AR141"/>
  <c r="AR128"/>
  <c r="AR125"/>
  <c r="AR118"/>
  <c r="AR108"/>
  <c r="AR99" i="3"/>
  <c r="AR99" i="2" s="1"/>
  <c r="AR100"/>
  <c r="AR98"/>
  <c r="AR90"/>
  <c r="AR201"/>
  <c r="AR149"/>
  <c r="AR85"/>
  <c r="AR77"/>
  <c r="AR67"/>
  <c r="AR87" i="3"/>
  <c r="AR87" i="2" s="1"/>
  <c r="AR88"/>
  <c r="AR82"/>
  <c r="AR72"/>
  <c r="AR63" i="3"/>
  <c r="AR63" i="2" s="1"/>
  <c r="AR64"/>
  <c r="AR62"/>
  <c r="AR230"/>
  <c r="AR212"/>
  <c r="AR169"/>
  <c r="AR131"/>
  <c r="AR113"/>
  <c r="AR103"/>
  <c r="AR91"/>
  <c r="AR225"/>
  <c r="AR221"/>
  <c r="AR166"/>
  <c r="AR161"/>
  <c r="AR115"/>
  <c r="AR101"/>
  <c r="AR93"/>
  <c r="AR84"/>
  <c r="AR75" i="3"/>
  <c r="AR75" i="2" s="1"/>
  <c r="AR76"/>
  <c r="AR202"/>
  <c r="AR179"/>
  <c r="AR177"/>
  <c r="AR142"/>
  <c r="AR121"/>
  <c r="AR120"/>
  <c r="AR106"/>
  <c r="AR83"/>
  <c r="AR86"/>
  <c r="AR78"/>
  <c r="AR92"/>
  <c r="AR56"/>
  <c r="AR46"/>
  <c r="AR36"/>
  <c r="AR27" i="3"/>
  <c r="AR27" i="2" s="1"/>
  <c r="AR28"/>
  <c r="AR26"/>
  <c r="AR18"/>
  <c r="AR105"/>
  <c r="AR102"/>
  <c r="AR95"/>
  <c r="AR119"/>
  <c r="AR111" i="3"/>
  <c r="AR111" i="2" s="1"/>
  <c r="AR112"/>
  <c r="AR80"/>
  <c r="AR69"/>
  <c r="AR65"/>
  <c r="AR55"/>
  <c r="AR45"/>
  <c r="AR35"/>
  <c r="AR25"/>
  <c r="AR211"/>
  <c r="AR139"/>
  <c r="AR79"/>
  <c r="AR70"/>
  <c r="AR60"/>
  <c r="AR59"/>
  <c r="AR57"/>
  <c r="AR47"/>
  <c r="AR37"/>
  <c r="AR29"/>
  <c r="AR73"/>
  <c r="AR51" i="3"/>
  <c r="AR51" i="2" s="1"/>
  <c r="AR52"/>
  <c r="AR42"/>
  <c r="AR32"/>
  <c r="AR23"/>
  <c r="AR5"/>
  <c r="AR157"/>
  <c r="AR129"/>
  <c r="AR41"/>
  <c r="AR31"/>
  <c r="AR12"/>
  <c r="AR21"/>
  <c r="AR3" i="3"/>
  <c r="AR3" i="2" s="1"/>
  <c r="AR4"/>
  <c r="AR66"/>
  <c r="AR54"/>
  <c r="AR43"/>
  <c r="AR14"/>
  <c r="AR8"/>
  <c r="AR7"/>
  <c r="AR53"/>
  <c r="AR49"/>
  <c r="AR48"/>
  <c r="AR10"/>
  <c r="AR6"/>
  <c r="AR96"/>
  <c r="AR15" i="3"/>
  <c r="AR15" i="2" s="1"/>
  <c r="AR16"/>
  <c r="AR17"/>
  <c r="AR61"/>
  <c r="AR58"/>
  <c r="AR38"/>
  <c r="AR9"/>
  <c r="AR68"/>
  <c r="AR34"/>
  <c r="AR24"/>
  <c r="AR13"/>
  <c r="AR151"/>
  <c r="AR71"/>
  <c r="AR33"/>
  <c r="AR50"/>
  <c r="AR109"/>
  <c r="AR81"/>
  <c r="AR110"/>
  <c r="AR22"/>
  <c r="AR30"/>
  <c r="AR74"/>
  <c r="AR20"/>
  <c r="AR39" i="3"/>
  <c r="AR39" i="2" s="1"/>
  <c r="AR40"/>
  <c r="AR44"/>
  <c r="AR11"/>
  <c r="AR116"/>
  <c r="AR19"/>
  <c r="AA239"/>
  <c r="AA229"/>
  <c r="AA221"/>
  <c r="AA211"/>
  <c r="AA236"/>
  <c r="AA241"/>
  <c r="AA233"/>
  <c r="AA223"/>
  <c r="AA213"/>
  <c r="AA238"/>
  <c r="AA235"/>
  <c r="AA225"/>
  <c r="AA215"/>
  <c r="AA205"/>
  <c r="AA240"/>
  <c r="AA231" i="3"/>
  <c r="AA231" i="2" s="1"/>
  <c r="AA232"/>
  <c r="AA237"/>
  <c r="AA242"/>
  <c r="AA234"/>
  <c r="AA224"/>
  <c r="AA214"/>
  <c r="AA217"/>
  <c r="AA216"/>
  <c r="AA209"/>
  <c r="AA207" i="3"/>
  <c r="AA207" i="2" s="1"/>
  <c r="AA208"/>
  <c r="AA204"/>
  <c r="AA195" i="3"/>
  <c r="AA195" i="2" s="1"/>
  <c r="AA196"/>
  <c r="AA194"/>
  <c r="AA186"/>
  <c r="AA230"/>
  <c r="AA222"/>
  <c r="AA201"/>
  <c r="AA191"/>
  <c r="AA181"/>
  <c r="AA203"/>
  <c r="AA193"/>
  <c r="AA185"/>
  <c r="AA212"/>
  <c r="AA197"/>
  <c r="AA187"/>
  <c r="AA228"/>
  <c r="AA226"/>
  <c r="AA219" i="3"/>
  <c r="AA219" i="2" s="1"/>
  <c r="AA220"/>
  <c r="AA199"/>
  <c r="AA198"/>
  <c r="AA178"/>
  <c r="AA168"/>
  <c r="AA159" i="3"/>
  <c r="AA159" i="2" s="1"/>
  <c r="AA160"/>
  <c r="AA158"/>
  <c r="AA150"/>
  <c r="AA140"/>
  <c r="AA130"/>
  <c r="AA227"/>
  <c r="AA192"/>
  <c r="AA183" i="3"/>
  <c r="AA183" i="2" s="1"/>
  <c r="AA184"/>
  <c r="AA175"/>
  <c r="AA165"/>
  <c r="AA155"/>
  <c r="AA145"/>
  <c r="AA137"/>
  <c r="AA127"/>
  <c r="AA190"/>
  <c r="AA180"/>
  <c r="AA171" i="3"/>
  <c r="AA171" i="2" s="1"/>
  <c r="AA172"/>
  <c r="AA170"/>
  <c r="AA162"/>
  <c r="AA152"/>
  <c r="AA142"/>
  <c r="AA132"/>
  <c r="AA202"/>
  <c r="AA179"/>
  <c r="AA169"/>
  <c r="AA161"/>
  <c r="AA151"/>
  <c r="AA141"/>
  <c r="AA131"/>
  <c r="AA173"/>
  <c r="AA167"/>
  <c r="AA153"/>
  <c r="AA133"/>
  <c r="AA125"/>
  <c r="AA123" i="3"/>
  <c r="AA123" i="2" s="1"/>
  <c r="AA124"/>
  <c r="AA122"/>
  <c r="AA114"/>
  <c r="AA104"/>
  <c r="AA94"/>
  <c r="AA200"/>
  <c r="AA166"/>
  <c r="AA144"/>
  <c r="AA135" i="3"/>
  <c r="AA135" i="2" s="1"/>
  <c r="AA136"/>
  <c r="AA119"/>
  <c r="AA109"/>
  <c r="AA101"/>
  <c r="AA218"/>
  <c r="AA206"/>
  <c r="AA188"/>
  <c r="AA163"/>
  <c r="AA115"/>
  <c r="AA105"/>
  <c r="AA95"/>
  <c r="AA177"/>
  <c r="AA134"/>
  <c r="AA111" i="3"/>
  <c r="AA111" i="2" s="1"/>
  <c r="AA112"/>
  <c r="AA102"/>
  <c r="AA98"/>
  <c r="AA93"/>
  <c r="AA90"/>
  <c r="AA82"/>
  <c r="AA72"/>
  <c r="AA63" i="3"/>
  <c r="AA63" i="2" s="1"/>
  <c r="AA64"/>
  <c r="AA62"/>
  <c r="AA157"/>
  <c r="AA117"/>
  <c r="AA116"/>
  <c r="AA107"/>
  <c r="AA106"/>
  <c r="AA92"/>
  <c r="AA79"/>
  <c r="AA69"/>
  <c r="AA164"/>
  <c r="AA149"/>
  <c r="AA128"/>
  <c r="AA97"/>
  <c r="AA96"/>
  <c r="AA89"/>
  <c r="AA210"/>
  <c r="AA108"/>
  <c r="AA86"/>
  <c r="AA78"/>
  <c r="AA146"/>
  <c r="AA121"/>
  <c r="AA120"/>
  <c r="AA85"/>
  <c r="AA84"/>
  <c r="AA77"/>
  <c r="AA91"/>
  <c r="AA80"/>
  <c r="AA73"/>
  <c r="AA65"/>
  <c r="AA174"/>
  <c r="AA83"/>
  <c r="AA68"/>
  <c r="AA60"/>
  <c r="AA53"/>
  <c r="AA43"/>
  <c r="AA33"/>
  <c r="AA23"/>
  <c r="AA13"/>
  <c r="AA176"/>
  <c r="AA113"/>
  <c r="AA110"/>
  <c r="AA71"/>
  <c r="AA67"/>
  <c r="AA139"/>
  <c r="AA87" i="3"/>
  <c r="AA87" i="2" s="1"/>
  <c r="AA88"/>
  <c r="AA51" i="3"/>
  <c r="AA51" i="2" s="1"/>
  <c r="AA52"/>
  <c r="AA50"/>
  <c r="AA42"/>
  <c r="AA32"/>
  <c r="AA22"/>
  <c r="AA154"/>
  <c r="AA147" i="3"/>
  <c r="AA147" i="2" s="1"/>
  <c r="AA148"/>
  <c r="AA143"/>
  <c r="AA103"/>
  <c r="AA61"/>
  <c r="AA54"/>
  <c r="AA44"/>
  <c r="AA34"/>
  <c r="AA24"/>
  <c r="AA129"/>
  <c r="AA81"/>
  <c r="AA75" i="3"/>
  <c r="AA75" i="2" s="1"/>
  <c r="AA76"/>
  <c r="AA55"/>
  <c r="AA45"/>
  <c r="AA35"/>
  <c r="AA29"/>
  <c r="AA26"/>
  <c r="AA21"/>
  <c r="AA20"/>
  <c r="AA18"/>
  <c r="AA7"/>
  <c r="AA58"/>
  <c r="AA48"/>
  <c r="AA38"/>
  <c r="AA17"/>
  <c r="AA9"/>
  <c r="AA39" i="3"/>
  <c r="AA39" i="2" s="1"/>
  <c r="AA40"/>
  <c r="AA36"/>
  <c r="AA10"/>
  <c r="AA126"/>
  <c r="AA118"/>
  <c r="AA47"/>
  <c r="AA41"/>
  <c r="AA5"/>
  <c r="AA3" i="3"/>
  <c r="AA3" i="2" s="1"/>
  <c r="AA4"/>
  <c r="AA156"/>
  <c r="AA59"/>
  <c r="AA56"/>
  <c r="AA11"/>
  <c r="AA99" i="3"/>
  <c r="AA99" i="2" s="1"/>
  <c r="AA100"/>
  <c r="AA66"/>
  <c r="AA182"/>
  <c r="AA49"/>
  <c r="AA46"/>
  <c r="AA31"/>
  <c r="AA30"/>
  <c r="AA14"/>
  <c r="AA8"/>
  <c r="AA57"/>
  <c r="AA37"/>
  <c r="AA70"/>
  <c r="AA15" i="3"/>
  <c r="AA15" i="2" s="1"/>
  <c r="AA16"/>
  <c r="AA12"/>
  <c r="AA6"/>
  <c r="AA189"/>
  <c r="AA138"/>
  <c r="AA74"/>
  <c r="AA19"/>
  <c r="AA25"/>
  <c r="AA27" i="3"/>
  <c r="AA27" i="2" s="1"/>
  <c r="AA28"/>
  <c r="AX236"/>
  <c r="AX226"/>
  <c r="AX216"/>
  <c r="AX207" i="3"/>
  <c r="AX207" i="2" s="1"/>
  <c r="AX208"/>
  <c r="AX206"/>
  <c r="AX241"/>
  <c r="AX233"/>
  <c r="AX238"/>
  <c r="AX228"/>
  <c r="AX219" i="3"/>
  <c r="AX219" i="2" s="1"/>
  <c r="AX220"/>
  <c r="AX218"/>
  <c r="AX210"/>
  <c r="AX235"/>
  <c r="AX240"/>
  <c r="AX231" i="3"/>
  <c r="AX231" i="2" s="1"/>
  <c r="AX232"/>
  <c r="AX230"/>
  <c r="AX222"/>
  <c r="AX212"/>
  <c r="AX237"/>
  <c r="AX242"/>
  <c r="AX234"/>
  <c r="AX239"/>
  <c r="AX229"/>
  <c r="AX221"/>
  <c r="AX211"/>
  <c r="AX213"/>
  <c r="AX201"/>
  <c r="AX191"/>
  <c r="AX181"/>
  <c r="AX225"/>
  <c r="AX198"/>
  <c r="AX188"/>
  <c r="AX224"/>
  <c r="AX217"/>
  <c r="AX209"/>
  <c r="AX200"/>
  <c r="AX190"/>
  <c r="AX180"/>
  <c r="AX215"/>
  <c r="AX202"/>
  <c r="AX192"/>
  <c r="AX183" i="3"/>
  <c r="AX183" i="2" s="1"/>
  <c r="AX184"/>
  <c r="AX182"/>
  <c r="AX205"/>
  <c r="AX203"/>
  <c r="AX175"/>
  <c r="AX165"/>
  <c r="AX155"/>
  <c r="AX145"/>
  <c r="AX137"/>
  <c r="AX187"/>
  <c r="AX171" i="3"/>
  <c r="AX171" i="2" s="1"/>
  <c r="AX172"/>
  <c r="AX170"/>
  <c r="AX162"/>
  <c r="AX152"/>
  <c r="AX142"/>
  <c r="AX132"/>
  <c r="AX214"/>
  <c r="AX177"/>
  <c r="AX167"/>
  <c r="AX157"/>
  <c r="AX149"/>
  <c r="AX139"/>
  <c r="AX129"/>
  <c r="AX197"/>
  <c r="AX176"/>
  <c r="AX166"/>
  <c r="AX156"/>
  <c r="AX147" i="3"/>
  <c r="AX147" i="2" s="1"/>
  <c r="AX148"/>
  <c r="AX146"/>
  <c r="AX138"/>
  <c r="AX128"/>
  <c r="AX163"/>
  <c r="AX141"/>
  <c r="AX127"/>
  <c r="AX119"/>
  <c r="AX109"/>
  <c r="AX101"/>
  <c r="AX91"/>
  <c r="AX195" i="3"/>
  <c r="AX195" i="2" s="1"/>
  <c r="AX196"/>
  <c r="AX174"/>
  <c r="AX154"/>
  <c r="AX134"/>
  <c r="AX126"/>
  <c r="AX125"/>
  <c r="AX116"/>
  <c r="AX106"/>
  <c r="AX96"/>
  <c r="AX179"/>
  <c r="AX151"/>
  <c r="AX131"/>
  <c r="AX120"/>
  <c r="AX111" i="3"/>
  <c r="AX111" i="2" s="1"/>
  <c r="AX112"/>
  <c r="AX110"/>
  <c r="AX102"/>
  <c r="AX92"/>
  <c r="AX185"/>
  <c r="AX153"/>
  <c r="AX122"/>
  <c r="AX97"/>
  <c r="AX79"/>
  <c r="AX69"/>
  <c r="AX59"/>
  <c r="AX204"/>
  <c r="AX168"/>
  <c r="AX164"/>
  <c r="AX140"/>
  <c r="AX121"/>
  <c r="AX99" i="3"/>
  <c r="AX99" i="2" s="1"/>
  <c r="AX100"/>
  <c r="AX90"/>
  <c r="AX84"/>
  <c r="AX75" i="3"/>
  <c r="AX75" i="2" s="1"/>
  <c r="AX76"/>
  <c r="AX74"/>
  <c r="AX66"/>
  <c r="AX227"/>
  <c r="AX223"/>
  <c r="AX193"/>
  <c r="AX189"/>
  <c r="AX186"/>
  <c r="AX130"/>
  <c r="AX115"/>
  <c r="AX105"/>
  <c r="AX199"/>
  <c r="AX178"/>
  <c r="AX150"/>
  <c r="AX143"/>
  <c r="AX108"/>
  <c r="AX107"/>
  <c r="AX95"/>
  <c r="AX93"/>
  <c r="AX81"/>
  <c r="AX98"/>
  <c r="AX70"/>
  <c r="AX144"/>
  <c r="AX123" i="3"/>
  <c r="AX123" i="2" s="1"/>
  <c r="AX124"/>
  <c r="AX71"/>
  <c r="AX67"/>
  <c r="AX58"/>
  <c r="AX48"/>
  <c r="AX39" i="3"/>
  <c r="AX39" i="2" s="1"/>
  <c r="AX40"/>
  <c r="AX38"/>
  <c r="AX30"/>
  <c r="AX20"/>
  <c r="AX10"/>
  <c r="AX161"/>
  <c r="AX159" i="3"/>
  <c r="AX159" i="2" s="1"/>
  <c r="AX160"/>
  <c r="AX173"/>
  <c r="AX158"/>
  <c r="AX86"/>
  <c r="AX83"/>
  <c r="AX57"/>
  <c r="AX47"/>
  <c r="AX37"/>
  <c r="AX29"/>
  <c r="AX19"/>
  <c r="AX194"/>
  <c r="AX117"/>
  <c r="AX114"/>
  <c r="AX80"/>
  <c r="AX77"/>
  <c r="AX49"/>
  <c r="AX41"/>
  <c r="AX31"/>
  <c r="AX21"/>
  <c r="AX135" i="3"/>
  <c r="AX135" i="2" s="1"/>
  <c r="AX136"/>
  <c r="AX94"/>
  <c r="AX72"/>
  <c r="AX68"/>
  <c r="AX54"/>
  <c r="AX50"/>
  <c r="AX44"/>
  <c r="AX34"/>
  <c r="AX27" i="3"/>
  <c r="AX27" i="2" s="1"/>
  <c r="AX28"/>
  <c r="AX25"/>
  <c r="AX7"/>
  <c r="AX118"/>
  <c r="AX65"/>
  <c r="AX61"/>
  <c r="AX14"/>
  <c r="AX11"/>
  <c r="AX3" i="3"/>
  <c r="AX3" i="2" s="1"/>
  <c r="AX4"/>
  <c r="AX62"/>
  <c r="AX6"/>
  <c r="AX85"/>
  <c r="AX36"/>
  <c r="AX35"/>
  <c r="AX33"/>
  <c r="AX32"/>
  <c r="AX104"/>
  <c r="AX17"/>
  <c r="AX12"/>
  <c r="AX9"/>
  <c r="AX113"/>
  <c r="AX82"/>
  <c r="AX73"/>
  <c r="AX56"/>
  <c r="AX55"/>
  <c r="AX53"/>
  <c r="AX51" i="3"/>
  <c r="AX51" i="2" s="1"/>
  <c r="AX52"/>
  <c r="AX8"/>
  <c r="AX78"/>
  <c r="AX63" i="3"/>
  <c r="AX63" i="2" s="1"/>
  <c r="AX64"/>
  <c r="AX46"/>
  <c r="AX45"/>
  <c r="AX43"/>
  <c r="AX42"/>
  <c r="AX18"/>
  <c r="AX89"/>
  <c r="AX103"/>
  <c r="AX26"/>
  <c r="AX5"/>
  <c r="AX133"/>
  <c r="AX87" i="3"/>
  <c r="AX87" i="2" s="1"/>
  <c r="AX88"/>
  <c r="AX60"/>
  <c r="AX24"/>
  <c r="AX169"/>
  <c r="AX23"/>
  <c r="AX22"/>
  <c r="AX13"/>
  <c r="AX15" i="3"/>
  <c r="AX15" i="2" s="1"/>
  <c r="AX16"/>
  <c r="AU235"/>
  <c r="AU225"/>
  <c r="AU215"/>
  <c r="AU205"/>
  <c r="AU240"/>
  <c r="AU231" i="3"/>
  <c r="AU231" i="2" s="1"/>
  <c r="AU232"/>
  <c r="AU237"/>
  <c r="AU227"/>
  <c r="AU217"/>
  <c r="AU209"/>
  <c r="AU242"/>
  <c r="AU234"/>
  <c r="AU239"/>
  <c r="AU229"/>
  <c r="AU221"/>
  <c r="AU211"/>
  <c r="AU236"/>
  <c r="AU241"/>
  <c r="AU233"/>
  <c r="AU238"/>
  <c r="AU228"/>
  <c r="AU219" i="3"/>
  <c r="AU219" i="2" s="1"/>
  <c r="AU220"/>
  <c r="AU218"/>
  <c r="AU210"/>
  <c r="AU200"/>
  <c r="AU190"/>
  <c r="AU224"/>
  <c r="AU197"/>
  <c r="AU187"/>
  <c r="AU230"/>
  <c r="AU223"/>
  <c r="AU222"/>
  <c r="AU199"/>
  <c r="AU189"/>
  <c r="AU214"/>
  <c r="AU201"/>
  <c r="AU191"/>
  <c r="AU181"/>
  <c r="AU216"/>
  <c r="AU212"/>
  <c r="AU207" i="3"/>
  <c r="AU207" i="2" s="1"/>
  <c r="AU208"/>
  <c r="AU174"/>
  <c r="AU164"/>
  <c r="AU154"/>
  <c r="AU144"/>
  <c r="AU135" i="3"/>
  <c r="AU135" i="2" s="1"/>
  <c r="AU136"/>
  <c r="AU134"/>
  <c r="AU213"/>
  <c r="AU194"/>
  <c r="AU186"/>
  <c r="AU179"/>
  <c r="AU169"/>
  <c r="AU161"/>
  <c r="AU151"/>
  <c r="AU141"/>
  <c r="AU131"/>
  <c r="AU206"/>
  <c r="AU198"/>
  <c r="AU176"/>
  <c r="AU166"/>
  <c r="AU156"/>
  <c r="AU147" i="3"/>
  <c r="AU147" i="2" s="1"/>
  <c r="AU148"/>
  <c r="AU146"/>
  <c r="AU138"/>
  <c r="AU128"/>
  <c r="AU226"/>
  <c r="AU204"/>
  <c r="AU195" i="3"/>
  <c r="AU195" i="2" s="1"/>
  <c r="AU196"/>
  <c r="AU180"/>
  <c r="AU175"/>
  <c r="AU165"/>
  <c r="AU155"/>
  <c r="AU145"/>
  <c r="AU137"/>
  <c r="AU127"/>
  <c r="AU202"/>
  <c r="AU140"/>
  <c r="AU126"/>
  <c r="AU118"/>
  <c r="AU108"/>
  <c r="AU99" i="3"/>
  <c r="AU99" i="2" s="1"/>
  <c r="AU100"/>
  <c r="AU98"/>
  <c r="AU90"/>
  <c r="AU203"/>
  <c r="AU192"/>
  <c r="AU173"/>
  <c r="AU153"/>
  <c r="AU139"/>
  <c r="AU133"/>
  <c r="AU115"/>
  <c r="AU105"/>
  <c r="AU95"/>
  <c r="AU178"/>
  <c r="AU158"/>
  <c r="AU150"/>
  <c r="AU142"/>
  <c r="AU130"/>
  <c r="AU119"/>
  <c r="AU109"/>
  <c r="AU101"/>
  <c r="AU91"/>
  <c r="AU162"/>
  <c r="AU157"/>
  <c r="AU121"/>
  <c r="AU120"/>
  <c r="AU110"/>
  <c r="AU86"/>
  <c r="AU78"/>
  <c r="AU68"/>
  <c r="AU193"/>
  <c r="AU182"/>
  <c r="AU159" i="3"/>
  <c r="AU159" i="2" s="1"/>
  <c r="AU160"/>
  <c r="AU149"/>
  <c r="AU125"/>
  <c r="AU123" i="3"/>
  <c r="AU123" i="2" s="1"/>
  <c r="AU124"/>
  <c r="AU89"/>
  <c r="AU83"/>
  <c r="AU73"/>
  <c r="AU65"/>
  <c r="AU171" i="3"/>
  <c r="AU171" i="2" s="1"/>
  <c r="AU172"/>
  <c r="AU114"/>
  <c r="AU104"/>
  <c r="AU132"/>
  <c r="AU92"/>
  <c r="AU183" i="3"/>
  <c r="AU183" i="2" s="1"/>
  <c r="AU184"/>
  <c r="AU168"/>
  <c r="AU102"/>
  <c r="AU97"/>
  <c r="AU96"/>
  <c r="AU84"/>
  <c r="AU80"/>
  <c r="AU185"/>
  <c r="AU167"/>
  <c r="AU106"/>
  <c r="AU103"/>
  <c r="AU79"/>
  <c r="AU107"/>
  <c r="AU74"/>
  <c r="AU59"/>
  <c r="AU57"/>
  <c r="AU47"/>
  <c r="AU37"/>
  <c r="AU29"/>
  <c r="AU19"/>
  <c r="AU163"/>
  <c r="AU94"/>
  <c r="AU87" i="3"/>
  <c r="AU87" i="2" s="1"/>
  <c r="AU88"/>
  <c r="AU81"/>
  <c r="AU188"/>
  <c r="AU122"/>
  <c r="AU116"/>
  <c r="AU77"/>
  <c r="AU75" i="3"/>
  <c r="AU75" i="2" s="1"/>
  <c r="AU76"/>
  <c r="AU63" i="3"/>
  <c r="AU63" i="2" s="1"/>
  <c r="AU64"/>
  <c r="AU56"/>
  <c r="AU46"/>
  <c r="AU36"/>
  <c r="AU27" i="3"/>
  <c r="AU27" i="2" s="1"/>
  <c r="AU28"/>
  <c r="AU26"/>
  <c r="AU177"/>
  <c r="AU152"/>
  <c r="AU129"/>
  <c r="AU113"/>
  <c r="AU82"/>
  <c r="AU67"/>
  <c r="AU66"/>
  <c r="AU62"/>
  <c r="AU61"/>
  <c r="AU58"/>
  <c r="AU48"/>
  <c r="AU39" i="3"/>
  <c r="AU39" i="2" s="1"/>
  <c r="AU40"/>
  <c r="AU38"/>
  <c r="AU30"/>
  <c r="AU20"/>
  <c r="AU117"/>
  <c r="AU93"/>
  <c r="AU70"/>
  <c r="AU53"/>
  <c r="AU43"/>
  <c r="AU33"/>
  <c r="AU24"/>
  <c r="AU10"/>
  <c r="AU6"/>
  <c r="AU85"/>
  <c r="AU13"/>
  <c r="AU69"/>
  <c r="AU41"/>
  <c r="AU31"/>
  <c r="AU5"/>
  <c r="AU72"/>
  <c r="AU45"/>
  <c r="AU18"/>
  <c r="AU9"/>
  <c r="AU143"/>
  <c r="AU55"/>
  <c r="AU44"/>
  <c r="AU42"/>
  <c r="AU8"/>
  <c r="AU49"/>
  <c r="AU50"/>
  <c r="AU11"/>
  <c r="AU170"/>
  <c r="AU14"/>
  <c r="AU3" i="3"/>
  <c r="AU3" i="2" s="1"/>
  <c r="AU4"/>
  <c r="AU35"/>
  <c r="AU25"/>
  <c r="AU15" i="3"/>
  <c r="AU15" i="2" s="1"/>
  <c r="AU16"/>
  <c r="AU111" i="3"/>
  <c r="AU111" i="2" s="1"/>
  <c r="AU112"/>
  <c r="AU51" i="3"/>
  <c r="AU51" i="2" s="1"/>
  <c r="AU52"/>
  <c r="AU34"/>
  <c r="AU23"/>
  <c r="AU22"/>
  <c r="AU21"/>
  <c r="AU71"/>
  <c r="AU60"/>
  <c r="AU54"/>
  <c r="AU32"/>
  <c r="AU17"/>
  <c r="AU12"/>
  <c r="AU7"/>
  <c r="AB242"/>
  <c r="AB234"/>
  <c r="AB224"/>
  <c r="AB214"/>
  <c r="AB239"/>
  <c r="AB236"/>
  <c r="AB226"/>
  <c r="AB216"/>
  <c r="AB207" i="3"/>
  <c r="AB207" i="2" s="1"/>
  <c r="AB208"/>
  <c r="AB206"/>
  <c r="AB241"/>
  <c r="AB233"/>
  <c r="AB238"/>
  <c r="AB228"/>
  <c r="AB219" i="3"/>
  <c r="AB219" i="2" s="1"/>
  <c r="AB220"/>
  <c r="AB218"/>
  <c r="AB210"/>
  <c r="AB235"/>
  <c r="AB240"/>
  <c r="AB231" i="3"/>
  <c r="AB231" i="2" s="1"/>
  <c r="AB232"/>
  <c r="AB237"/>
  <c r="AB227"/>
  <c r="AB217"/>
  <c r="AB209"/>
  <c r="AB199"/>
  <c r="AB189"/>
  <c r="AB223"/>
  <c r="AB204"/>
  <c r="AB195" i="3"/>
  <c r="AB195" i="2" s="1"/>
  <c r="AB196"/>
  <c r="AB194"/>
  <c r="AB186"/>
  <c r="AB198"/>
  <c r="AB188"/>
  <c r="AB213"/>
  <c r="AB200"/>
  <c r="AB190"/>
  <c r="AB230"/>
  <c r="AB229"/>
  <c r="AB225"/>
  <c r="AB222"/>
  <c r="AB221"/>
  <c r="AB173"/>
  <c r="AB163"/>
  <c r="AB153"/>
  <c r="AB143"/>
  <c r="AB133"/>
  <c r="AB205"/>
  <c r="AB193"/>
  <c r="AB185"/>
  <c r="AB178"/>
  <c r="AB168"/>
  <c r="AB159" i="3"/>
  <c r="AB159" i="2" s="1"/>
  <c r="AB160"/>
  <c r="AB158"/>
  <c r="AB150"/>
  <c r="AB140"/>
  <c r="AB130"/>
  <c r="AB197"/>
  <c r="AB192"/>
  <c r="AB191"/>
  <c r="AB183" i="3"/>
  <c r="AB183" i="2" s="1"/>
  <c r="AB184"/>
  <c r="AB175"/>
  <c r="AB165"/>
  <c r="AB155"/>
  <c r="AB145"/>
  <c r="AB137"/>
  <c r="AB127"/>
  <c r="AB203"/>
  <c r="AB182"/>
  <c r="AB181"/>
  <c r="AB174"/>
  <c r="AB164"/>
  <c r="AB154"/>
  <c r="AB144"/>
  <c r="AB135" i="3"/>
  <c r="AB135" i="2" s="1"/>
  <c r="AB136"/>
  <c r="AB134"/>
  <c r="AB126"/>
  <c r="AB211"/>
  <c r="AB180"/>
  <c r="AB171" i="3"/>
  <c r="AB171" i="2" s="1"/>
  <c r="AB172"/>
  <c r="AB152"/>
  <c r="AB146"/>
  <c r="AB138"/>
  <c r="AB132"/>
  <c r="AB117"/>
  <c r="AB107"/>
  <c r="AB97"/>
  <c r="AB89"/>
  <c r="AB212"/>
  <c r="AB167"/>
  <c r="AB125"/>
  <c r="AB123" i="3"/>
  <c r="AB123" i="2" s="1"/>
  <c r="AB124"/>
  <c r="AB122"/>
  <c r="AB114"/>
  <c r="AB104"/>
  <c r="AB94"/>
  <c r="AB187"/>
  <c r="AB176"/>
  <c r="AB170"/>
  <c r="AB162"/>
  <c r="AB156"/>
  <c r="AB147" i="3"/>
  <c r="AB147" i="2" s="1"/>
  <c r="AB148"/>
  <c r="AB141"/>
  <c r="AB128"/>
  <c r="AB118"/>
  <c r="AB108"/>
  <c r="AB99" i="3"/>
  <c r="AB99" i="2" s="1"/>
  <c r="AB100"/>
  <c r="AB98"/>
  <c r="AB90"/>
  <c r="AB202"/>
  <c r="AB113"/>
  <c r="AB103"/>
  <c r="AB85"/>
  <c r="AB77"/>
  <c r="AB67"/>
  <c r="AB215"/>
  <c r="AB177"/>
  <c r="AB166"/>
  <c r="AB151"/>
  <c r="AB142"/>
  <c r="AB111" i="3"/>
  <c r="AB111" i="2" s="1"/>
  <c r="AB112"/>
  <c r="AB102"/>
  <c r="AB101"/>
  <c r="AB93"/>
  <c r="AB82"/>
  <c r="AB72"/>
  <c r="AB63" i="3"/>
  <c r="AB63" i="2" s="1"/>
  <c r="AB64"/>
  <c r="AB62"/>
  <c r="AB157"/>
  <c r="AB116"/>
  <c r="AB106"/>
  <c r="AB92"/>
  <c r="AB110"/>
  <c r="AB201"/>
  <c r="AB169"/>
  <c r="AB119"/>
  <c r="AB95"/>
  <c r="AB81"/>
  <c r="AB105"/>
  <c r="AB70"/>
  <c r="AB69"/>
  <c r="AB78"/>
  <c r="AB75" i="3"/>
  <c r="AB75" i="2" s="1"/>
  <c r="AB76"/>
  <c r="AB66"/>
  <c r="AB65"/>
  <c r="AB56"/>
  <c r="AB46"/>
  <c r="AB36"/>
  <c r="AB27" i="3"/>
  <c r="AB27" i="2" s="1"/>
  <c r="AB28"/>
  <c r="AB26"/>
  <c r="AB18"/>
  <c r="AB86"/>
  <c r="AB83"/>
  <c r="AB68"/>
  <c r="AB131"/>
  <c r="AB129"/>
  <c r="AB96"/>
  <c r="AB91"/>
  <c r="AB80"/>
  <c r="AB73"/>
  <c r="AB55"/>
  <c r="AB45"/>
  <c r="AB35"/>
  <c r="AB25"/>
  <c r="AB79"/>
  <c r="AB74"/>
  <c r="AB57"/>
  <c r="AB47"/>
  <c r="AB37"/>
  <c r="AB29"/>
  <c r="AB39" i="3"/>
  <c r="AB39" i="2" s="1"/>
  <c r="AB40"/>
  <c r="AB30"/>
  <c r="AB22"/>
  <c r="AB13"/>
  <c r="AB5"/>
  <c r="AB179"/>
  <c r="AB120"/>
  <c r="AB87" i="3"/>
  <c r="AB87" i="2" s="1"/>
  <c r="AB88"/>
  <c r="AB21"/>
  <c r="AB115"/>
  <c r="AB109"/>
  <c r="AB59"/>
  <c r="AB49"/>
  <c r="AB12"/>
  <c r="AB3" i="3"/>
  <c r="AB3" i="2" s="1"/>
  <c r="AB4"/>
  <c r="AB71"/>
  <c r="AB38"/>
  <c r="AB32"/>
  <c r="AB31"/>
  <c r="AB19"/>
  <c r="AB14"/>
  <c r="AB121"/>
  <c r="AB44"/>
  <c r="AB43"/>
  <c r="AB10"/>
  <c r="AB149"/>
  <c r="AB139"/>
  <c r="AB84"/>
  <c r="AB58"/>
  <c r="AB51" i="3"/>
  <c r="AB51" i="2" s="1"/>
  <c r="AB52"/>
  <c r="AB15" i="3"/>
  <c r="AB15" i="2" s="1"/>
  <c r="AB16"/>
  <c r="AB9"/>
  <c r="AB34"/>
  <c r="AB20"/>
  <c r="AB33"/>
  <c r="AB23"/>
  <c r="AB11"/>
  <c r="AB50"/>
  <c r="AB48"/>
  <c r="AB42"/>
  <c r="AB41"/>
  <c r="AB7"/>
  <c r="AB6"/>
  <c r="AB61"/>
  <c r="AB161"/>
  <c r="AB60"/>
  <c r="AB8"/>
  <c r="AB53"/>
  <c r="AB24"/>
  <c r="AB17"/>
  <c r="AB54"/>
  <c r="H238"/>
  <c r="H228"/>
  <c r="H219" i="3"/>
  <c r="H219" i="2" s="1"/>
  <c r="H220"/>
  <c r="H218"/>
  <c r="H210"/>
  <c r="H235"/>
  <c r="H240"/>
  <c r="H231" i="3"/>
  <c r="H231" i="2" s="1"/>
  <c r="H232"/>
  <c r="H230"/>
  <c r="H222"/>
  <c r="H212"/>
  <c r="H237"/>
  <c r="H242"/>
  <c r="H234"/>
  <c r="H224"/>
  <c r="H214"/>
  <c r="H239"/>
  <c r="H236"/>
  <c r="H241"/>
  <c r="H233"/>
  <c r="H223"/>
  <c r="H213"/>
  <c r="H229"/>
  <c r="H221"/>
  <c r="H215"/>
  <c r="H203"/>
  <c r="H193"/>
  <c r="H185"/>
  <c r="H200"/>
  <c r="H190"/>
  <c r="H226"/>
  <c r="H202"/>
  <c r="H192"/>
  <c r="H183" i="3"/>
  <c r="H183" i="2" s="1"/>
  <c r="H184"/>
  <c r="H182"/>
  <c r="H204"/>
  <c r="H195" i="3"/>
  <c r="H195" i="2" s="1"/>
  <c r="H196"/>
  <c r="H194"/>
  <c r="H186"/>
  <c r="H205"/>
  <c r="H197"/>
  <c r="H191"/>
  <c r="H177"/>
  <c r="H167"/>
  <c r="H157"/>
  <c r="H149"/>
  <c r="H139"/>
  <c r="H129"/>
  <c r="H174"/>
  <c r="H164"/>
  <c r="H154"/>
  <c r="H144"/>
  <c r="H135" i="3"/>
  <c r="H135" i="2" s="1"/>
  <c r="H136"/>
  <c r="H134"/>
  <c r="H126"/>
  <c r="H189"/>
  <c r="H179"/>
  <c r="H169"/>
  <c r="H161"/>
  <c r="H151"/>
  <c r="H141"/>
  <c r="H131"/>
  <c r="H178"/>
  <c r="H168"/>
  <c r="H159" i="3"/>
  <c r="H159" i="2" s="1"/>
  <c r="H160"/>
  <c r="H158"/>
  <c r="H150"/>
  <c r="H140"/>
  <c r="H130"/>
  <c r="H227"/>
  <c r="H188"/>
  <c r="H187"/>
  <c r="H165"/>
  <c r="H121"/>
  <c r="H113"/>
  <c r="H103"/>
  <c r="H93"/>
  <c r="H181"/>
  <c r="H143"/>
  <c r="H118"/>
  <c r="H108"/>
  <c r="H99" i="3"/>
  <c r="H99" i="2" s="1"/>
  <c r="H100"/>
  <c r="H98"/>
  <c r="H201"/>
  <c r="H199"/>
  <c r="H146"/>
  <c r="H138"/>
  <c r="H127"/>
  <c r="H123" i="3"/>
  <c r="H123" i="2" s="1"/>
  <c r="H124"/>
  <c r="H122"/>
  <c r="H114"/>
  <c r="H104"/>
  <c r="H94"/>
  <c r="H207" i="3"/>
  <c r="H207" i="2" s="1"/>
  <c r="H208"/>
  <c r="H163"/>
  <c r="H152"/>
  <c r="H120"/>
  <c r="H110"/>
  <c r="H95"/>
  <c r="H81"/>
  <c r="H71"/>
  <c r="H61"/>
  <c r="H211"/>
  <c r="H175"/>
  <c r="H137"/>
  <c r="H119"/>
  <c r="H109"/>
  <c r="H90"/>
  <c r="H86"/>
  <c r="H78"/>
  <c r="H68"/>
  <c r="H173"/>
  <c r="H170"/>
  <c r="H155"/>
  <c r="H166"/>
  <c r="H132"/>
  <c r="H111" i="3"/>
  <c r="H111" i="2" s="1"/>
  <c r="H112"/>
  <c r="H79"/>
  <c r="H209"/>
  <c r="H156"/>
  <c r="H142"/>
  <c r="H117"/>
  <c r="H101"/>
  <c r="H89"/>
  <c r="H225"/>
  <c r="H217"/>
  <c r="H176"/>
  <c r="H133"/>
  <c r="H91"/>
  <c r="H74"/>
  <c r="H70"/>
  <c r="H66"/>
  <c r="H206"/>
  <c r="H105"/>
  <c r="H102"/>
  <c r="H77"/>
  <c r="H51" i="3"/>
  <c r="H51" i="2" s="1"/>
  <c r="H52"/>
  <c r="H50"/>
  <c r="H42"/>
  <c r="H32"/>
  <c r="H22"/>
  <c r="H12"/>
  <c r="H180"/>
  <c r="H80"/>
  <c r="H145"/>
  <c r="H82"/>
  <c r="H62"/>
  <c r="H59"/>
  <c r="H49"/>
  <c r="H41"/>
  <c r="H31"/>
  <c r="H21"/>
  <c r="H216"/>
  <c r="H198"/>
  <c r="H125"/>
  <c r="H84"/>
  <c r="H75" i="3"/>
  <c r="H75" i="2" s="1"/>
  <c r="H76"/>
  <c r="H53"/>
  <c r="H43"/>
  <c r="H33"/>
  <c r="H23"/>
  <c r="H107"/>
  <c r="H85"/>
  <c r="H60"/>
  <c r="H57"/>
  <c r="H47"/>
  <c r="H37"/>
  <c r="H24"/>
  <c r="H18"/>
  <c r="H9"/>
  <c r="H171" i="3"/>
  <c r="H171" i="2" s="1"/>
  <c r="H172"/>
  <c r="H115"/>
  <c r="H83"/>
  <c r="H6"/>
  <c r="H96"/>
  <c r="H92"/>
  <c r="H65"/>
  <c r="H63" i="3"/>
  <c r="H63" i="2" s="1"/>
  <c r="H64"/>
  <c r="H39" i="3"/>
  <c r="H39" i="2" s="1"/>
  <c r="H40"/>
  <c r="H30"/>
  <c r="H17"/>
  <c r="H8"/>
  <c r="H153"/>
  <c r="H72"/>
  <c r="H36"/>
  <c r="H34"/>
  <c r="H11"/>
  <c r="H128"/>
  <c r="H106"/>
  <c r="H87" i="3"/>
  <c r="H87" i="2" s="1"/>
  <c r="H88"/>
  <c r="H69"/>
  <c r="H45"/>
  <c r="H38"/>
  <c r="H56"/>
  <c r="H54"/>
  <c r="H48"/>
  <c r="H58"/>
  <c r="H26"/>
  <c r="H19"/>
  <c r="H73"/>
  <c r="H5"/>
  <c r="H20"/>
  <c r="H14"/>
  <c r="H7"/>
  <c r="H147" i="3"/>
  <c r="H147" i="2" s="1"/>
  <c r="H148"/>
  <c r="H116"/>
  <c r="H29"/>
  <c r="H46"/>
  <c r="H97"/>
  <c r="H162"/>
  <c r="H67"/>
  <c r="H27" i="3"/>
  <c r="H27" i="2" s="1"/>
  <c r="H28"/>
  <c r="H10"/>
  <c r="H3" i="3"/>
  <c r="H3" i="2" s="1"/>
  <c r="H4"/>
  <c r="H55"/>
  <c r="H35"/>
  <c r="H15" i="3"/>
  <c r="H15" i="2" s="1"/>
  <c r="H16"/>
  <c r="H44"/>
  <c r="H25"/>
  <c r="H13"/>
  <c r="BI237"/>
  <c r="BI227"/>
  <c r="BI217"/>
  <c r="BI209"/>
  <c r="BI242"/>
  <c r="BI234"/>
  <c r="BI239"/>
  <c r="BI229"/>
  <c r="BI221"/>
  <c r="BI211"/>
  <c r="BI236"/>
  <c r="BI241"/>
  <c r="BI233"/>
  <c r="BI223"/>
  <c r="BI213"/>
  <c r="BI238"/>
  <c r="BI235"/>
  <c r="BI240"/>
  <c r="BI231" i="3"/>
  <c r="BI231" i="2" s="1"/>
  <c r="BI232"/>
  <c r="BI230"/>
  <c r="BI222"/>
  <c r="BI212"/>
  <c r="BI224"/>
  <c r="BI202"/>
  <c r="BI192"/>
  <c r="BI183" i="3"/>
  <c r="BI183" i="2" s="1"/>
  <c r="BI184"/>
  <c r="BI182"/>
  <c r="BI216"/>
  <c r="BI207" i="3"/>
  <c r="BI207" i="2" s="1"/>
  <c r="BI208"/>
  <c r="BI205"/>
  <c r="BI199"/>
  <c r="BI189"/>
  <c r="BI228"/>
  <c r="BI219" i="3"/>
  <c r="BI219" i="2" s="1"/>
  <c r="BI220"/>
  <c r="BI215"/>
  <c r="BI201"/>
  <c r="BI191"/>
  <c r="BI181"/>
  <c r="BI226"/>
  <c r="BI203"/>
  <c r="BI193"/>
  <c r="BI185"/>
  <c r="BI194"/>
  <c r="BI186"/>
  <c r="BI176"/>
  <c r="BI166"/>
  <c r="BI156"/>
  <c r="BI147" i="3"/>
  <c r="BI147" i="2" s="1"/>
  <c r="BI148"/>
  <c r="BI146"/>
  <c r="BI138"/>
  <c r="BI128"/>
  <c r="BI225"/>
  <c r="BI198"/>
  <c r="BI173"/>
  <c r="BI163"/>
  <c r="BI153"/>
  <c r="BI143"/>
  <c r="BI133"/>
  <c r="BI125"/>
  <c r="BI178"/>
  <c r="BI168"/>
  <c r="BI159" i="3"/>
  <c r="BI159" i="2" s="1"/>
  <c r="BI160"/>
  <c r="BI158"/>
  <c r="BI150"/>
  <c r="BI140"/>
  <c r="BI130"/>
  <c r="BI188"/>
  <c r="BI177"/>
  <c r="BI167"/>
  <c r="BI157"/>
  <c r="BI149"/>
  <c r="BI139"/>
  <c r="BI129"/>
  <c r="BI169"/>
  <c r="BI161"/>
  <c r="BI145"/>
  <c r="BI137"/>
  <c r="BI126"/>
  <c r="BI120"/>
  <c r="BI111" i="3"/>
  <c r="BI111" i="2" s="1"/>
  <c r="BI112"/>
  <c r="BI110"/>
  <c r="BI102"/>
  <c r="BI92"/>
  <c r="BI171" i="3"/>
  <c r="BI171" i="2" s="1"/>
  <c r="BI172"/>
  <c r="BI152"/>
  <c r="BI132"/>
  <c r="BI117"/>
  <c r="BI107"/>
  <c r="BI97"/>
  <c r="BI190"/>
  <c r="BI175"/>
  <c r="BI155"/>
  <c r="BI127"/>
  <c r="BI121"/>
  <c r="BI113"/>
  <c r="BI103"/>
  <c r="BI93"/>
  <c r="BI200"/>
  <c r="BI195" i="3"/>
  <c r="BI195" i="2" s="1"/>
  <c r="BI196"/>
  <c r="BI141"/>
  <c r="BI131"/>
  <c r="BI99" i="3"/>
  <c r="BI99" i="2" s="1"/>
  <c r="BI100"/>
  <c r="BI96"/>
  <c r="BI80"/>
  <c r="BI70"/>
  <c r="BI60"/>
  <c r="BI206"/>
  <c r="BI123" i="3"/>
  <c r="BI123" i="2" s="1"/>
  <c r="BI124"/>
  <c r="BI115"/>
  <c r="BI105"/>
  <c r="BI90"/>
  <c r="BI85"/>
  <c r="BI77"/>
  <c r="BI67"/>
  <c r="BI197"/>
  <c r="BI179"/>
  <c r="BI170"/>
  <c r="BI144"/>
  <c r="BI119"/>
  <c r="BI114"/>
  <c r="BI109"/>
  <c r="BI104"/>
  <c r="BI95"/>
  <c r="BI162"/>
  <c r="BI118"/>
  <c r="BI101"/>
  <c r="BI83"/>
  <c r="BI72"/>
  <c r="BI210"/>
  <c r="BI204"/>
  <c r="BI187"/>
  <c r="BI134"/>
  <c r="BI106"/>
  <c r="BI89"/>
  <c r="BI218"/>
  <c r="BI151"/>
  <c r="BI84"/>
  <c r="BI75" i="3"/>
  <c r="BI75" i="2" s="1"/>
  <c r="BI76"/>
  <c r="BI214"/>
  <c r="BI142"/>
  <c r="BI86"/>
  <c r="BI78"/>
  <c r="BI74"/>
  <c r="BI71"/>
  <c r="BI49"/>
  <c r="BI41"/>
  <c r="BI31"/>
  <c r="BI21"/>
  <c r="BI11"/>
  <c r="BI165"/>
  <c r="BI164"/>
  <c r="BI108"/>
  <c r="BI82"/>
  <c r="BI58"/>
  <c r="BI48"/>
  <c r="BI39" i="3"/>
  <c r="BI39" i="2" s="1"/>
  <c r="BI40"/>
  <c r="BI38"/>
  <c r="BI30"/>
  <c r="BI20"/>
  <c r="BI174"/>
  <c r="BI91"/>
  <c r="BI79"/>
  <c r="BI62"/>
  <c r="BI51" i="3"/>
  <c r="BI51" i="2" s="1"/>
  <c r="BI52"/>
  <c r="BI50"/>
  <c r="BI42"/>
  <c r="BI32"/>
  <c r="BI22"/>
  <c r="BI98"/>
  <c r="BI81"/>
  <c r="BI12"/>
  <c r="BI8"/>
  <c r="BI135" i="3"/>
  <c r="BI135" i="2" s="1"/>
  <c r="BI136"/>
  <c r="BI116"/>
  <c r="BI94"/>
  <c r="BI57"/>
  <c r="BI53"/>
  <c r="BI47"/>
  <c r="BI43"/>
  <c r="BI37"/>
  <c r="BI33"/>
  <c r="BI24"/>
  <c r="BI17"/>
  <c r="BI5"/>
  <c r="BI56"/>
  <c r="BI46"/>
  <c r="BI36"/>
  <c r="BI23"/>
  <c r="BI14"/>
  <c r="BI7"/>
  <c r="BI54"/>
  <c r="BI19"/>
  <c r="BI18"/>
  <c r="BI13"/>
  <c r="BI9"/>
  <c r="BI122"/>
  <c r="BI29"/>
  <c r="BI61"/>
  <c r="BI26"/>
  <c r="BI180"/>
  <c r="BI55"/>
  <c r="BI34"/>
  <c r="BI63" i="3"/>
  <c r="BI63" i="2" s="1"/>
  <c r="BI64"/>
  <c r="BI66"/>
  <c r="BI65"/>
  <c r="BI59"/>
  <c r="BI45"/>
  <c r="BI27" i="3"/>
  <c r="BI27" i="2" s="1"/>
  <c r="BI28"/>
  <c r="BI154"/>
  <c r="BI35"/>
  <c r="BI25"/>
  <c r="BI44"/>
  <c r="BI15" i="3"/>
  <c r="BI15" i="2" s="1"/>
  <c r="BI16"/>
  <c r="BI3" i="3"/>
  <c r="BI3" i="2" s="1"/>
  <c r="BI4"/>
  <c r="BI87" i="3"/>
  <c r="BI87" i="2" s="1"/>
  <c r="BI88"/>
  <c r="BI68"/>
  <c r="BI10"/>
  <c r="BI6"/>
  <c r="BI73"/>
  <c r="BI69"/>
  <c r="AD240"/>
  <c r="AD231" i="3"/>
  <c r="AD231" i="2" s="1"/>
  <c r="AD232"/>
  <c r="AD230"/>
  <c r="AD222"/>
  <c r="AD212"/>
  <c r="AD237"/>
  <c r="AD242"/>
  <c r="AD234"/>
  <c r="AD224"/>
  <c r="AD214"/>
  <c r="AD239"/>
  <c r="AD236"/>
  <c r="AD226"/>
  <c r="AD216"/>
  <c r="AD207" i="3"/>
  <c r="AD207" i="2" s="1"/>
  <c r="AD208"/>
  <c r="AD206"/>
  <c r="AD241"/>
  <c r="AD233"/>
  <c r="AD238"/>
  <c r="AD235"/>
  <c r="AD225"/>
  <c r="AD215"/>
  <c r="AD218"/>
  <c r="AD210"/>
  <c r="AD197"/>
  <c r="AD187"/>
  <c r="AD217"/>
  <c r="AD209"/>
  <c r="AD202"/>
  <c r="AD192"/>
  <c r="AD183" i="3"/>
  <c r="AD183" i="2" s="1"/>
  <c r="AD184"/>
  <c r="AD182"/>
  <c r="AD229"/>
  <c r="AD221"/>
  <c r="AD204"/>
  <c r="AD195" i="3"/>
  <c r="AD195" i="2" s="1"/>
  <c r="AD196"/>
  <c r="AD194"/>
  <c r="AD186"/>
  <c r="AD227"/>
  <c r="AD198"/>
  <c r="AD188"/>
  <c r="AD200"/>
  <c r="AD179"/>
  <c r="AD169"/>
  <c r="AD161"/>
  <c r="AD151"/>
  <c r="AD141"/>
  <c r="AD131"/>
  <c r="AD228"/>
  <c r="AD223"/>
  <c r="AD219" i="3"/>
  <c r="AD219" i="2" s="1"/>
  <c r="AD220"/>
  <c r="AD199"/>
  <c r="AD176"/>
  <c r="AD166"/>
  <c r="AD156"/>
  <c r="AD147" i="3"/>
  <c r="AD147" i="2" s="1"/>
  <c r="AD148"/>
  <c r="AD146"/>
  <c r="AD138"/>
  <c r="AD128"/>
  <c r="AD205"/>
  <c r="AD193"/>
  <c r="AD185"/>
  <c r="AD173"/>
  <c r="AD163"/>
  <c r="AD153"/>
  <c r="AD143"/>
  <c r="AD133"/>
  <c r="AD189"/>
  <c r="AD180"/>
  <c r="AD171" i="3"/>
  <c r="AD171" i="2" s="1"/>
  <c r="AD172"/>
  <c r="AD170"/>
  <c r="AD162"/>
  <c r="AD152"/>
  <c r="AD142"/>
  <c r="AD132"/>
  <c r="AD174"/>
  <c r="AD154"/>
  <c r="AD139"/>
  <c r="AD134"/>
  <c r="AD115"/>
  <c r="AD105"/>
  <c r="AD95"/>
  <c r="AD211"/>
  <c r="AD168"/>
  <c r="AD159" i="3"/>
  <c r="AD159" i="2" s="1"/>
  <c r="AD160"/>
  <c r="AD145"/>
  <c r="AD137"/>
  <c r="AD120"/>
  <c r="AD111" i="3"/>
  <c r="AD111" i="2" s="1"/>
  <c r="AD112"/>
  <c r="AD110"/>
  <c r="AD102"/>
  <c r="AD92"/>
  <c r="AD191"/>
  <c r="AD177"/>
  <c r="AD164"/>
  <c r="AD157"/>
  <c r="AD149"/>
  <c r="AD129"/>
  <c r="AD126"/>
  <c r="AD116"/>
  <c r="AD106"/>
  <c r="AD96"/>
  <c r="AD87" i="3"/>
  <c r="AD87" i="2" s="1"/>
  <c r="AD88"/>
  <c r="AD175"/>
  <c r="AD125"/>
  <c r="AD94"/>
  <c r="AD91"/>
  <c r="AD83"/>
  <c r="AD73"/>
  <c r="AD65"/>
  <c r="AD190"/>
  <c r="AD155"/>
  <c r="AD144"/>
  <c r="AD118"/>
  <c r="AD113"/>
  <c r="AD108"/>
  <c r="AD103"/>
  <c r="AD80"/>
  <c r="AD70"/>
  <c r="AD60"/>
  <c r="AD117"/>
  <c r="AD107"/>
  <c r="AD98"/>
  <c r="AD93"/>
  <c r="AD90"/>
  <c r="AD165"/>
  <c r="AD79"/>
  <c r="AD123" i="3"/>
  <c r="AD123" i="2" s="1"/>
  <c r="AD124"/>
  <c r="AD114"/>
  <c r="AD101"/>
  <c r="AD97"/>
  <c r="AD86"/>
  <c r="AD78"/>
  <c r="AD213"/>
  <c r="AD121"/>
  <c r="AD119"/>
  <c r="AD89"/>
  <c r="AD81"/>
  <c r="AD74"/>
  <c r="AD66"/>
  <c r="AD181"/>
  <c r="AD127"/>
  <c r="AD72"/>
  <c r="AD63" i="3"/>
  <c r="AD63" i="2" s="1"/>
  <c r="AD64"/>
  <c r="AD61"/>
  <c r="AD54"/>
  <c r="AD44"/>
  <c r="AD34"/>
  <c r="AD24"/>
  <c r="AD15" i="3"/>
  <c r="AD15" i="2" s="1"/>
  <c r="AD16"/>
  <c r="AD14"/>
  <c r="AD167"/>
  <c r="AD158"/>
  <c r="AD75" i="3"/>
  <c r="AD75" i="2" s="1"/>
  <c r="AD76"/>
  <c r="AD130"/>
  <c r="AD109"/>
  <c r="AD77"/>
  <c r="AD68"/>
  <c r="AD53"/>
  <c r="AD43"/>
  <c r="AD33"/>
  <c r="AD23"/>
  <c r="AD150"/>
  <c r="AD82"/>
  <c r="AD55"/>
  <c r="AD45"/>
  <c r="AD35"/>
  <c r="AD25"/>
  <c r="AD71"/>
  <c r="AD56"/>
  <c r="AD46"/>
  <c r="AD41"/>
  <c r="AD36"/>
  <c r="AD31"/>
  <c r="AD19"/>
  <c r="AD39" i="3"/>
  <c r="AD39" i="2" s="1"/>
  <c r="AD40"/>
  <c r="AD30"/>
  <c r="AD22"/>
  <c r="AD10"/>
  <c r="AD8"/>
  <c r="AD203"/>
  <c r="AD99" i="3"/>
  <c r="AD99" i="2" s="1"/>
  <c r="AD100"/>
  <c r="AD50"/>
  <c r="AD20"/>
  <c r="AD18"/>
  <c r="AD104"/>
  <c r="AD201"/>
  <c r="AD38"/>
  <c r="AD37"/>
  <c r="AD32"/>
  <c r="AD6"/>
  <c r="AD67"/>
  <c r="AD62"/>
  <c r="AD49"/>
  <c r="AD48"/>
  <c r="AD47"/>
  <c r="AD42"/>
  <c r="AD3" i="3"/>
  <c r="AD3" i="2" s="1"/>
  <c r="AD4"/>
  <c r="AD12"/>
  <c r="AD51" i="3"/>
  <c r="AD51" i="2" s="1"/>
  <c r="AD52"/>
  <c r="AD21"/>
  <c r="AD178"/>
  <c r="AD29"/>
  <c r="AD27" i="3"/>
  <c r="AD27" i="2" s="1"/>
  <c r="AD28"/>
  <c r="AD140"/>
  <c r="AD85"/>
  <c r="AD58"/>
  <c r="AD59"/>
  <c r="AD135" i="3"/>
  <c r="AD135" i="2" s="1"/>
  <c r="AD136"/>
  <c r="AD57"/>
  <c r="AD5"/>
  <c r="AD13"/>
  <c r="AD84"/>
  <c r="AD11"/>
  <c r="AD9"/>
  <c r="AD17"/>
  <c r="AD69"/>
  <c r="AD7"/>
  <c r="AD122"/>
  <c r="AD26"/>
  <c r="K239"/>
  <c r="K229"/>
  <c r="K221"/>
  <c r="K211"/>
  <c r="K236"/>
  <c r="K241"/>
  <c r="K233"/>
  <c r="K223"/>
  <c r="K213"/>
  <c r="K238"/>
  <c r="K235"/>
  <c r="K225"/>
  <c r="K215"/>
  <c r="K240"/>
  <c r="K231" i="3"/>
  <c r="K231" i="2" s="1"/>
  <c r="K232"/>
  <c r="K237"/>
  <c r="K242"/>
  <c r="K234"/>
  <c r="K224"/>
  <c r="K214"/>
  <c r="K217"/>
  <c r="K216"/>
  <c r="K209"/>
  <c r="K207" i="3"/>
  <c r="K207" i="2" s="1"/>
  <c r="K208"/>
  <c r="K206"/>
  <c r="K204"/>
  <c r="K195" i="3"/>
  <c r="K195" i="2" s="1"/>
  <c r="K196"/>
  <c r="K194"/>
  <c r="K186"/>
  <c r="K230"/>
  <c r="K222"/>
  <c r="K201"/>
  <c r="K191"/>
  <c r="K181"/>
  <c r="K203"/>
  <c r="K193"/>
  <c r="K185"/>
  <c r="K212"/>
  <c r="K205"/>
  <c r="K197"/>
  <c r="K187"/>
  <c r="K199"/>
  <c r="K198"/>
  <c r="K178"/>
  <c r="K168"/>
  <c r="K159" i="3"/>
  <c r="K159" i="2" s="1"/>
  <c r="K160"/>
  <c r="K158"/>
  <c r="K150"/>
  <c r="K140"/>
  <c r="K130"/>
  <c r="K192"/>
  <c r="K183" i="3"/>
  <c r="K183" i="2" s="1"/>
  <c r="K184"/>
  <c r="K175"/>
  <c r="K165"/>
  <c r="K155"/>
  <c r="K145"/>
  <c r="K137"/>
  <c r="K127"/>
  <c r="K190"/>
  <c r="K180"/>
  <c r="K171" i="3"/>
  <c r="K171" i="2" s="1"/>
  <c r="K172"/>
  <c r="K170"/>
  <c r="K162"/>
  <c r="K152"/>
  <c r="K142"/>
  <c r="K132"/>
  <c r="K227"/>
  <c r="K202"/>
  <c r="K179"/>
  <c r="K169"/>
  <c r="K161"/>
  <c r="K151"/>
  <c r="K141"/>
  <c r="K131"/>
  <c r="K228"/>
  <c r="K226"/>
  <c r="K173"/>
  <c r="K167"/>
  <c r="K153"/>
  <c r="K133"/>
  <c r="K123" i="3"/>
  <c r="K123" i="2" s="1"/>
  <c r="K124"/>
  <c r="K122"/>
  <c r="K114"/>
  <c r="K104"/>
  <c r="K94"/>
  <c r="K188"/>
  <c r="K166"/>
  <c r="K144"/>
  <c r="K135" i="3"/>
  <c r="K135" i="2" s="1"/>
  <c r="K136"/>
  <c r="K126"/>
  <c r="K119"/>
  <c r="K109"/>
  <c r="K101"/>
  <c r="K200"/>
  <c r="K163"/>
  <c r="K115"/>
  <c r="K105"/>
  <c r="K95"/>
  <c r="K156"/>
  <c r="K143"/>
  <c r="K125"/>
  <c r="K97"/>
  <c r="K96"/>
  <c r="K87" i="3"/>
  <c r="K87" i="2" s="1"/>
  <c r="K88"/>
  <c r="K82"/>
  <c r="K72"/>
  <c r="K63" i="3"/>
  <c r="K63" i="2" s="1"/>
  <c r="K64"/>
  <c r="K62"/>
  <c r="K147" i="3"/>
  <c r="K147" i="2" s="1"/>
  <c r="K148"/>
  <c r="K139"/>
  <c r="K129"/>
  <c r="K121"/>
  <c r="K99" i="3"/>
  <c r="K99" i="2" s="1"/>
  <c r="K100"/>
  <c r="K91"/>
  <c r="K79"/>
  <c r="K69"/>
  <c r="K146"/>
  <c r="K120"/>
  <c r="K110"/>
  <c r="K219" i="3"/>
  <c r="K219" i="2" s="1"/>
  <c r="K220"/>
  <c r="K164"/>
  <c r="K189"/>
  <c r="K177"/>
  <c r="K149"/>
  <c r="K116"/>
  <c r="K113"/>
  <c r="K92"/>
  <c r="K174"/>
  <c r="K118"/>
  <c r="K117"/>
  <c r="K89"/>
  <c r="K71"/>
  <c r="K176"/>
  <c r="K128"/>
  <c r="K107"/>
  <c r="K106"/>
  <c r="K78"/>
  <c r="K53"/>
  <c r="K43"/>
  <c r="K33"/>
  <c r="K23"/>
  <c r="K13"/>
  <c r="K210"/>
  <c r="K138"/>
  <c r="K103"/>
  <c r="K102"/>
  <c r="K93"/>
  <c r="K86"/>
  <c r="K83"/>
  <c r="K73"/>
  <c r="K218"/>
  <c r="K90"/>
  <c r="K80"/>
  <c r="K74"/>
  <c r="K51" i="3"/>
  <c r="K51" i="2" s="1"/>
  <c r="K52"/>
  <c r="K50"/>
  <c r="K42"/>
  <c r="K32"/>
  <c r="K22"/>
  <c r="K182"/>
  <c r="K157"/>
  <c r="K65"/>
  <c r="K54"/>
  <c r="K44"/>
  <c r="K34"/>
  <c r="K24"/>
  <c r="K134"/>
  <c r="K59"/>
  <c r="K49"/>
  <c r="K27" i="3"/>
  <c r="K27" i="2" s="1"/>
  <c r="K28"/>
  <c r="K25"/>
  <c r="K19"/>
  <c r="K15" i="3"/>
  <c r="K15" i="2" s="1"/>
  <c r="K16"/>
  <c r="K10"/>
  <c r="K154"/>
  <c r="K111" i="3"/>
  <c r="K111" i="2" s="1"/>
  <c r="K112"/>
  <c r="K108"/>
  <c r="K85"/>
  <c r="K84"/>
  <c r="K66"/>
  <c r="K58"/>
  <c r="K48"/>
  <c r="K38"/>
  <c r="K7"/>
  <c r="K75" i="3"/>
  <c r="K75" i="2" s="1"/>
  <c r="K76"/>
  <c r="K68"/>
  <c r="K18"/>
  <c r="K9"/>
  <c r="K67"/>
  <c r="K31"/>
  <c r="K26"/>
  <c r="K39" i="3"/>
  <c r="K39" i="2" s="1"/>
  <c r="K40"/>
  <c r="K37"/>
  <c r="K36"/>
  <c r="K35"/>
  <c r="K98"/>
  <c r="K47"/>
  <c r="K46"/>
  <c r="K45"/>
  <c r="K17"/>
  <c r="K12"/>
  <c r="K11"/>
  <c r="K8"/>
  <c r="K81"/>
  <c r="K70"/>
  <c r="K57"/>
  <c r="K55"/>
  <c r="K6"/>
  <c r="K3" i="3"/>
  <c r="K3" i="2" s="1"/>
  <c r="K4"/>
  <c r="K21"/>
  <c r="K20"/>
  <c r="K77"/>
  <c r="K14"/>
  <c r="K61"/>
  <c r="K56"/>
  <c r="K29"/>
  <c r="K41"/>
  <c r="K30"/>
  <c r="K5"/>
  <c r="K60"/>
  <c r="AG241"/>
  <c r="AG233"/>
  <c r="AG223"/>
  <c r="AG213"/>
  <c r="AG238"/>
  <c r="AG235"/>
  <c r="AG225"/>
  <c r="AG215"/>
  <c r="AG205"/>
  <c r="AG240"/>
  <c r="AG231" i="3"/>
  <c r="AG231" i="2" s="1"/>
  <c r="AG232"/>
  <c r="AG237"/>
  <c r="AG227"/>
  <c r="AG217"/>
  <c r="AG209"/>
  <c r="AG242"/>
  <c r="AG234"/>
  <c r="AG239"/>
  <c r="AG236"/>
  <c r="AG226"/>
  <c r="AG216"/>
  <c r="AG207" i="3"/>
  <c r="AG207" i="2" s="1"/>
  <c r="AG208"/>
  <c r="AG212"/>
  <c r="AG198"/>
  <c r="AG188"/>
  <c r="AG218"/>
  <c r="AG211"/>
  <c r="AG210"/>
  <c r="AG203"/>
  <c r="AG193"/>
  <c r="AG185"/>
  <c r="AG197"/>
  <c r="AG187"/>
  <c r="AG229"/>
  <c r="AG228"/>
  <c r="AG221"/>
  <c r="AG219" i="3"/>
  <c r="AG219" i="2" s="1"/>
  <c r="AG220"/>
  <c r="AG199"/>
  <c r="AG189"/>
  <c r="AG202"/>
  <c r="AG181"/>
  <c r="AG180"/>
  <c r="AG171" i="3"/>
  <c r="AG171" i="2" s="1"/>
  <c r="AG172"/>
  <c r="AG170"/>
  <c r="AG162"/>
  <c r="AG152"/>
  <c r="AG142"/>
  <c r="AG132"/>
  <c r="AG230"/>
  <c r="AG224"/>
  <c r="AG222"/>
  <c r="AG201"/>
  <c r="AG200"/>
  <c r="AG177"/>
  <c r="AG167"/>
  <c r="AG157"/>
  <c r="AG149"/>
  <c r="AG139"/>
  <c r="AG129"/>
  <c r="AG194"/>
  <c r="AG186"/>
  <c r="AG174"/>
  <c r="AG164"/>
  <c r="AG154"/>
  <c r="AG144"/>
  <c r="AG135" i="3"/>
  <c r="AG135" i="2" s="1"/>
  <c r="AG136"/>
  <c r="AG134"/>
  <c r="AG126"/>
  <c r="AG214"/>
  <c r="AG191"/>
  <c r="AG190"/>
  <c r="AG173"/>
  <c r="AG163"/>
  <c r="AG153"/>
  <c r="AG143"/>
  <c r="AG133"/>
  <c r="AG125"/>
  <c r="AG175"/>
  <c r="AG155"/>
  <c r="AG116"/>
  <c r="AG106"/>
  <c r="AG96"/>
  <c r="AG87" i="3"/>
  <c r="AG87" i="2" s="1"/>
  <c r="AG88"/>
  <c r="AG182"/>
  <c r="AG169"/>
  <c r="AG161"/>
  <c r="AG140"/>
  <c r="AG121"/>
  <c r="AG113"/>
  <c r="AG103"/>
  <c r="AG93"/>
  <c r="AG204"/>
  <c r="AG165"/>
  <c r="AG127"/>
  <c r="AG117"/>
  <c r="AG107"/>
  <c r="AG97"/>
  <c r="AG89"/>
  <c r="AG150"/>
  <c r="AG147" i="3"/>
  <c r="AG147" i="2" s="1"/>
  <c r="AG148"/>
  <c r="AG146"/>
  <c r="AG123" i="3"/>
  <c r="AG123" i="2" s="1"/>
  <c r="AG124"/>
  <c r="AG120"/>
  <c r="AG110"/>
  <c r="AG95"/>
  <c r="AG84"/>
  <c r="AG75" i="3"/>
  <c r="AG75" i="2" s="1"/>
  <c r="AG76"/>
  <c r="AG74"/>
  <c r="AG66"/>
  <c r="AG179"/>
  <c r="AG137"/>
  <c r="AG119"/>
  <c r="AG114"/>
  <c r="AG109"/>
  <c r="AG104"/>
  <c r="AG81"/>
  <c r="AG71"/>
  <c r="AG61"/>
  <c r="AG183" i="3"/>
  <c r="AG183" i="2" s="1"/>
  <c r="AG184"/>
  <c r="AG118"/>
  <c r="AG108"/>
  <c r="AG94"/>
  <c r="AG91"/>
  <c r="AG131"/>
  <c r="AG105"/>
  <c r="AG176"/>
  <c r="AG158"/>
  <c r="AG130"/>
  <c r="AG92"/>
  <c r="AG90"/>
  <c r="AG79"/>
  <c r="AG178"/>
  <c r="AG166"/>
  <c r="AG138"/>
  <c r="AG101"/>
  <c r="AG99" i="3"/>
  <c r="AG99" i="2" s="1"/>
  <c r="AG100"/>
  <c r="AG98"/>
  <c r="AG82"/>
  <c r="AG156"/>
  <c r="AG115"/>
  <c r="AG55"/>
  <c r="AG45"/>
  <c r="AG35"/>
  <c r="AG25"/>
  <c r="AG17"/>
  <c r="AG168"/>
  <c r="AG111" i="3"/>
  <c r="AG111" i="2" s="1"/>
  <c r="AG112"/>
  <c r="AG128"/>
  <c r="AG86"/>
  <c r="AG83"/>
  <c r="AG72"/>
  <c r="AG65"/>
  <c r="AG63" i="3"/>
  <c r="AG63" i="2" s="1"/>
  <c r="AG64"/>
  <c r="AG54"/>
  <c r="AG44"/>
  <c r="AG34"/>
  <c r="AG24"/>
  <c r="AG195" i="3"/>
  <c r="AG195" i="2" s="1"/>
  <c r="AG196"/>
  <c r="AG141"/>
  <c r="AG80"/>
  <c r="AG77"/>
  <c r="AG73"/>
  <c r="AG70"/>
  <c r="AG69"/>
  <c r="AG56"/>
  <c r="AG46"/>
  <c r="AG36"/>
  <c r="AG27" i="3"/>
  <c r="AG27" i="2" s="1"/>
  <c r="AG28"/>
  <c r="AG26"/>
  <c r="AG57"/>
  <c r="AG47"/>
  <c r="AG37"/>
  <c r="AG3" i="3"/>
  <c r="AG3" i="2" s="1"/>
  <c r="AG4"/>
  <c r="AG145"/>
  <c r="AG51" i="3"/>
  <c r="AG51" i="2" s="1"/>
  <c r="AG52"/>
  <c r="AG42"/>
  <c r="AG32"/>
  <c r="AG23"/>
  <c r="AG9"/>
  <c r="AG151"/>
  <c r="AG122"/>
  <c r="AG78"/>
  <c r="AG39" i="3"/>
  <c r="AG39" i="2" s="1"/>
  <c r="AG40"/>
  <c r="AG30"/>
  <c r="AG22"/>
  <c r="AG15" i="3"/>
  <c r="AG15" i="2" s="1"/>
  <c r="AG16"/>
  <c r="AG60"/>
  <c r="AG12"/>
  <c r="AG8"/>
  <c r="AG206"/>
  <c r="AG159" i="3"/>
  <c r="AG159" i="2" s="1"/>
  <c r="AG160"/>
  <c r="AG68"/>
  <c r="AG31"/>
  <c r="AG18"/>
  <c r="AG13"/>
  <c r="AG41"/>
  <c r="AG38"/>
  <c r="AG10"/>
  <c r="AG102"/>
  <c r="AG67"/>
  <c r="AG62"/>
  <c r="AG19"/>
  <c r="AG53"/>
  <c r="AG11"/>
  <c r="AG5"/>
  <c r="AG50"/>
  <c r="AG49"/>
  <c r="AG48"/>
  <c r="AG7"/>
  <c r="AG43"/>
  <c r="AG85"/>
  <c r="AG59"/>
  <c r="AG58"/>
  <c r="AG14"/>
  <c r="AG192"/>
  <c r="AG33"/>
  <c r="AG21"/>
  <c r="AG20"/>
  <c r="AG29"/>
  <c r="AG6"/>
  <c r="AJ242"/>
  <c r="AJ234"/>
  <c r="AJ224"/>
  <c r="AJ214"/>
  <c r="AJ239"/>
  <c r="AJ236"/>
  <c r="AJ226"/>
  <c r="AJ216"/>
  <c r="AJ207" i="3"/>
  <c r="AJ207" i="2" s="1"/>
  <c r="AJ208"/>
  <c r="AJ206"/>
  <c r="AJ241"/>
  <c r="AJ233"/>
  <c r="AJ238"/>
  <c r="AJ228"/>
  <c r="AJ219" i="3"/>
  <c r="AJ219" i="2" s="1"/>
  <c r="AJ220"/>
  <c r="AJ218"/>
  <c r="AJ210"/>
  <c r="AJ235"/>
  <c r="AJ240"/>
  <c r="AJ231" i="3"/>
  <c r="AJ231" i="2" s="1"/>
  <c r="AJ232"/>
  <c r="AJ237"/>
  <c r="AJ227"/>
  <c r="AJ217"/>
  <c r="AJ209"/>
  <c r="AJ199"/>
  <c r="AJ189"/>
  <c r="AJ213"/>
  <c r="AJ205"/>
  <c r="AJ204"/>
  <c r="AJ195" i="3"/>
  <c r="AJ195" i="2" s="1"/>
  <c r="AJ196"/>
  <c r="AJ194"/>
  <c r="AJ186"/>
  <c r="AJ198"/>
  <c r="AJ188"/>
  <c r="AJ223"/>
  <c r="AJ200"/>
  <c r="AJ190"/>
  <c r="AJ173"/>
  <c r="AJ163"/>
  <c r="AJ153"/>
  <c r="AJ143"/>
  <c r="AJ133"/>
  <c r="AJ203"/>
  <c r="AJ182"/>
  <c r="AJ181"/>
  <c r="AJ178"/>
  <c r="AJ168"/>
  <c r="AJ159" i="3"/>
  <c r="AJ159" i="2" s="1"/>
  <c r="AJ160"/>
  <c r="AJ158"/>
  <c r="AJ150"/>
  <c r="AJ140"/>
  <c r="AJ130"/>
  <c r="AJ230"/>
  <c r="AJ229"/>
  <c r="AJ225"/>
  <c r="AJ222"/>
  <c r="AJ221"/>
  <c r="AJ202"/>
  <c r="AJ201"/>
  <c r="AJ187"/>
  <c r="AJ175"/>
  <c r="AJ165"/>
  <c r="AJ155"/>
  <c r="AJ145"/>
  <c r="AJ137"/>
  <c r="AJ127"/>
  <c r="AJ215"/>
  <c r="AJ212"/>
  <c r="AJ211"/>
  <c r="AJ193"/>
  <c r="AJ185"/>
  <c r="AJ174"/>
  <c r="AJ164"/>
  <c r="AJ154"/>
  <c r="AJ144"/>
  <c r="AJ135" i="3"/>
  <c r="AJ135" i="2" s="1"/>
  <c r="AJ136"/>
  <c r="AJ134"/>
  <c r="AJ126"/>
  <c r="AJ183" i="3"/>
  <c r="AJ183" i="2" s="1"/>
  <c r="AJ184"/>
  <c r="AJ177"/>
  <c r="AJ157"/>
  <c r="AJ149"/>
  <c r="AJ129"/>
  <c r="AJ117"/>
  <c r="AJ107"/>
  <c r="AJ97"/>
  <c r="AJ89"/>
  <c r="AJ176"/>
  <c r="AJ170"/>
  <c r="AJ162"/>
  <c r="AJ156"/>
  <c r="AJ147" i="3"/>
  <c r="AJ147" i="2" s="1"/>
  <c r="AJ148"/>
  <c r="AJ141"/>
  <c r="AJ128"/>
  <c r="AJ123" i="3"/>
  <c r="AJ123" i="2" s="1"/>
  <c r="AJ124"/>
  <c r="AJ122"/>
  <c r="AJ114"/>
  <c r="AJ104"/>
  <c r="AJ94"/>
  <c r="AJ167"/>
  <c r="AJ118"/>
  <c r="AJ108"/>
  <c r="AJ99" i="3"/>
  <c r="AJ99" i="2" s="1"/>
  <c r="AJ100"/>
  <c r="AJ98"/>
  <c r="AJ90"/>
  <c r="AJ152"/>
  <c r="AJ131"/>
  <c r="AJ96"/>
  <c r="AJ85"/>
  <c r="AJ77"/>
  <c r="AJ67"/>
  <c r="AJ161"/>
  <c r="AJ139"/>
  <c r="AJ121"/>
  <c r="AJ115"/>
  <c r="AJ105"/>
  <c r="AJ82"/>
  <c r="AJ72"/>
  <c r="AJ63" i="3"/>
  <c r="AJ63" i="2" s="1"/>
  <c r="AJ64"/>
  <c r="AJ62"/>
  <c r="AJ179"/>
  <c r="AJ146"/>
  <c r="AJ120"/>
  <c r="AJ119"/>
  <c r="AJ110"/>
  <c r="AJ109"/>
  <c r="AJ95"/>
  <c r="AJ151"/>
  <c r="AJ102"/>
  <c r="AJ197"/>
  <c r="AJ192"/>
  <c r="AJ191"/>
  <c r="AJ169"/>
  <c r="AJ132"/>
  <c r="AJ116"/>
  <c r="AJ113"/>
  <c r="AJ92"/>
  <c r="AJ83"/>
  <c r="AJ166"/>
  <c r="AJ73"/>
  <c r="AJ70"/>
  <c r="AJ56"/>
  <c r="AJ46"/>
  <c r="AJ36"/>
  <c r="AJ27" i="3"/>
  <c r="AJ27" i="2" s="1"/>
  <c r="AJ28"/>
  <c r="AJ26"/>
  <c r="AJ18"/>
  <c r="AJ171" i="3"/>
  <c r="AJ171" i="2" s="1"/>
  <c r="AJ172"/>
  <c r="AJ79"/>
  <c r="AJ74"/>
  <c r="AJ81"/>
  <c r="AJ55"/>
  <c r="AJ45"/>
  <c r="AJ35"/>
  <c r="AJ25"/>
  <c r="AJ142"/>
  <c r="AJ91"/>
  <c r="AJ86"/>
  <c r="AJ66"/>
  <c r="AJ57"/>
  <c r="AJ47"/>
  <c r="AJ37"/>
  <c r="AJ29"/>
  <c r="AJ138"/>
  <c r="AJ59"/>
  <c r="AJ49"/>
  <c r="AJ5"/>
  <c r="AJ125"/>
  <c r="AJ58"/>
  <c r="AJ53"/>
  <c r="AJ48"/>
  <c r="AJ43"/>
  <c r="AJ38"/>
  <c r="AJ33"/>
  <c r="AJ24"/>
  <c r="AJ103"/>
  <c r="AJ101"/>
  <c r="AJ80"/>
  <c r="AJ68"/>
  <c r="AJ61"/>
  <c r="AJ51" i="3"/>
  <c r="AJ51" i="2" s="1"/>
  <c r="AJ52"/>
  <c r="AJ42"/>
  <c r="AJ32"/>
  <c r="AJ23"/>
  <c r="AJ17"/>
  <c r="AJ3" i="3"/>
  <c r="AJ3" i="2" s="1"/>
  <c r="AJ4"/>
  <c r="AJ50"/>
  <c r="AJ21"/>
  <c r="AJ20"/>
  <c r="AJ11"/>
  <c r="AJ9"/>
  <c r="AJ180"/>
  <c r="AJ75" i="3"/>
  <c r="AJ75" i="2" s="1"/>
  <c r="AJ76"/>
  <c r="AJ71"/>
  <c r="AJ30"/>
  <c r="AJ22"/>
  <c r="AJ12"/>
  <c r="AJ111" i="3"/>
  <c r="AJ111" i="2" s="1"/>
  <c r="AJ112"/>
  <c r="AJ87" i="3"/>
  <c r="AJ87" i="2" s="1"/>
  <c r="AJ88"/>
  <c r="AJ39" i="3"/>
  <c r="AJ39" i="2" s="1"/>
  <c r="AJ40"/>
  <c r="AJ34"/>
  <c r="AJ19"/>
  <c r="AJ13"/>
  <c r="AJ8"/>
  <c r="AJ7"/>
  <c r="AJ84"/>
  <c r="AJ15" i="3"/>
  <c r="AJ15" i="2" s="1"/>
  <c r="AJ16"/>
  <c r="AJ60"/>
  <c r="AJ106"/>
  <c r="AJ44"/>
  <c r="AJ14"/>
  <c r="AJ6"/>
  <c r="AJ93"/>
  <c r="AJ54"/>
  <c r="AJ10"/>
  <c r="AJ31"/>
  <c r="AJ78"/>
  <c r="AJ41"/>
  <c r="AJ69"/>
  <c r="AJ65"/>
  <c r="T242"/>
  <c r="T234"/>
  <c r="T224"/>
  <c r="T214"/>
  <c r="T239"/>
  <c r="T236"/>
  <c r="T226"/>
  <c r="T216"/>
  <c r="T207" i="3"/>
  <c r="T207" i="2" s="1"/>
  <c r="T208"/>
  <c r="T206"/>
  <c r="T241"/>
  <c r="T233"/>
  <c r="T238"/>
  <c r="T228"/>
  <c r="T219" i="3"/>
  <c r="T219" i="2" s="1"/>
  <c r="T220"/>
  <c r="T218"/>
  <c r="T210"/>
  <c r="T235"/>
  <c r="T240"/>
  <c r="T231" i="3"/>
  <c r="T231" i="2" s="1"/>
  <c r="T232"/>
  <c r="T237"/>
  <c r="T227"/>
  <c r="T217"/>
  <c r="T209"/>
  <c r="T199"/>
  <c r="T189"/>
  <c r="T213"/>
  <c r="T204"/>
  <c r="T195" i="3"/>
  <c r="T195" i="2" s="1"/>
  <c r="T196"/>
  <c r="T194"/>
  <c r="T186"/>
  <c r="T198"/>
  <c r="T188"/>
  <c r="T223"/>
  <c r="T200"/>
  <c r="T190"/>
  <c r="T173"/>
  <c r="T163"/>
  <c r="T153"/>
  <c r="T143"/>
  <c r="T133"/>
  <c r="T215"/>
  <c r="T212"/>
  <c r="T211"/>
  <c r="T203"/>
  <c r="T182"/>
  <c r="T181"/>
  <c r="T178"/>
  <c r="T168"/>
  <c r="T159" i="3"/>
  <c r="T159" i="2" s="1"/>
  <c r="T160"/>
  <c r="T158"/>
  <c r="T150"/>
  <c r="T140"/>
  <c r="T130"/>
  <c r="T202"/>
  <c r="T201"/>
  <c r="T187"/>
  <c r="T175"/>
  <c r="T165"/>
  <c r="T155"/>
  <c r="T145"/>
  <c r="T137"/>
  <c r="T127"/>
  <c r="T193"/>
  <c r="T185"/>
  <c r="T174"/>
  <c r="T164"/>
  <c r="T154"/>
  <c r="T144"/>
  <c r="T135" i="3"/>
  <c r="T135" i="2" s="1"/>
  <c r="T136"/>
  <c r="T134"/>
  <c r="T126"/>
  <c r="T225"/>
  <c r="T197"/>
  <c r="T177"/>
  <c r="T157"/>
  <c r="T149"/>
  <c r="T129"/>
  <c r="T117"/>
  <c r="T107"/>
  <c r="T97"/>
  <c r="T89"/>
  <c r="T205"/>
  <c r="T176"/>
  <c r="T170"/>
  <c r="T162"/>
  <c r="T156"/>
  <c r="T147" i="3"/>
  <c r="T147" i="2" s="1"/>
  <c r="T148"/>
  <c r="T141"/>
  <c r="T128"/>
  <c r="T123" i="3"/>
  <c r="T123" i="2" s="1"/>
  <c r="T124"/>
  <c r="T122"/>
  <c r="T114"/>
  <c r="T104"/>
  <c r="T94"/>
  <c r="T222"/>
  <c r="T167"/>
  <c r="T118"/>
  <c r="T108"/>
  <c r="T99" i="3"/>
  <c r="T99" i="2" s="1"/>
  <c r="T100"/>
  <c r="T98"/>
  <c r="T90"/>
  <c r="T230"/>
  <c r="T183" i="3"/>
  <c r="T183" i="2" s="1"/>
  <c r="T184"/>
  <c r="T120"/>
  <c r="T119"/>
  <c r="T110"/>
  <c r="T109"/>
  <c r="T95"/>
  <c r="T91"/>
  <c r="T85"/>
  <c r="T77"/>
  <c r="T67"/>
  <c r="T229"/>
  <c r="T191"/>
  <c r="T180"/>
  <c r="T138"/>
  <c r="T82"/>
  <c r="T72"/>
  <c r="T63" i="3"/>
  <c r="T63" i="2" s="1"/>
  <c r="T64"/>
  <c r="T62"/>
  <c r="T171" i="3"/>
  <c r="T171" i="2" s="1"/>
  <c r="T172"/>
  <c r="T169"/>
  <c r="T192"/>
  <c r="T96"/>
  <c r="T80"/>
  <c r="T79"/>
  <c r="T73"/>
  <c r="T161"/>
  <c r="T132"/>
  <c r="T105"/>
  <c r="T86"/>
  <c r="T78"/>
  <c r="T125"/>
  <c r="T111" i="3"/>
  <c r="T111" i="2" s="1"/>
  <c r="T112"/>
  <c r="T81"/>
  <c r="T74"/>
  <c r="T66"/>
  <c r="T61"/>
  <c r="T56"/>
  <c r="T46"/>
  <c r="T36"/>
  <c r="T27" i="3"/>
  <c r="T27" i="2" s="1"/>
  <c r="T28"/>
  <c r="T26"/>
  <c r="T18"/>
  <c r="T179"/>
  <c r="T151"/>
  <c r="T103"/>
  <c r="T102"/>
  <c r="T101"/>
  <c r="T93"/>
  <c r="T75" i="3"/>
  <c r="T75" i="2" s="1"/>
  <c r="T76"/>
  <c r="T69"/>
  <c r="T65"/>
  <c r="T60"/>
  <c r="T55"/>
  <c r="T45"/>
  <c r="T35"/>
  <c r="T25"/>
  <c r="T146"/>
  <c r="T115"/>
  <c r="T83"/>
  <c r="T71"/>
  <c r="T70"/>
  <c r="T57"/>
  <c r="T47"/>
  <c r="T37"/>
  <c r="T29"/>
  <c r="T166"/>
  <c r="T106"/>
  <c r="T87" i="3"/>
  <c r="T87" i="2" s="1"/>
  <c r="T88"/>
  <c r="T19"/>
  <c r="T15" i="3"/>
  <c r="T15" i="2" s="1"/>
  <c r="T16"/>
  <c r="T10"/>
  <c r="T5"/>
  <c r="T131"/>
  <c r="T121"/>
  <c r="T51" i="3"/>
  <c r="T51" i="2" s="1"/>
  <c r="T52"/>
  <c r="T42"/>
  <c r="T32"/>
  <c r="T23"/>
  <c r="T13"/>
  <c r="T116"/>
  <c r="T84"/>
  <c r="T39" i="3"/>
  <c r="T39" i="2" s="1"/>
  <c r="T40"/>
  <c r="T30"/>
  <c r="T22"/>
  <c r="T3" i="3"/>
  <c r="T3" i="2" s="1"/>
  <c r="T4"/>
  <c r="T221"/>
  <c r="T113"/>
  <c r="T53"/>
  <c r="T49"/>
  <c r="T48"/>
  <c r="T17"/>
  <c r="T12"/>
  <c r="T11"/>
  <c r="T59"/>
  <c r="T58"/>
  <c r="T50"/>
  <c r="T21"/>
  <c r="T20"/>
  <c r="T8"/>
  <c r="T7"/>
  <c r="T31"/>
  <c r="T14"/>
  <c r="T9"/>
  <c r="T142"/>
  <c r="T139"/>
  <c r="T68"/>
  <c r="T44"/>
  <c r="T41"/>
  <c r="T38"/>
  <c r="T92"/>
  <c r="T34"/>
  <c r="T24"/>
  <c r="T152"/>
  <c r="T43"/>
  <c r="T33"/>
  <c r="T6"/>
  <c r="T54"/>
  <c r="BH242"/>
  <c r="BH234"/>
  <c r="BH224"/>
  <c r="BH214"/>
  <c r="BH239"/>
  <c r="BH236"/>
  <c r="BH226"/>
  <c r="BH216"/>
  <c r="BH207" i="3"/>
  <c r="BH207" i="2" s="1"/>
  <c r="BH208"/>
  <c r="BH206"/>
  <c r="BH241"/>
  <c r="BH233"/>
  <c r="BH238"/>
  <c r="BH228"/>
  <c r="BH219" i="3"/>
  <c r="BH219" i="2" s="1"/>
  <c r="BH220"/>
  <c r="BH218"/>
  <c r="BH210"/>
  <c r="BH235"/>
  <c r="BH240"/>
  <c r="BH231" i="3"/>
  <c r="BH231" i="2" s="1"/>
  <c r="BH232"/>
  <c r="BH237"/>
  <c r="BH227"/>
  <c r="BH217"/>
  <c r="BH209"/>
  <c r="BH205"/>
  <c r="BH199"/>
  <c r="BH189"/>
  <c r="BH223"/>
  <c r="BH204"/>
  <c r="BH195" i="3"/>
  <c r="BH195" i="2" s="1"/>
  <c r="BH196"/>
  <c r="BH194"/>
  <c r="BH186"/>
  <c r="BH198"/>
  <c r="BH188"/>
  <c r="BH213"/>
  <c r="BH200"/>
  <c r="BH190"/>
  <c r="BH180"/>
  <c r="BH230"/>
  <c r="BH229"/>
  <c r="BH225"/>
  <c r="BH222"/>
  <c r="BH221"/>
  <c r="BH173"/>
  <c r="BH163"/>
  <c r="BH153"/>
  <c r="BH143"/>
  <c r="BH133"/>
  <c r="BH193"/>
  <c r="BH185"/>
  <c r="BH178"/>
  <c r="BH168"/>
  <c r="BH159" i="3"/>
  <c r="BH159" i="2" s="1"/>
  <c r="BH160"/>
  <c r="BH158"/>
  <c r="BH150"/>
  <c r="BH140"/>
  <c r="BH130"/>
  <c r="BH197"/>
  <c r="BH192"/>
  <c r="BH191"/>
  <c r="BH183" i="3"/>
  <c r="BH183" i="2" s="1"/>
  <c r="BH184"/>
  <c r="BH175"/>
  <c r="BH165"/>
  <c r="BH155"/>
  <c r="BH145"/>
  <c r="BH137"/>
  <c r="BH127"/>
  <c r="BH203"/>
  <c r="BH182"/>
  <c r="BH181"/>
  <c r="BH174"/>
  <c r="BH164"/>
  <c r="BH154"/>
  <c r="BH144"/>
  <c r="BH135" i="3"/>
  <c r="BH135" i="2" s="1"/>
  <c r="BH136"/>
  <c r="BH134"/>
  <c r="BH126"/>
  <c r="BH171" i="3"/>
  <c r="BH171" i="2" s="1"/>
  <c r="BH172"/>
  <c r="BH152"/>
  <c r="BH146"/>
  <c r="BH138"/>
  <c r="BH132"/>
  <c r="BH117"/>
  <c r="BH107"/>
  <c r="BH97"/>
  <c r="BH89"/>
  <c r="BH167"/>
  <c r="BH125"/>
  <c r="BH123" i="3"/>
  <c r="BH123" i="2" s="1"/>
  <c r="BH124"/>
  <c r="BH122"/>
  <c r="BH114"/>
  <c r="BH104"/>
  <c r="BH94"/>
  <c r="BH212"/>
  <c r="BH187"/>
  <c r="BH176"/>
  <c r="BH170"/>
  <c r="BH162"/>
  <c r="BH156"/>
  <c r="BH147" i="3"/>
  <c r="BH147" i="2" s="1"/>
  <c r="BH148"/>
  <c r="BH141"/>
  <c r="BH128"/>
  <c r="BH118"/>
  <c r="BH108"/>
  <c r="BH99" i="3"/>
  <c r="BH99" i="2" s="1"/>
  <c r="BH100"/>
  <c r="BH98"/>
  <c r="BH90"/>
  <c r="BH121"/>
  <c r="BH115"/>
  <c r="BH105"/>
  <c r="BH85"/>
  <c r="BH77"/>
  <c r="BH67"/>
  <c r="BH179"/>
  <c r="BH161"/>
  <c r="BH139"/>
  <c r="BH129"/>
  <c r="BH120"/>
  <c r="BH119"/>
  <c r="BH110"/>
  <c r="BH109"/>
  <c r="BH95"/>
  <c r="BH82"/>
  <c r="BH72"/>
  <c r="BH63" i="3"/>
  <c r="BH63" i="2" s="1"/>
  <c r="BH64"/>
  <c r="BH62"/>
  <c r="BH201"/>
  <c r="BH96"/>
  <c r="BH86"/>
  <c r="BH157"/>
  <c r="BH81"/>
  <c r="BH202"/>
  <c r="BH177"/>
  <c r="BH149"/>
  <c r="BH142"/>
  <c r="BH131"/>
  <c r="BH111" i="3"/>
  <c r="BH111" i="2" s="1"/>
  <c r="BH112"/>
  <c r="BH91"/>
  <c r="BH70"/>
  <c r="BH69"/>
  <c r="BH113"/>
  <c r="BH83"/>
  <c r="BH56"/>
  <c r="BH46"/>
  <c r="BH36"/>
  <c r="BH27" i="3"/>
  <c r="BH27" i="2" s="1"/>
  <c r="BH28"/>
  <c r="BH26"/>
  <c r="BH18"/>
  <c r="BH215"/>
  <c r="BH166"/>
  <c r="BH55"/>
  <c r="BH45"/>
  <c r="BH35"/>
  <c r="BH25"/>
  <c r="BH169"/>
  <c r="BH103"/>
  <c r="BH102"/>
  <c r="BH101"/>
  <c r="BH93"/>
  <c r="BH87" i="3"/>
  <c r="BH87" i="2" s="1"/>
  <c r="BH88"/>
  <c r="BH84"/>
  <c r="BH73"/>
  <c r="BH66"/>
  <c r="BH65"/>
  <c r="BH61"/>
  <c r="BH57"/>
  <c r="BH47"/>
  <c r="BH37"/>
  <c r="BH29"/>
  <c r="BH116"/>
  <c r="BH80"/>
  <c r="BH79"/>
  <c r="BH58"/>
  <c r="BH53"/>
  <c r="BH48"/>
  <c r="BH43"/>
  <c r="BH38"/>
  <c r="BH33"/>
  <c r="BH24"/>
  <c r="BH17"/>
  <c r="BH5"/>
  <c r="BH211"/>
  <c r="BH92"/>
  <c r="BH75" i="3"/>
  <c r="BH75" i="2" s="1"/>
  <c r="BH76"/>
  <c r="BH60"/>
  <c r="BH68"/>
  <c r="BH59"/>
  <c r="BH41"/>
  <c r="BH31"/>
  <c r="BH15" i="3"/>
  <c r="BH15" i="2" s="1"/>
  <c r="BH16"/>
  <c r="BH10"/>
  <c r="BH3" i="3"/>
  <c r="BH3" i="2" s="1"/>
  <c r="BH4"/>
  <c r="BH49"/>
  <c r="BH74"/>
  <c r="BH50"/>
  <c r="BH21"/>
  <c r="BH20"/>
  <c r="BH14"/>
  <c r="BH151"/>
  <c r="BH78"/>
  <c r="BH23"/>
  <c r="BH6"/>
  <c r="BH71"/>
  <c r="BH54"/>
  <c r="BH22"/>
  <c r="BH13"/>
  <c r="BH9"/>
  <c r="BH8"/>
  <c r="BH51" i="3"/>
  <c r="BH51" i="2" s="1"/>
  <c r="BH52"/>
  <c r="BH39" i="3"/>
  <c r="BH39" i="2" s="1"/>
  <c r="BH40"/>
  <c r="BH32"/>
  <c r="BH19"/>
  <c r="BH44"/>
  <c r="BH42"/>
  <c r="BH12"/>
  <c r="BH30"/>
  <c r="BH34"/>
  <c r="BH11"/>
  <c r="BH7"/>
  <c r="BH106"/>
  <c r="F242"/>
  <c r="F31"/>
  <c r="F143"/>
  <c r="F221"/>
  <c r="F5"/>
  <c r="F15" i="3"/>
  <c r="F15" i="2" s="1"/>
  <c r="F16"/>
  <c r="F79"/>
  <c r="F41"/>
  <c r="F20"/>
  <c r="F223"/>
  <c r="F185"/>
  <c r="F34"/>
  <c r="F140"/>
  <c r="F109"/>
  <c r="F94"/>
  <c r="F18"/>
  <c r="F200"/>
  <c r="F162"/>
  <c r="F123" i="3"/>
  <c r="F123" i="2" s="1"/>
  <c r="F124"/>
  <c r="F205"/>
  <c r="F38"/>
  <c r="F78"/>
  <c r="F129"/>
  <c r="F53"/>
  <c r="F133"/>
  <c r="F204"/>
  <c r="F166"/>
  <c r="F128"/>
  <c r="F216"/>
  <c r="F183" i="3"/>
  <c r="F183" i="2" s="1"/>
  <c r="F184"/>
  <c r="F48"/>
  <c r="F147" i="3"/>
  <c r="F147" i="2" s="1"/>
  <c r="F148"/>
  <c r="F63" i="3"/>
  <c r="F63" i="2" s="1"/>
  <c r="F64"/>
  <c r="F37"/>
  <c r="F187"/>
  <c r="F68"/>
  <c r="F35"/>
  <c r="F180"/>
  <c r="F83"/>
  <c r="F11"/>
  <c r="F98"/>
  <c r="F107"/>
  <c r="F50"/>
  <c r="F103"/>
  <c r="F62"/>
  <c r="F12"/>
  <c r="F156"/>
  <c r="F202"/>
  <c r="F126"/>
  <c r="F57"/>
  <c r="F137"/>
  <c r="F84"/>
  <c r="F61"/>
  <c r="F142"/>
  <c r="F46"/>
  <c r="F47"/>
  <c r="F191"/>
  <c r="F66"/>
  <c r="F119"/>
  <c r="F54"/>
  <c r="F74"/>
  <c r="F154"/>
  <c r="F96"/>
  <c r="F73"/>
  <c r="F176"/>
  <c r="F6"/>
  <c r="F150"/>
  <c r="F211"/>
  <c r="F165"/>
  <c r="F101"/>
  <c r="F59"/>
  <c r="F169"/>
  <c r="F135" i="3"/>
  <c r="F135" i="2" s="1"/>
  <c r="F136"/>
  <c r="F7"/>
  <c r="F32"/>
  <c r="F39" i="3"/>
  <c r="F39" i="2" s="1"/>
  <c r="F40"/>
  <c r="F120"/>
  <c r="F114"/>
  <c r="F75" i="3"/>
  <c r="F75" i="2" s="1"/>
  <c r="F76"/>
  <c r="F55"/>
  <c r="F17"/>
  <c r="F219" i="3"/>
  <c r="F219" i="2" s="1"/>
  <c r="F220"/>
  <c r="F139"/>
  <c r="F3" i="3"/>
  <c r="F3" i="2" s="1"/>
  <c r="F4"/>
  <c r="F179"/>
  <c r="F164"/>
  <c r="F87" i="3"/>
  <c r="F87" i="2" s="1"/>
  <c r="F88"/>
  <c r="F235"/>
  <c r="F197"/>
  <c r="F158"/>
  <c r="F69"/>
  <c r="F108"/>
  <c r="F217"/>
  <c r="F199"/>
  <c r="F122"/>
  <c r="F203"/>
  <c r="F239"/>
  <c r="F201"/>
  <c r="F163"/>
  <c r="F206"/>
  <c r="F36"/>
  <c r="F125"/>
  <c r="F10"/>
  <c r="F117"/>
  <c r="F228"/>
  <c r="F186"/>
  <c r="F14"/>
  <c r="F233"/>
  <c r="F27" i="3"/>
  <c r="F27" i="2" s="1"/>
  <c r="F28"/>
  <c r="F71"/>
  <c r="F159" i="3"/>
  <c r="F159" i="2" s="1"/>
  <c r="F160"/>
  <c r="F45"/>
  <c r="F222"/>
  <c r="F60"/>
  <c r="F181"/>
  <c r="F91"/>
  <c r="F65"/>
  <c r="F72"/>
  <c r="F182"/>
  <c r="F215"/>
  <c r="F118"/>
  <c r="F151"/>
  <c r="F168"/>
  <c r="F19"/>
  <c r="F155"/>
  <c r="F138"/>
  <c r="F23"/>
  <c r="F210"/>
  <c r="F9"/>
  <c r="F153"/>
  <c r="F171" i="3"/>
  <c r="F171" i="2" s="1"/>
  <c r="F172"/>
  <c r="F195" i="3"/>
  <c r="F195" i="2" s="1"/>
  <c r="F196"/>
  <c r="F92"/>
  <c r="F241"/>
  <c r="F173"/>
  <c r="F58"/>
  <c r="F167"/>
  <c r="F152"/>
  <c r="F226"/>
  <c r="F170"/>
  <c r="F24"/>
  <c r="F127"/>
  <c r="F175"/>
  <c r="F224"/>
  <c r="F131"/>
  <c r="F240"/>
  <c r="F111" i="3"/>
  <c r="F111" i="2" s="1"/>
  <c r="F112"/>
  <c r="F102"/>
  <c r="F144"/>
  <c r="F225"/>
  <c r="F149"/>
  <c r="F110"/>
  <c r="F90"/>
  <c r="F51" i="3"/>
  <c r="F51" i="2" s="1"/>
  <c r="F52"/>
  <c r="F13"/>
  <c r="F177"/>
  <c r="F178"/>
  <c r="F43"/>
  <c r="F234"/>
  <c r="F157"/>
  <c r="F29"/>
  <c r="F231" i="3"/>
  <c r="F231" i="2" s="1"/>
  <c r="F232"/>
  <c r="F193"/>
  <c r="F174"/>
  <c r="F213"/>
  <c r="F81"/>
  <c r="F82"/>
  <c r="F192"/>
  <c r="F238"/>
  <c r="F33"/>
  <c r="F236"/>
  <c r="F198"/>
  <c r="F104"/>
  <c r="F8"/>
  <c r="F145"/>
  <c r="F86"/>
  <c r="F42"/>
  <c r="F227"/>
  <c r="F25"/>
  <c r="F77"/>
  <c r="F21"/>
  <c r="F30"/>
  <c r="F209"/>
  <c r="F113"/>
  <c r="F218"/>
  <c r="F121"/>
  <c r="F146"/>
  <c r="F56"/>
  <c r="F22"/>
  <c r="F67"/>
  <c r="F49"/>
  <c r="F26"/>
  <c r="F105"/>
  <c r="F106"/>
  <c r="F194"/>
  <c r="F80"/>
  <c r="F85"/>
  <c r="F95"/>
  <c r="F132"/>
  <c r="F161"/>
  <c r="F99" i="3"/>
  <c r="F99" i="2" s="1"/>
  <c r="F100"/>
  <c r="F97"/>
  <c r="F141"/>
  <c r="F229"/>
  <c r="F115"/>
  <c r="F190"/>
  <c r="F130"/>
  <c r="F237"/>
  <c r="F230"/>
  <c r="F134"/>
  <c r="F212"/>
  <c r="F116"/>
  <c r="F44"/>
  <c r="F188"/>
  <c r="F70"/>
  <c r="F189"/>
  <c r="F89"/>
  <c r="F214"/>
  <c r="F207" i="3"/>
  <c r="F207" i="2" s="1"/>
  <c r="F208"/>
  <c r="F93"/>
  <c r="AM235"/>
  <c r="AM225"/>
  <c r="AM215"/>
  <c r="AM205"/>
  <c r="AM240"/>
  <c r="AM231" i="3"/>
  <c r="AM231" i="2" s="1"/>
  <c r="AM232"/>
  <c r="AM237"/>
  <c r="AM227"/>
  <c r="AM217"/>
  <c r="AM209"/>
  <c r="AM242"/>
  <c r="AM234"/>
  <c r="AM239"/>
  <c r="AM229"/>
  <c r="AM221"/>
  <c r="AM211"/>
  <c r="AM236"/>
  <c r="AM241"/>
  <c r="AM233"/>
  <c r="AM238"/>
  <c r="AM228"/>
  <c r="AM219" i="3"/>
  <c r="AM219" i="2" s="1"/>
  <c r="AM220"/>
  <c r="AM218"/>
  <c r="AM210"/>
  <c r="AM200"/>
  <c r="AM190"/>
  <c r="AM214"/>
  <c r="AM206"/>
  <c r="AM197"/>
  <c r="AM187"/>
  <c r="AM213"/>
  <c r="AM212"/>
  <c r="AM199"/>
  <c r="AM189"/>
  <c r="AM224"/>
  <c r="AM201"/>
  <c r="AM191"/>
  <c r="AM181"/>
  <c r="AM174"/>
  <c r="AM164"/>
  <c r="AM154"/>
  <c r="AM144"/>
  <c r="AM135" i="3"/>
  <c r="AM135" i="2" s="1"/>
  <c r="AM136"/>
  <c r="AM134"/>
  <c r="AM204"/>
  <c r="AM195" i="3"/>
  <c r="AM195" i="2" s="1"/>
  <c r="AM196"/>
  <c r="AM179"/>
  <c r="AM169"/>
  <c r="AM161"/>
  <c r="AM151"/>
  <c r="AM141"/>
  <c r="AM131"/>
  <c r="AM188"/>
  <c r="AM182"/>
  <c r="AM176"/>
  <c r="AM166"/>
  <c r="AM156"/>
  <c r="AM147" i="3"/>
  <c r="AM147" i="2" s="1"/>
  <c r="AM148"/>
  <c r="AM146"/>
  <c r="AM138"/>
  <c r="AM128"/>
  <c r="AM194"/>
  <c r="AM186"/>
  <c r="AM175"/>
  <c r="AM165"/>
  <c r="AM155"/>
  <c r="AM145"/>
  <c r="AM137"/>
  <c r="AM127"/>
  <c r="AM192"/>
  <c r="AM143"/>
  <c r="AM118"/>
  <c r="AM108"/>
  <c r="AM99" i="3"/>
  <c r="AM99" i="2" s="1"/>
  <c r="AM100"/>
  <c r="AM98"/>
  <c r="AM90"/>
  <c r="AM223"/>
  <c r="AM193"/>
  <c r="AM183" i="3"/>
  <c r="AM183" i="2" s="1"/>
  <c r="AM184"/>
  <c r="AM178"/>
  <c r="AM158"/>
  <c r="AM150"/>
  <c r="AM142"/>
  <c r="AM130"/>
  <c r="AM125"/>
  <c r="AM115"/>
  <c r="AM105"/>
  <c r="AM95"/>
  <c r="AM230"/>
  <c r="AM216"/>
  <c r="AM202"/>
  <c r="AM198"/>
  <c r="AM173"/>
  <c r="AM153"/>
  <c r="AM139"/>
  <c r="AM133"/>
  <c r="AM119"/>
  <c r="AM109"/>
  <c r="AM101"/>
  <c r="AM91"/>
  <c r="AM171" i="3"/>
  <c r="AM171" i="2" s="1"/>
  <c r="AM172"/>
  <c r="AM126"/>
  <c r="AM117"/>
  <c r="AM107"/>
  <c r="AM93"/>
  <c r="AM92"/>
  <c r="AM86"/>
  <c r="AM78"/>
  <c r="AM68"/>
  <c r="AM163"/>
  <c r="AM152"/>
  <c r="AM122"/>
  <c r="AM116"/>
  <c r="AM106"/>
  <c r="AM97"/>
  <c r="AM83"/>
  <c r="AM73"/>
  <c r="AM65"/>
  <c r="AM207" i="3"/>
  <c r="AM207" i="2" s="1"/>
  <c r="AM208"/>
  <c r="AM167"/>
  <c r="AM129"/>
  <c r="AM96"/>
  <c r="AM180"/>
  <c r="AM121"/>
  <c r="AM94"/>
  <c r="AM72"/>
  <c r="AM226"/>
  <c r="AM222"/>
  <c r="AM159" i="3"/>
  <c r="AM159" i="2" s="1"/>
  <c r="AM160"/>
  <c r="AM110"/>
  <c r="AM103"/>
  <c r="AM85"/>
  <c r="AM77"/>
  <c r="AM111" i="3"/>
  <c r="AM111" i="2" s="1"/>
  <c r="AM112"/>
  <c r="AM84"/>
  <c r="AM80"/>
  <c r="AM75" i="3"/>
  <c r="AM75" i="2" s="1"/>
  <c r="AM76"/>
  <c r="AM162"/>
  <c r="AM104"/>
  <c r="AM102"/>
  <c r="AM69"/>
  <c r="AM67"/>
  <c r="AM66"/>
  <c r="AM60"/>
  <c r="AM57"/>
  <c r="AM47"/>
  <c r="AM37"/>
  <c r="AM29"/>
  <c r="AM19"/>
  <c r="AM157"/>
  <c r="AM120"/>
  <c r="AM89"/>
  <c r="AM82"/>
  <c r="AM70"/>
  <c r="AM177"/>
  <c r="AM79"/>
  <c r="AM56"/>
  <c r="AM46"/>
  <c r="AM36"/>
  <c r="AM27" i="3"/>
  <c r="AM27" i="2" s="1"/>
  <c r="AM28"/>
  <c r="AM26"/>
  <c r="AM203"/>
  <c r="AM132"/>
  <c r="AM123" i="3"/>
  <c r="AM123" i="2" s="1"/>
  <c r="AM124"/>
  <c r="AM81"/>
  <c r="AM58"/>
  <c r="AM48"/>
  <c r="AM39" i="3"/>
  <c r="AM39" i="2" s="1"/>
  <c r="AM40"/>
  <c r="AM38"/>
  <c r="AM30"/>
  <c r="AM20"/>
  <c r="AM21"/>
  <c r="AM15" i="3"/>
  <c r="AM15" i="2" s="1"/>
  <c r="AM16"/>
  <c r="AM6"/>
  <c r="AM74"/>
  <c r="AM54"/>
  <c r="AM50"/>
  <c r="AM44"/>
  <c r="AM34"/>
  <c r="AM25"/>
  <c r="AM10"/>
  <c r="AM170"/>
  <c r="AM168"/>
  <c r="AM149"/>
  <c r="AM140"/>
  <c r="AM87" i="3"/>
  <c r="AM87" i="2" s="1"/>
  <c r="AM88"/>
  <c r="AM71"/>
  <c r="AM53"/>
  <c r="AM43"/>
  <c r="AM33"/>
  <c r="AM24"/>
  <c r="AM18"/>
  <c r="AM5"/>
  <c r="AM59"/>
  <c r="AM3" i="3"/>
  <c r="AM3" i="2" s="1"/>
  <c r="AM4"/>
  <c r="AM23"/>
  <c r="AM22"/>
  <c r="AM17"/>
  <c r="AM12"/>
  <c r="AM9"/>
  <c r="AM13"/>
  <c r="AM113"/>
  <c r="AM35"/>
  <c r="AM55"/>
  <c r="AM114"/>
  <c r="AM31"/>
  <c r="AM11"/>
  <c r="AM61"/>
  <c r="AM51" i="3"/>
  <c r="AM51" i="2" s="1"/>
  <c r="AM52"/>
  <c r="AM49"/>
  <c r="AM42"/>
  <c r="AM8"/>
  <c r="AM185"/>
  <c r="AM14"/>
  <c r="AM63" i="3"/>
  <c r="AM63" i="2" s="1"/>
  <c r="AM64"/>
  <c r="AM32"/>
  <c r="AM41"/>
  <c r="AM7"/>
  <c r="AM62"/>
  <c r="AM45"/>
  <c r="BB240"/>
  <c r="BB231" i="3"/>
  <c r="BB231" i="2" s="1"/>
  <c r="BB232"/>
  <c r="BB230"/>
  <c r="BB222"/>
  <c r="BB212"/>
  <c r="BB237"/>
  <c r="BB242"/>
  <c r="BB234"/>
  <c r="BB224"/>
  <c r="BB214"/>
  <c r="BB239"/>
  <c r="BB236"/>
  <c r="BB226"/>
  <c r="BB216"/>
  <c r="BB207" i="3"/>
  <c r="BB207" i="2" s="1"/>
  <c r="BB208"/>
  <c r="BB206"/>
  <c r="BB241"/>
  <c r="BB233"/>
  <c r="BB238"/>
  <c r="BB235"/>
  <c r="BB225"/>
  <c r="BB215"/>
  <c r="BB228"/>
  <c r="BB219" i="3"/>
  <c r="BB219" i="2" s="1"/>
  <c r="BB220"/>
  <c r="BB197"/>
  <c r="BB187"/>
  <c r="BB227"/>
  <c r="BB202"/>
  <c r="BB192"/>
  <c r="BB183" i="3"/>
  <c r="BB183" i="2" s="1"/>
  <c r="BB184"/>
  <c r="BB182"/>
  <c r="BB211"/>
  <c r="BB204"/>
  <c r="BB195" i="3"/>
  <c r="BB195" i="2" s="1"/>
  <c r="BB196"/>
  <c r="BB194"/>
  <c r="BB186"/>
  <c r="BB217"/>
  <c r="BB209"/>
  <c r="BB205"/>
  <c r="BB198"/>
  <c r="BB188"/>
  <c r="BB190"/>
  <c r="BB179"/>
  <c r="BB169"/>
  <c r="BB161"/>
  <c r="BB151"/>
  <c r="BB141"/>
  <c r="BB131"/>
  <c r="BB189"/>
  <c r="BB176"/>
  <c r="BB166"/>
  <c r="BB156"/>
  <c r="BB147" i="3"/>
  <c r="BB147" i="2" s="1"/>
  <c r="BB148"/>
  <c r="BB146"/>
  <c r="BB138"/>
  <c r="BB128"/>
  <c r="BB218"/>
  <c r="BB213"/>
  <c r="BB210"/>
  <c r="BB203"/>
  <c r="BB181"/>
  <c r="BB180"/>
  <c r="BB173"/>
  <c r="BB163"/>
  <c r="BB153"/>
  <c r="BB143"/>
  <c r="BB133"/>
  <c r="BB199"/>
  <c r="BB171" i="3"/>
  <c r="BB171" i="2" s="1"/>
  <c r="BB172"/>
  <c r="BB170"/>
  <c r="BB162"/>
  <c r="BB152"/>
  <c r="BB142"/>
  <c r="BB132"/>
  <c r="BB201"/>
  <c r="BB200"/>
  <c r="BB178"/>
  <c r="BB158"/>
  <c r="BB150"/>
  <c r="BB130"/>
  <c r="BB115"/>
  <c r="BB105"/>
  <c r="BB95"/>
  <c r="BB221"/>
  <c r="BB177"/>
  <c r="BB164"/>
  <c r="BB157"/>
  <c r="BB149"/>
  <c r="BB129"/>
  <c r="BB120"/>
  <c r="BB111" i="3"/>
  <c r="BB111" i="2" s="1"/>
  <c r="BB112"/>
  <c r="BB110"/>
  <c r="BB102"/>
  <c r="BB92"/>
  <c r="BB185"/>
  <c r="BB168"/>
  <c r="BB159" i="3"/>
  <c r="BB159" i="2" s="1"/>
  <c r="BB160"/>
  <c r="BB145"/>
  <c r="BB137"/>
  <c r="BB116"/>
  <c r="BB106"/>
  <c r="BB96"/>
  <c r="BB87" i="3"/>
  <c r="BB87" i="2" s="1"/>
  <c r="BB88"/>
  <c r="BB155"/>
  <c r="BB118"/>
  <c r="BB113"/>
  <c r="BB108"/>
  <c r="BB103"/>
  <c r="BB83"/>
  <c r="BB73"/>
  <c r="BB65"/>
  <c r="BB144"/>
  <c r="BB134"/>
  <c r="BB117"/>
  <c r="BB107"/>
  <c r="BB98"/>
  <c r="BB93"/>
  <c r="BB80"/>
  <c r="BB70"/>
  <c r="BB60"/>
  <c r="BB140"/>
  <c r="BB122"/>
  <c r="BB101"/>
  <c r="BB97"/>
  <c r="BB91"/>
  <c r="BB229"/>
  <c r="BB127"/>
  <c r="BB104"/>
  <c r="BB84"/>
  <c r="BB75" i="3"/>
  <c r="BB75" i="2" s="1"/>
  <c r="BB76"/>
  <c r="BB174"/>
  <c r="BB165"/>
  <c r="BB99" i="3"/>
  <c r="BB99" i="2" s="1"/>
  <c r="BB100"/>
  <c r="BB90"/>
  <c r="BB86"/>
  <c r="BB78"/>
  <c r="BB67"/>
  <c r="BB82"/>
  <c r="BB63" i="3"/>
  <c r="BB63" i="2" s="1"/>
  <c r="BB64"/>
  <c r="BB54"/>
  <c r="BB44"/>
  <c r="BB34"/>
  <c r="BB24"/>
  <c r="BB15" i="3"/>
  <c r="BB15" i="2" s="1"/>
  <c r="BB16"/>
  <c r="BB14"/>
  <c r="BB223"/>
  <c r="BB191"/>
  <c r="BB154"/>
  <c r="BB126"/>
  <c r="BB123" i="3"/>
  <c r="BB123" i="2" s="1"/>
  <c r="BB124"/>
  <c r="BB109"/>
  <c r="BB66"/>
  <c r="BB94"/>
  <c r="BB71"/>
  <c r="BB68"/>
  <c r="BB53"/>
  <c r="BB43"/>
  <c r="BB33"/>
  <c r="BB23"/>
  <c r="BB175"/>
  <c r="BB135" i="3"/>
  <c r="BB135" i="2" s="1"/>
  <c r="BB136"/>
  <c r="BB125"/>
  <c r="BB121"/>
  <c r="BB119"/>
  <c r="BB59"/>
  <c r="BB55"/>
  <c r="BB45"/>
  <c r="BB35"/>
  <c r="BB25"/>
  <c r="BB193"/>
  <c r="BB77"/>
  <c r="BB39" i="3"/>
  <c r="BB39" i="2" s="1"/>
  <c r="BB40"/>
  <c r="BB30"/>
  <c r="BB22"/>
  <c r="BB18"/>
  <c r="BB72"/>
  <c r="BB29"/>
  <c r="BB26"/>
  <c r="BB21"/>
  <c r="BB8"/>
  <c r="BB85"/>
  <c r="BB49"/>
  <c r="BB27" i="3"/>
  <c r="BB27" i="2" s="1"/>
  <c r="BB28"/>
  <c r="BB17"/>
  <c r="BB6"/>
  <c r="BB167"/>
  <c r="BB114"/>
  <c r="BB81"/>
  <c r="BB62"/>
  <c r="BB61"/>
  <c r="BB11"/>
  <c r="BB5"/>
  <c r="BB89"/>
  <c r="BB36"/>
  <c r="BB12"/>
  <c r="BB32"/>
  <c r="BB48"/>
  <c r="BB47"/>
  <c r="BB42"/>
  <c r="BB41"/>
  <c r="BB31"/>
  <c r="BB139"/>
  <c r="BB58"/>
  <c r="BB37"/>
  <c r="BB3" i="3"/>
  <c r="BB3" i="2" s="1"/>
  <c r="BB4"/>
  <c r="BB69"/>
  <c r="BB10"/>
  <c r="BB9"/>
  <c r="BB7"/>
  <c r="BB19"/>
  <c r="BB38"/>
  <c r="BB20"/>
  <c r="BB51" i="3"/>
  <c r="BB51" i="2" s="1"/>
  <c r="BB52"/>
  <c r="BB50"/>
  <c r="BB57"/>
  <c r="BB56"/>
  <c r="BB46"/>
  <c r="BB74"/>
  <c r="BB13"/>
  <c r="BB79"/>
  <c r="BL238"/>
  <c r="BL228"/>
  <c r="BL219" i="3"/>
  <c r="BL219" i="2" s="1"/>
  <c r="BL220"/>
  <c r="BL218"/>
  <c r="BL210"/>
  <c r="BL235"/>
  <c r="BL240"/>
  <c r="BL231" i="3"/>
  <c r="BL231" i="2" s="1"/>
  <c r="BL232"/>
  <c r="BL230"/>
  <c r="BL222"/>
  <c r="BL212"/>
  <c r="BL237"/>
  <c r="BL242"/>
  <c r="BL234"/>
  <c r="BL224"/>
  <c r="BL214"/>
  <c r="BL239"/>
  <c r="BL236"/>
  <c r="BL241"/>
  <c r="BL233"/>
  <c r="BL223"/>
  <c r="BL213"/>
  <c r="BL225"/>
  <c r="BL211"/>
  <c r="BL206"/>
  <c r="BL203"/>
  <c r="BL193"/>
  <c r="BL185"/>
  <c r="BL200"/>
  <c r="BL190"/>
  <c r="BL180"/>
  <c r="BL216"/>
  <c r="BL207" i="3"/>
  <c r="BL207" i="2" s="1"/>
  <c r="BL208"/>
  <c r="BL205"/>
  <c r="BL202"/>
  <c r="BL192"/>
  <c r="BL183" i="3"/>
  <c r="BL183" i="2" s="1"/>
  <c r="BL184"/>
  <c r="BL182"/>
  <c r="BL204"/>
  <c r="BL195" i="3"/>
  <c r="BL195" i="2" s="1"/>
  <c r="BL196"/>
  <c r="BL194"/>
  <c r="BL186"/>
  <c r="BL201"/>
  <c r="BL187"/>
  <c r="BL177"/>
  <c r="BL167"/>
  <c r="BL157"/>
  <c r="BL149"/>
  <c r="BL139"/>
  <c r="BL129"/>
  <c r="BL229"/>
  <c r="BL221"/>
  <c r="BL174"/>
  <c r="BL164"/>
  <c r="BL154"/>
  <c r="BL144"/>
  <c r="BL135" i="3"/>
  <c r="BL135" i="2" s="1"/>
  <c r="BL136"/>
  <c r="BL134"/>
  <c r="BL126"/>
  <c r="BL227"/>
  <c r="BL226"/>
  <c r="BL199"/>
  <c r="BL179"/>
  <c r="BL169"/>
  <c r="BL161"/>
  <c r="BL151"/>
  <c r="BL141"/>
  <c r="BL131"/>
  <c r="BL178"/>
  <c r="BL168"/>
  <c r="BL159" i="3"/>
  <c r="BL159" i="2" s="1"/>
  <c r="BL160"/>
  <c r="BL158"/>
  <c r="BL150"/>
  <c r="BL140"/>
  <c r="BL130"/>
  <c r="BL181"/>
  <c r="BL170"/>
  <c r="BL162"/>
  <c r="BL121"/>
  <c r="BL113"/>
  <c r="BL103"/>
  <c r="BL93"/>
  <c r="BL217"/>
  <c r="BL146"/>
  <c r="BL138"/>
  <c r="BL118"/>
  <c r="BL108"/>
  <c r="BL99" i="3"/>
  <c r="BL99" i="2" s="1"/>
  <c r="BL100"/>
  <c r="BL98"/>
  <c r="BL143"/>
  <c r="BL123" i="3"/>
  <c r="BL123" i="2" s="1"/>
  <c r="BL124"/>
  <c r="BL122"/>
  <c r="BL114"/>
  <c r="BL104"/>
  <c r="BL94"/>
  <c r="BL191"/>
  <c r="BL171" i="3"/>
  <c r="BL171" i="2" s="1"/>
  <c r="BL172"/>
  <c r="BL156"/>
  <c r="BL133"/>
  <c r="BL117"/>
  <c r="BL107"/>
  <c r="BL101"/>
  <c r="BL92"/>
  <c r="BL87" i="3"/>
  <c r="BL87" i="2" s="1"/>
  <c r="BL88"/>
  <c r="BL81"/>
  <c r="BL71"/>
  <c r="BL61"/>
  <c r="BL209"/>
  <c r="BL188"/>
  <c r="BL165"/>
  <c r="BL152"/>
  <c r="BL147" i="3"/>
  <c r="BL147" i="2" s="1"/>
  <c r="BL148"/>
  <c r="BL127"/>
  <c r="BL125"/>
  <c r="BL116"/>
  <c r="BL106"/>
  <c r="BL97"/>
  <c r="BL91"/>
  <c r="BL78"/>
  <c r="BL68"/>
  <c r="BL163"/>
  <c r="BL137"/>
  <c r="BL115"/>
  <c r="BL105"/>
  <c r="BL96"/>
  <c r="BL215"/>
  <c r="BL128"/>
  <c r="BL95"/>
  <c r="BL84"/>
  <c r="BL80"/>
  <c r="BL75" i="3"/>
  <c r="BL75" i="2" s="1"/>
  <c r="BL76"/>
  <c r="BL73"/>
  <c r="BL198"/>
  <c r="BL175"/>
  <c r="BL166"/>
  <c r="BL132"/>
  <c r="BL102"/>
  <c r="BL86"/>
  <c r="BL110"/>
  <c r="BL109"/>
  <c r="BL67"/>
  <c r="BL66"/>
  <c r="BL62"/>
  <c r="BL51" i="3"/>
  <c r="BL51" i="2" s="1"/>
  <c r="BL52"/>
  <c r="BL50"/>
  <c r="BL42"/>
  <c r="BL32"/>
  <c r="BL22"/>
  <c r="BL12"/>
  <c r="BL189"/>
  <c r="BL153"/>
  <c r="BL142"/>
  <c r="BL111" i="3"/>
  <c r="BL111" i="2" s="1"/>
  <c r="BL112"/>
  <c r="BL89"/>
  <c r="BL83"/>
  <c r="BL70"/>
  <c r="BL69"/>
  <c r="BL197"/>
  <c r="BL155"/>
  <c r="BL77"/>
  <c r="BL60"/>
  <c r="BL49"/>
  <c r="BL41"/>
  <c r="BL31"/>
  <c r="BL21"/>
  <c r="BL82"/>
  <c r="BL59"/>
  <c r="BL53"/>
  <c r="BL43"/>
  <c r="BL33"/>
  <c r="BL23"/>
  <c r="BL90"/>
  <c r="BL74"/>
  <c r="BL20"/>
  <c r="BL13"/>
  <c r="BL9"/>
  <c r="BL173"/>
  <c r="BL63" i="3"/>
  <c r="BL63" i="2" s="1"/>
  <c r="BL64"/>
  <c r="BL54"/>
  <c r="BL44"/>
  <c r="BL34"/>
  <c r="BL27" i="3"/>
  <c r="BL27" i="2" s="1"/>
  <c r="BL28"/>
  <c r="BL25"/>
  <c r="BL19"/>
  <c r="BL18"/>
  <c r="BL6"/>
  <c r="BL145"/>
  <c r="BL57"/>
  <c r="BL47"/>
  <c r="BL37"/>
  <c r="BL24"/>
  <c r="BL8"/>
  <c r="BL119"/>
  <c r="BL65"/>
  <c r="BL48"/>
  <c r="BL46"/>
  <c r="BL45"/>
  <c r="BL17"/>
  <c r="BL58"/>
  <c r="BL56"/>
  <c r="BL55"/>
  <c r="BL4"/>
  <c r="BL3" i="3"/>
  <c r="BL3" i="2" s="1"/>
  <c r="BL29"/>
  <c r="BL14"/>
  <c r="BL176"/>
  <c r="BL85"/>
  <c r="BL79"/>
  <c r="BL35"/>
  <c r="BL10"/>
  <c r="BL5"/>
  <c r="BL120"/>
  <c r="BL15" i="3"/>
  <c r="BL15" i="2" s="1"/>
  <c r="BL16"/>
  <c r="BL7"/>
  <c r="BL39" i="3"/>
  <c r="BL39" i="2" s="1"/>
  <c r="BL40"/>
  <c r="BL30"/>
  <c r="BL38"/>
  <c r="BL26"/>
  <c r="BL11"/>
  <c r="BL72"/>
  <c r="BL36"/>
  <c r="P238"/>
  <c r="P228"/>
  <c r="P219" i="3"/>
  <c r="P219" i="2" s="1"/>
  <c r="P220"/>
  <c r="P218"/>
  <c r="P210"/>
  <c r="P235"/>
  <c r="P240"/>
  <c r="P231" i="3"/>
  <c r="P231" i="2" s="1"/>
  <c r="P232"/>
  <c r="P230"/>
  <c r="P222"/>
  <c r="P212"/>
  <c r="P237"/>
  <c r="P242"/>
  <c r="P234"/>
  <c r="P224"/>
  <c r="P214"/>
  <c r="P239"/>
  <c r="P236"/>
  <c r="P241"/>
  <c r="P233"/>
  <c r="P223"/>
  <c r="P213"/>
  <c r="P225"/>
  <c r="P211"/>
  <c r="P203"/>
  <c r="P193"/>
  <c r="P185"/>
  <c r="P200"/>
  <c r="P190"/>
  <c r="P216"/>
  <c r="P207" i="3"/>
  <c r="P207" i="2" s="1"/>
  <c r="P208"/>
  <c r="P206"/>
  <c r="P202"/>
  <c r="P192"/>
  <c r="P183" i="3"/>
  <c r="P183" i="2" s="1"/>
  <c r="P184"/>
  <c r="P182"/>
  <c r="P204"/>
  <c r="P195" i="3"/>
  <c r="P195" i="2" s="1"/>
  <c r="P196"/>
  <c r="P194"/>
  <c r="P186"/>
  <c r="P217"/>
  <c r="P215"/>
  <c r="P209"/>
  <c r="P201"/>
  <c r="P187"/>
  <c r="P177"/>
  <c r="P167"/>
  <c r="P157"/>
  <c r="P149"/>
  <c r="P139"/>
  <c r="P129"/>
  <c r="P174"/>
  <c r="P164"/>
  <c r="P154"/>
  <c r="P144"/>
  <c r="P135" i="3"/>
  <c r="P135" i="2" s="1"/>
  <c r="P136"/>
  <c r="P134"/>
  <c r="P126"/>
  <c r="P199"/>
  <c r="P179"/>
  <c r="P169"/>
  <c r="P161"/>
  <c r="P151"/>
  <c r="P141"/>
  <c r="P131"/>
  <c r="P229"/>
  <c r="P221"/>
  <c r="P178"/>
  <c r="P168"/>
  <c r="P159" i="3"/>
  <c r="P159" i="2" s="1"/>
  <c r="P160"/>
  <c r="P158"/>
  <c r="P150"/>
  <c r="P140"/>
  <c r="P130"/>
  <c r="P205"/>
  <c r="P170"/>
  <c r="P162"/>
  <c r="P125"/>
  <c r="P121"/>
  <c r="P113"/>
  <c r="P103"/>
  <c r="P93"/>
  <c r="P227"/>
  <c r="P226"/>
  <c r="P146"/>
  <c r="P138"/>
  <c r="P118"/>
  <c r="P108"/>
  <c r="P99" i="3"/>
  <c r="P99" i="2" s="1"/>
  <c r="P100"/>
  <c r="P98"/>
  <c r="P143"/>
  <c r="P123" i="3"/>
  <c r="P123" i="2" s="1"/>
  <c r="P124"/>
  <c r="P122"/>
  <c r="P114"/>
  <c r="P104"/>
  <c r="P94"/>
  <c r="P191"/>
  <c r="P180"/>
  <c r="P176"/>
  <c r="P81"/>
  <c r="P71"/>
  <c r="P61"/>
  <c r="P188"/>
  <c r="P181"/>
  <c r="P171" i="3"/>
  <c r="P171" i="2" s="1"/>
  <c r="P172"/>
  <c r="P156"/>
  <c r="P133"/>
  <c r="P111" i="3"/>
  <c r="P111" i="2" s="1"/>
  <c r="P112"/>
  <c r="P102"/>
  <c r="P86"/>
  <c r="P78"/>
  <c r="P68"/>
  <c r="P165"/>
  <c r="P152"/>
  <c r="P147" i="3"/>
  <c r="P147" i="2" s="1"/>
  <c r="P148"/>
  <c r="P117"/>
  <c r="P107"/>
  <c r="P101"/>
  <c r="P92"/>
  <c r="P89"/>
  <c r="P197"/>
  <c r="P155"/>
  <c r="P106"/>
  <c r="P105"/>
  <c r="P91"/>
  <c r="P82"/>
  <c r="P145"/>
  <c r="P110"/>
  <c r="P109"/>
  <c r="P137"/>
  <c r="P83"/>
  <c r="P69"/>
  <c r="P62"/>
  <c r="P175"/>
  <c r="P96"/>
  <c r="P87" i="3"/>
  <c r="P87" i="2" s="1"/>
  <c r="P88"/>
  <c r="P79"/>
  <c r="P65"/>
  <c r="P51" i="3"/>
  <c r="P51" i="2" s="1"/>
  <c r="P52"/>
  <c r="P50"/>
  <c r="P42"/>
  <c r="P32"/>
  <c r="P22"/>
  <c r="P12"/>
  <c r="P128"/>
  <c r="P95"/>
  <c r="P84"/>
  <c r="P72"/>
  <c r="P67"/>
  <c r="P66"/>
  <c r="P153"/>
  <c r="P142"/>
  <c r="P132"/>
  <c r="P116"/>
  <c r="P115"/>
  <c r="P59"/>
  <c r="P49"/>
  <c r="P41"/>
  <c r="P31"/>
  <c r="P21"/>
  <c r="P163"/>
  <c r="P90"/>
  <c r="P80"/>
  <c r="P53"/>
  <c r="P43"/>
  <c r="P33"/>
  <c r="P23"/>
  <c r="P73"/>
  <c r="P39" i="3"/>
  <c r="P39" i="2" s="1"/>
  <c r="P40"/>
  <c r="P30"/>
  <c r="P9"/>
  <c r="P55"/>
  <c r="P45"/>
  <c r="P35"/>
  <c r="P29"/>
  <c r="P26"/>
  <c r="P6"/>
  <c r="P97"/>
  <c r="P74"/>
  <c r="P54"/>
  <c r="P44"/>
  <c r="P34"/>
  <c r="P27" i="3"/>
  <c r="P27" i="2" s="1"/>
  <c r="P28"/>
  <c r="P25"/>
  <c r="P14"/>
  <c r="P11"/>
  <c r="P8"/>
  <c r="P70"/>
  <c r="P18"/>
  <c r="P13"/>
  <c r="P198"/>
  <c r="P189"/>
  <c r="P19"/>
  <c r="P5"/>
  <c r="P166"/>
  <c r="P120"/>
  <c r="P85"/>
  <c r="P77"/>
  <c r="P60"/>
  <c r="P38"/>
  <c r="P37"/>
  <c r="P15" i="3"/>
  <c r="P15" i="2" s="1"/>
  <c r="P16"/>
  <c r="P3" i="3"/>
  <c r="P3" i="2" s="1"/>
  <c r="P4"/>
  <c r="P48"/>
  <c r="P47"/>
  <c r="P46"/>
  <c r="P63" i="3"/>
  <c r="P63" i="2" s="1"/>
  <c r="P64"/>
  <c r="P57"/>
  <c r="P36"/>
  <c r="P56"/>
  <c r="P7"/>
  <c r="P24"/>
  <c r="P119"/>
  <c r="P75" i="3"/>
  <c r="P75" i="2" s="1"/>
  <c r="P76"/>
  <c r="P20"/>
  <c r="P10"/>
  <c r="P17"/>
  <c r="P173"/>
  <c r="P127"/>
  <c r="P58"/>
  <c r="AK237"/>
  <c r="AK227"/>
  <c r="AK217"/>
  <c r="AK209"/>
  <c r="AK242"/>
  <c r="AK234"/>
  <c r="AK239"/>
  <c r="AK229"/>
  <c r="AK221"/>
  <c r="AK211"/>
  <c r="AK236"/>
  <c r="AK241"/>
  <c r="AK233"/>
  <c r="AK223"/>
  <c r="AK213"/>
  <c r="AK238"/>
  <c r="AK235"/>
  <c r="AK240"/>
  <c r="AK231" i="3"/>
  <c r="AK231" i="2" s="1"/>
  <c r="AK232"/>
  <c r="AK230"/>
  <c r="AK222"/>
  <c r="AK212"/>
  <c r="AK214"/>
  <c r="AK206"/>
  <c r="AK202"/>
  <c r="AK192"/>
  <c r="AK183" i="3"/>
  <c r="AK183" i="2" s="1"/>
  <c r="AK184"/>
  <c r="AK182"/>
  <c r="AK226"/>
  <c r="AK199"/>
  <c r="AK189"/>
  <c r="AK225"/>
  <c r="AK218"/>
  <c r="AK210"/>
  <c r="AK201"/>
  <c r="AK191"/>
  <c r="AK181"/>
  <c r="AK216"/>
  <c r="AK207" i="3"/>
  <c r="AK207" i="2" s="1"/>
  <c r="AK208"/>
  <c r="AK203"/>
  <c r="AK193"/>
  <c r="AK185"/>
  <c r="AK204"/>
  <c r="AK195" i="3"/>
  <c r="AK195" i="2" s="1"/>
  <c r="AK196"/>
  <c r="AK176"/>
  <c r="AK166"/>
  <c r="AK156"/>
  <c r="AK147" i="3"/>
  <c r="AK147" i="2" s="1"/>
  <c r="AK148"/>
  <c r="AK146"/>
  <c r="AK138"/>
  <c r="AK128"/>
  <c r="AK188"/>
  <c r="AK173"/>
  <c r="AK163"/>
  <c r="AK153"/>
  <c r="AK143"/>
  <c r="AK133"/>
  <c r="AK125"/>
  <c r="AK224"/>
  <c r="AK178"/>
  <c r="AK168"/>
  <c r="AK159" i="3"/>
  <c r="AK159" i="2" s="1"/>
  <c r="AK160"/>
  <c r="AK158"/>
  <c r="AK150"/>
  <c r="AK140"/>
  <c r="AK130"/>
  <c r="AK198"/>
  <c r="AK177"/>
  <c r="AK167"/>
  <c r="AK157"/>
  <c r="AK149"/>
  <c r="AK139"/>
  <c r="AK129"/>
  <c r="AK190"/>
  <c r="AK186"/>
  <c r="AK164"/>
  <c r="AK142"/>
  <c r="AK120"/>
  <c r="AK111" i="3"/>
  <c r="AK111" i="2" s="1"/>
  <c r="AK112"/>
  <c r="AK110"/>
  <c r="AK102"/>
  <c r="AK92"/>
  <c r="AK175"/>
  <c r="AK155"/>
  <c r="AK126"/>
  <c r="AK117"/>
  <c r="AK107"/>
  <c r="AK97"/>
  <c r="AK219" i="3"/>
  <c r="AK219" i="2" s="1"/>
  <c r="AK220"/>
  <c r="AK197"/>
  <c r="AK180"/>
  <c r="AK171" i="3"/>
  <c r="AK171" i="2" s="1"/>
  <c r="AK172"/>
  <c r="AK152"/>
  <c r="AK132"/>
  <c r="AK121"/>
  <c r="AK113"/>
  <c r="AK103"/>
  <c r="AK93"/>
  <c r="AK205"/>
  <c r="AK169"/>
  <c r="AK165"/>
  <c r="AK141"/>
  <c r="AK116"/>
  <c r="AK106"/>
  <c r="AK80"/>
  <c r="AK70"/>
  <c r="AK60"/>
  <c r="AK131"/>
  <c r="AK99" i="3"/>
  <c r="AK99" i="2" s="1"/>
  <c r="AK100"/>
  <c r="AK96"/>
  <c r="AK89"/>
  <c r="AK85"/>
  <c r="AK77"/>
  <c r="AK67"/>
  <c r="AK194"/>
  <c r="AK187"/>
  <c r="AK170"/>
  <c r="AK161"/>
  <c r="AK137"/>
  <c r="AK123" i="3"/>
  <c r="AK123" i="2" s="1"/>
  <c r="AK124"/>
  <c r="AK115"/>
  <c r="AK105"/>
  <c r="AK122"/>
  <c r="AK104"/>
  <c r="AK98"/>
  <c r="AK86"/>
  <c r="AK78"/>
  <c r="AK162"/>
  <c r="AK108"/>
  <c r="AK87" i="3"/>
  <c r="AK87" i="2" s="1"/>
  <c r="AK88"/>
  <c r="AK84"/>
  <c r="AK127"/>
  <c r="AK79"/>
  <c r="AK73"/>
  <c r="AK65"/>
  <c r="AK119"/>
  <c r="AK101"/>
  <c r="AK82"/>
  <c r="AK71"/>
  <c r="AK59"/>
  <c r="AK49"/>
  <c r="AK41"/>
  <c r="AK31"/>
  <c r="AK21"/>
  <c r="AK11"/>
  <c r="AK118"/>
  <c r="AK114"/>
  <c r="AK179"/>
  <c r="AK135" i="3"/>
  <c r="AK135" i="2" s="1"/>
  <c r="AK136"/>
  <c r="AK90"/>
  <c r="AK58"/>
  <c r="AK48"/>
  <c r="AK39" i="3"/>
  <c r="AK39" i="2" s="1"/>
  <c r="AK40"/>
  <c r="AK38"/>
  <c r="AK30"/>
  <c r="AK20"/>
  <c r="AK151"/>
  <c r="AK134"/>
  <c r="AK83"/>
  <c r="AK75" i="3"/>
  <c r="AK75" i="2" s="1"/>
  <c r="AK76"/>
  <c r="AK61"/>
  <c r="AK51" i="3"/>
  <c r="AK51" i="2" s="1"/>
  <c r="AK52"/>
  <c r="AK50"/>
  <c r="AK42"/>
  <c r="AK32"/>
  <c r="AK22"/>
  <c r="AK74"/>
  <c r="AK69"/>
  <c r="AK54"/>
  <c r="AK44"/>
  <c r="AK34"/>
  <c r="AK27" i="3"/>
  <c r="AK27" i="2" s="1"/>
  <c r="AK28"/>
  <c r="AK25"/>
  <c r="AK13"/>
  <c r="AK8"/>
  <c r="AK215"/>
  <c r="AK18"/>
  <c r="AK5"/>
  <c r="AK228"/>
  <c r="AK154"/>
  <c r="AK12"/>
  <c r="AK7"/>
  <c r="AK29"/>
  <c r="AK15" i="3"/>
  <c r="AK15" i="2" s="1"/>
  <c r="AK16"/>
  <c r="AK17"/>
  <c r="AK9"/>
  <c r="AK109"/>
  <c r="AK37"/>
  <c r="AK36"/>
  <c r="AK35"/>
  <c r="AK33"/>
  <c r="AK57"/>
  <c r="AK145"/>
  <c r="AK95"/>
  <c r="AK66"/>
  <c r="AK62"/>
  <c r="AK56"/>
  <c r="AK24"/>
  <c r="AK19"/>
  <c r="AK91"/>
  <c r="AK81"/>
  <c r="AK63" i="3"/>
  <c r="AK63" i="2" s="1"/>
  <c r="AK64"/>
  <c r="AK47"/>
  <c r="AK46"/>
  <c r="AK45"/>
  <c r="AK43"/>
  <c r="AK3" i="3"/>
  <c r="AK3" i="2" s="1"/>
  <c r="AK4"/>
  <c r="AK68"/>
  <c r="AK55"/>
  <c r="AK10"/>
  <c r="AK200"/>
  <c r="AK14"/>
  <c r="AK53"/>
  <c r="AK26"/>
  <c r="AK174"/>
  <c r="AK144"/>
  <c r="AK94"/>
  <c r="AK6"/>
  <c r="AK23"/>
  <c r="AK72"/>
  <c r="V240"/>
  <c r="V231" i="3"/>
  <c r="V231" i="2" s="1"/>
  <c r="V232"/>
  <c r="V230"/>
  <c r="V222"/>
  <c r="V212"/>
  <c r="V237"/>
  <c r="V242"/>
  <c r="V234"/>
  <c r="V224"/>
  <c r="V214"/>
  <c r="V239"/>
  <c r="V236"/>
  <c r="V226"/>
  <c r="V216"/>
  <c r="V207" i="3"/>
  <c r="V207" i="2" s="1"/>
  <c r="V208"/>
  <c r="V206"/>
  <c r="V241"/>
  <c r="V233"/>
  <c r="V238"/>
  <c r="V235"/>
  <c r="V225"/>
  <c r="V215"/>
  <c r="V228"/>
  <c r="V219" i="3"/>
  <c r="V219" i="2" s="1"/>
  <c r="V220"/>
  <c r="V205"/>
  <c r="V197"/>
  <c r="V187"/>
  <c r="V227"/>
  <c r="V202"/>
  <c r="V192"/>
  <c r="V183" i="3"/>
  <c r="V183" i="2" s="1"/>
  <c r="V184"/>
  <c r="V182"/>
  <c r="V211"/>
  <c r="V204"/>
  <c r="V195" i="3"/>
  <c r="V195" i="2" s="1"/>
  <c r="V196"/>
  <c r="V194"/>
  <c r="V186"/>
  <c r="V217"/>
  <c r="V209"/>
  <c r="V198"/>
  <c r="V188"/>
  <c r="V190"/>
  <c r="V179"/>
  <c r="V169"/>
  <c r="V161"/>
  <c r="V151"/>
  <c r="V141"/>
  <c r="V131"/>
  <c r="V189"/>
  <c r="V176"/>
  <c r="V166"/>
  <c r="V156"/>
  <c r="V147" i="3"/>
  <c r="V147" i="2" s="1"/>
  <c r="V148"/>
  <c r="V146"/>
  <c r="V138"/>
  <c r="V128"/>
  <c r="V218"/>
  <c r="V213"/>
  <c r="V210"/>
  <c r="V203"/>
  <c r="V181"/>
  <c r="V173"/>
  <c r="V163"/>
  <c r="V153"/>
  <c r="V143"/>
  <c r="V133"/>
  <c r="V199"/>
  <c r="V180"/>
  <c r="V171" i="3"/>
  <c r="V171" i="2" s="1"/>
  <c r="V172"/>
  <c r="V170"/>
  <c r="V162"/>
  <c r="V152"/>
  <c r="V142"/>
  <c r="V132"/>
  <c r="V201"/>
  <c r="V200"/>
  <c r="V178"/>
  <c r="V158"/>
  <c r="V150"/>
  <c r="V130"/>
  <c r="V126"/>
  <c r="V115"/>
  <c r="V105"/>
  <c r="V95"/>
  <c r="V177"/>
  <c r="V164"/>
  <c r="V157"/>
  <c r="V149"/>
  <c r="V129"/>
  <c r="V120"/>
  <c r="V111" i="3"/>
  <c r="V111" i="2" s="1"/>
  <c r="V112"/>
  <c r="V110"/>
  <c r="V102"/>
  <c r="V92"/>
  <c r="V221"/>
  <c r="V185"/>
  <c r="V168"/>
  <c r="V159" i="3"/>
  <c r="V159" i="2" s="1"/>
  <c r="V160"/>
  <c r="V145"/>
  <c r="V137"/>
  <c r="V116"/>
  <c r="V106"/>
  <c r="V96"/>
  <c r="V87" i="3"/>
  <c r="V87" i="2" s="1"/>
  <c r="V88"/>
  <c r="V140"/>
  <c r="V121"/>
  <c r="V99" i="3"/>
  <c r="V99" i="2" s="1"/>
  <c r="V100"/>
  <c r="V83"/>
  <c r="V73"/>
  <c r="V65"/>
  <c r="V223"/>
  <c r="V127"/>
  <c r="V123" i="3"/>
  <c r="V123" i="2" s="1"/>
  <c r="V124"/>
  <c r="V80"/>
  <c r="V70"/>
  <c r="V60"/>
  <c r="V229"/>
  <c r="V191"/>
  <c r="V174"/>
  <c r="V119"/>
  <c r="V114"/>
  <c r="V109"/>
  <c r="V104"/>
  <c r="V91"/>
  <c r="V193"/>
  <c r="V167"/>
  <c r="V139"/>
  <c r="V117"/>
  <c r="V94"/>
  <c r="V93"/>
  <c r="V84"/>
  <c r="V75" i="3"/>
  <c r="V75" i="2" s="1"/>
  <c r="V76"/>
  <c r="V175"/>
  <c r="V154"/>
  <c r="V103"/>
  <c r="V134"/>
  <c r="V108"/>
  <c r="V86"/>
  <c r="V78"/>
  <c r="V67"/>
  <c r="V85"/>
  <c r="V54"/>
  <c r="V44"/>
  <c r="V34"/>
  <c r="V24"/>
  <c r="V15" i="3"/>
  <c r="V15" i="2" s="1"/>
  <c r="V16"/>
  <c r="V14"/>
  <c r="V135" i="3"/>
  <c r="V135" i="2" s="1"/>
  <c r="V136"/>
  <c r="V98"/>
  <c r="V97"/>
  <c r="V82"/>
  <c r="V79"/>
  <c r="V63" i="3"/>
  <c r="V63" i="2" s="1"/>
  <c r="V64"/>
  <c r="V53"/>
  <c r="V43"/>
  <c r="V33"/>
  <c r="V23"/>
  <c r="V144"/>
  <c r="V122"/>
  <c r="V118"/>
  <c r="V89"/>
  <c r="V81"/>
  <c r="V69"/>
  <c r="V55"/>
  <c r="V45"/>
  <c r="V35"/>
  <c r="V25"/>
  <c r="V125"/>
  <c r="V72"/>
  <c r="V58"/>
  <c r="V48"/>
  <c r="V38"/>
  <c r="V11"/>
  <c r="V107"/>
  <c r="V101"/>
  <c r="V77"/>
  <c r="V57"/>
  <c r="V47"/>
  <c r="V37"/>
  <c r="V8"/>
  <c r="V165"/>
  <c r="V113"/>
  <c r="V56"/>
  <c r="V46"/>
  <c r="V41"/>
  <c r="V36"/>
  <c r="V31"/>
  <c r="V13"/>
  <c r="V68"/>
  <c r="V61"/>
  <c r="V51" i="3"/>
  <c r="V51" i="2" s="1"/>
  <c r="V52"/>
  <c r="V9"/>
  <c r="V155"/>
  <c r="V74"/>
  <c r="V49"/>
  <c r="V30"/>
  <c r="V27" i="3"/>
  <c r="V27" i="2" s="1"/>
  <c r="V28"/>
  <c r="V22"/>
  <c r="V39" i="3"/>
  <c r="V39" i="2" s="1"/>
  <c r="V40"/>
  <c r="V32"/>
  <c r="V7"/>
  <c r="V6"/>
  <c r="V29"/>
  <c r="V17"/>
  <c r="V10"/>
  <c r="V71"/>
  <c r="V59"/>
  <c r="V26"/>
  <c r="V19"/>
  <c r="V12"/>
  <c r="V90"/>
  <c r="V18"/>
  <c r="V21"/>
  <c r="V66"/>
  <c r="V50"/>
  <c r="V42"/>
  <c r="V20"/>
  <c r="V5"/>
  <c r="V3" i="3"/>
  <c r="V3" i="2" s="1"/>
  <c r="V4"/>
  <c r="V62"/>
  <c r="AC237"/>
  <c r="AC227"/>
  <c r="AC217"/>
  <c r="AC209"/>
  <c r="AC242"/>
  <c r="AC234"/>
  <c r="AC239"/>
  <c r="AC229"/>
  <c r="AC221"/>
  <c r="AC211"/>
  <c r="AC236"/>
  <c r="AC241"/>
  <c r="AC233"/>
  <c r="AC223"/>
  <c r="AC213"/>
  <c r="AC238"/>
  <c r="AC235"/>
  <c r="AC240"/>
  <c r="AC231" i="3"/>
  <c r="AC231" i="2" s="1"/>
  <c r="AC232"/>
  <c r="AC230"/>
  <c r="AC222"/>
  <c r="AC212"/>
  <c r="AC224"/>
  <c r="AC202"/>
  <c r="AC192"/>
  <c r="AC183" i="3"/>
  <c r="AC183" i="2" s="1"/>
  <c r="AC184"/>
  <c r="AC182"/>
  <c r="AC216"/>
  <c r="AC207" i="3"/>
  <c r="AC207" i="2" s="1"/>
  <c r="AC208"/>
  <c r="AC199"/>
  <c r="AC189"/>
  <c r="AC228"/>
  <c r="AC219" i="3"/>
  <c r="AC219" i="2" s="1"/>
  <c r="AC220"/>
  <c r="AC215"/>
  <c r="AC206"/>
  <c r="AC201"/>
  <c r="AC191"/>
  <c r="AC181"/>
  <c r="AC226"/>
  <c r="AC205"/>
  <c r="AC203"/>
  <c r="AC193"/>
  <c r="AC185"/>
  <c r="AC194"/>
  <c r="AC186"/>
  <c r="AC176"/>
  <c r="AC166"/>
  <c r="AC156"/>
  <c r="AC147" i="3"/>
  <c r="AC147" i="2" s="1"/>
  <c r="AC148"/>
  <c r="AC146"/>
  <c r="AC138"/>
  <c r="AC128"/>
  <c r="AC225"/>
  <c r="AC198"/>
  <c r="AC173"/>
  <c r="AC163"/>
  <c r="AC153"/>
  <c r="AC143"/>
  <c r="AC133"/>
  <c r="AC125"/>
  <c r="AC178"/>
  <c r="AC168"/>
  <c r="AC159" i="3"/>
  <c r="AC159" i="2" s="1"/>
  <c r="AC160"/>
  <c r="AC158"/>
  <c r="AC150"/>
  <c r="AC140"/>
  <c r="AC130"/>
  <c r="AC188"/>
  <c r="AC177"/>
  <c r="AC167"/>
  <c r="AC157"/>
  <c r="AC149"/>
  <c r="AC139"/>
  <c r="AC129"/>
  <c r="AC210"/>
  <c r="AC169"/>
  <c r="AC161"/>
  <c r="AC145"/>
  <c r="AC137"/>
  <c r="AC120"/>
  <c r="AC111" i="3"/>
  <c r="AC111" i="2" s="1"/>
  <c r="AC112"/>
  <c r="AC110"/>
  <c r="AC102"/>
  <c r="AC92"/>
  <c r="AC180"/>
  <c r="AC171" i="3"/>
  <c r="AC171" i="2" s="1"/>
  <c r="AC172"/>
  <c r="AC152"/>
  <c r="AC132"/>
  <c r="AC117"/>
  <c r="AC107"/>
  <c r="AC97"/>
  <c r="AC190"/>
  <c r="AC175"/>
  <c r="AC155"/>
  <c r="AC121"/>
  <c r="AC113"/>
  <c r="AC103"/>
  <c r="AC93"/>
  <c r="AC179"/>
  <c r="AC170"/>
  <c r="AC144"/>
  <c r="AC118"/>
  <c r="AC108"/>
  <c r="AC80"/>
  <c r="AC70"/>
  <c r="AC60"/>
  <c r="AC187"/>
  <c r="AC134"/>
  <c r="AC98"/>
  <c r="AC90"/>
  <c r="AC85"/>
  <c r="AC77"/>
  <c r="AC67"/>
  <c r="AC162"/>
  <c r="AC151"/>
  <c r="AC142"/>
  <c r="AC122"/>
  <c r="AC101"/>
  <c r="AC174"/>
  <c r="AC109"/>
  <c r="AC87" i="3"/>
  <c r="AC87" i="2" s="1"/>
  <c r="AC88"/>
  <c r="AC83"/>
  <c r="AC72"/>
  <c r="AC218"/>
  <c r="AC200"/>
  <c r="AC164"/>
  <c r="AC141"/>
  <c r="AC135" i="3"/>
  <c r="AC135" i="2" s="1"/>
  <c r="AC136"/>
  <c r="AC99" i="3"/>
  <c r="AC99" i="2" s="1"/>
  <c r="AC100"/>
  <c r="AC96"/>
  <c r="AC154"/>
  <c r="AC106"/>
  <c r="AC84"/>
  <c r="AC75" i="3"/>
  <c r="AC75" i="2" s="1"/>
  <c r="AC76"/>
  <c r="AC114"/>
  <c r="AC81"/>
  <c r="AC62"/>
  <c r="AC59"/>
  <c r="AC49"/>
  <c r="AC41"/>
  <c r="AC31"/>
  <c r="AC21"/>
  <c r="AC11"/>
  <c r="AC197"/>
  <c r="AC78"/>
  <c r="AC69"/>
  <c r="AC66"/>
  <c r="AC65"/>
  <c r="AC123" i="3"/>
  <c r="AC123" i="2" s="1"/>
  <c r="AC124"/>
  <c r="AC71"/>
  <c r="AC58"/>
  <c r="AC48"/>
  <c r="AC39" i="3"/>
  <c r="AC39" i="2" s="1"/>
  <c r="AC40"/>
  <c r="AC38"/>
  <c r="AC30"/>
  <c r="AC20"/>
  <c r="AC126"/>
  <c r="AC105"/>
  <c r="AC104"/>
  <c r="AC95"/>
  <c r="AC94"/>
  <c r="AC51" i="3"/>
  <c r="AC51" i="2" s="1"/>
  <c r="AC52"/>
  <c r="AC50"/>
  <c r="AC42"/>
  <c r="AC32"/>
  <c r="AC22"/>
  <c r="AC119"/>
  <c r="AC61"/>
  <c r="AC15" i="3"/>
  <c r="AC15" i="2" s="1"/>
  <c r="AC16"/>
  <c r="AC10"/>
  <c r="AC8"/>
  <c r="AC79"/>
  <c r="AC68"/>
  <c r="AC55"/>
  <c r="AC45"/>
  <c r="AC35"/>
  <c r="AC29"/>
  <c r="AC26"/>
  <c r="AC13"/>
  <c r="AC5"/>
  <c r="AC63" i="3"/>
  <c r="AC63" i="2" s="1"/>
  <c r="AC64"/>
  <c r="AC54"/>
  <c r="AC44"/>
  <c r="AC34"/>
  <c r="AC27" i="3"/>
  <c r="AC27" i="2" s="1"/>
  <c r="AC28"/>
  <c r="AC25"/>
  <c r="AC7"/>
  <c r="AC165"/>
  <c r="AC89"/>
  <c r="AC82"/>
  <c r="AC37"/>
  <c r="AC33"/>
  <c r="AC23"/>
  <c r="AC6"/>
  <c r="AC36"/>
  <c r="AC19"/>
  <c r="AC14"/>
  <c r="AC116"/>
  <c r="AC74"/>
  <c r="AC57"/>
  <c r="AC53"/>
  <c r="AC46"/>
  <c r="AC24"/>
  <c r="AC214"/>
  <c r="AC131"/>
  <c r="AC115"/>
  <c r="AC18"/>
  <c r="AC3" i="3"/>
  <c r="AC3" i="2" s="1"/>
  <c r="AC4"/>
  <c r="AC47"/>
  <c r="AC43"/>
  <c r="AC17"/>
  <c r="AC9"/>
  <c r="AC204"/>
  <c r="AC73"/>
  <c r="AC56"/>
  <c r="AC195" i="3"/>
  <c r="AC195" i="2" s="1"/>
  <c r="AC196"/>
  <c r="AC12"/>
  <c r="AC91"/>
  <c r="AC86"/>
  <c r="AC127"/>
  <c r="BA237"/>
  <c r="BA227"/>
  <c r="BA217"/>
  <c r="BA209"/>
  <c r="BA242"/>
  <c r="BA234"/>
  <c r="BA239"/>
  <c r="BA229"/>
  <c r="BA221"/>
  <c r="BA211"/>
  <c r="BA236"/>
  <c r="BA241"/>
  <c r="BA233"/>
  <c r="BA223"/>
  <c r="BA213"/>
  <c r="BA238"/>
  <c r="BA235"/>
  <c r="BA240"/>
  <c r="BA231" i="3"/>
  <c r="BA231" i="2" s="1"/>
  <c r="BA232"/>
  <c r="BA230"/>
  <c r="BA222"/>
  <c r="BA212"/>
  <c r="BA214"/>
  <c r="BA202"/>
  <c r="BA192"/>
  <c r="BA183" i="3"/>
  <c r="BA183" i="2" s="1"/>
  <c r="BA184"/>
  <c r="BA182"/>
  <c r="BA226"/>
  <c r="BA199"/>
  <c r="BA189"/>
  <c r="BA225"/>
  <c r="BA218"/>
  <c r="BA210"/>
  <c r="BA201"/>
  <c r="BA191"/>
  <c r="BA181"/>
  <c r="BA216"/>
  <c r="BA207" i="3"/>
  <c r="BA207" i="2" s="1"/>
  <c r="BA208"/>
  <c r="BA203"/>
  <c r="BA193"/>
  <c r="BA185"/>
  <c r="BA204"/>
  <c r="BA195" i="3"/>
  <c r="BA195" i="2" s="1"/>
  <c r="BA196"/>
  <c r="BA176"/>
  <c r="BA166"/>
  <c r="BA156"/>
  <c r="BA147" i="3"/>
  <c r="BA147" i="2" s="1"/>
  <c r="BA148"/>
  <c r="BA146"/>
  <c r="BA138"/>
  <c r="BA128"/>
  <c r="BA205"/>
  <c r="BA188"/>
  <c r="BA180"/>
  <c r="BA173"/>
  <c r="BA163"/>
  <c r="BA153"/>
  <c r="BA143"/>
  <c r="BA133"/>
  <c r="BA125"/>
  <c r="BA215"/>
  <c r="BA178"/>
  <c r="BA168"/>
  <c r="BA159" i="3"/>
  <c r="BA159" i="2" s="1"/>
  <c r="BA160"/>
  <c r="BA158"/>
  <c r="BA150"/>
  <c r="BA140"/>
  <c r="BA130"/>
  <c r="BA198"/>
  <c r="BA177"/>
  <c r="BA167"/>
  <c r="BA157"/>
  <c r="BA149"/>
  <c r="BA139"/>
  <c r="BA129"/>
  <c r="BA219" i="3"/>
  <c r="BA219" i="2" s="1"/>
  <c r="BA220"/>
  <c r="BA164"/>
  <c r="BA142"/>
  <c r="BA120"/>
  <c r="BA111" i="3"/>
  <c r="BA111" i="2" s="1"/>
  <c r="BA112"/>
  <c r="BA110"/>
  <c r="BA102"/>
  <c r="BA92"/>
  <c r="BA206"/>
  <c r="BA197"/>
  <c r="BA175"/>
  <c r="BA155"/>
  <c r="BA127"/>
  <c r="BA117"/>
  <c r="BA107"/>
  <c r="BA97"/>
  <c r="BA171" i="3"/>
  <c r="BA171" i="2" s="1"/>
  <c r="BA172"/>
  <c r="BA152"/>
  <c r="BA132"/>
  <c r="BA121"/>
  <c r="BA113"/>
  <c r="BA103"/>
  <c r="BA93"/>
  <c r="BA224"/>
  <c r="BA179"/>
  <c r="BA144"/>
  <c r="BA134"/>
  <c r="BA98"/>
  <c r="BA87" i="3"/>
  <c r="BA87" i="2" s="1"/>
  <c r="BA88"/>
  <c r="BA80"/>
  <c r="BA70"/>
  <c r="BA60"/>
  <c r="BA162"/>
  <c r="BA122"/>
  <c r="BA101"/>
  <c r="BA91"/>
  <c r="BA85"/>
  <c r="BA77"/>
  <c r="BA67"/>
  <c r="BA151"/>
  <c r="BA116"/>
  <c r="BA106"/>
  <c r="BA194"/>
  <c r="BA169"/>
  <c r="BA135" i="3"/>
  <c r="BA135" i="2" s="1"/>
  <c r="BA136"/>
  <c r="BA126"/>
  <c r="BA89"/>
  <c r="BA186"/>
  <c r="BA161"/>
  <c r="BA123" i="3"/>
  <c r="BA123" i="2" s="1"/>
  <c r="BA124"/>
  <c r="BA115"/>
  <c r="BA114"/>
  <c r="BA82"/>
  <c r="BA170"/>
  <c r="BA119"/>
  <c r="BA95"/>
  <c r="BA94"/>
  <c r="BA71"/>
  <c r="BA228"/>
  <c r="BA200"/>
  <c r="BA154"/>
  <c r="BA145"/>
  <c r="BA109"/>
  <c r="BA66"/>
  <c r="BA62"/>
  <c r="BA49"/>
  <c r="BA41"/>
  <c r="BA31"/>
  <c r="BA21"/>
  <c r="BA11"/>
  <c r="BA96"/>
  <c r="BA79"/>
  <c r="BA73"/>
  <c r="BA69"/>
  <c r="BA65"/>
  <c r="BA174"/>
  <c r="BA105"/>
  <c r="BA104"/>
  <c r="BA81"/>
  <c r="BA74"/>
  <c r="BA58"/>
  <c r="BA48"/>
  <c r="BA39" i="3"/>
  <c r="BA39" i="2" s="1"/>
  <c r="BA40"/>
  <c r="BA38"/>
  <c r="BA30"/>
  <c r="BA20"/>
  <c r="BA190"/>
  <c r="BA137"/>
  <c r="BA118"/>
  <c r="BA86"/>
  <c r="BA83"/>
  <c r="BA72"/>
  <c r="BA51" i="3"/>
  <c r="BA51" i="2" s="1"/>
  <c r="BA52"/>
  <c r="BA50"/>
  <c r="BA42"/>
  <c r="BA32"/>
  <c r="BA22"/>
  <c r="BA78"/>
  <c r="BA59"/>
  <c r="BA55"/>
  <c r="BA45"/>
  <c r="BA35"/>
  <c r="BA29"/>
  <c r="BA26"/>
  <c r="BA8"/>
  <c r="BA187"/>
  <c r="BA141"/>
  <c r="BA68"/>
  <c r="BA19"/>
  <c r="BA12"/>
  <c r="BA5"/>
  <c r="BA84"/>
  <c r="BA61"/>
  <c r="BA7"/>
  <c r="BA63" i="3"/>
  <c r="BA63" i="2" s="1"/>
  <c r="BA64"/>
  <c r="BA25"/>
  <c r="BA24"/>
  <c r="BA15" i="3"/>
  <c r="BA15" i="2" s="1"/>
  <c r="BA16"/>
  <c r="BA165"/>
  <c r="BA37"/>
  <c r="BA34"/>
  <c r="BA33"/>
  <c r="BA23"/>
  <c r="BA3" i="3"/>
  <c r="BA3" i="2" s="1"/>
  <c r="BA4"/>
  <c r="BA47"/>
  <c r="BA44"/>
  <c r="BA43"/>
  <c r="BA9"/>
  <c r="BA46"/>
  <c r="BA27" i="3"/>
  <c r="BA27" i="2" s="1"/>
  <c r="BA28"/>
  <c r="BA18"/>
  <c r="BA75" i="3"/>
  <c r="BA75" i="2" s="1"/>
  <c r="BA76"/>
  <c r="BA57"/>
  <c r="BA17"/>
  <c r="BA14"/>
  <c r="BA56"/>
  <c r="BA54"/>
  <c r="BA53"/>
  <c r="BA13"/>
  <c r="BA6"/>
  <c r="BA108"/>
  <c r="BA90"/>
  <c r="BA36"/>
  <c r="BA131"/>
  <c r="BA99" i="3"/>
  <c r="BA99" i="2" s="1"/>
  <c r="BA100"/>
  <c r="BA10"/>
  <c r="BE2"/>
  <c r="BF2"/>
  <c r="Q2"/>
  <c r="BJ2"/>
  <c r="U2"/>
  <c r="BK2"/>
  <c r="BM2"/>
  <c r="AH2"/>
  <c r="AS2"/>
  <c r="X2"/>
  <c r="AT2"/>
  <c r="AE2"/>
  <c r="AZ2"/>
  <c r="Y2"/>
  <c r="AO2"/>
  <c r="AQ2"/>
  <c r="BC2"/>
  <c r="G2"/>
  <c r="M2"/>
  <c r="AN2"/>
  <c r="AI2"/>
  <c r="W2"/>
  <c r="AF2"/>
  <c r="BG2"/>
  <c r="BD2"/>
  <c r="L2"/>
  <c r="J2"/>
  <c r="O2"/>
  <c r="AW2"/>
  <c r="AL2"/>
  <c r="S2"/>
  <c r="R2"/>
  <c r="AV2"/>
  <c r="N2"/>
  <c r="AY2"/>
  <c r="Z2"/>
  <c r="AP2"/>
  <c r="I2"/>
  <c r="AR2"/>
  <c r="AA2"/>
  <c r="AX2"/>
  <c r="AU2"/>
  <c r="AB2"/>
  <c r="H2"/>
  <c r="BI2"/>
  <c r="AD2"/>
  <c r="K2"/>
  <c r="AG2"/>
  <c r="AJ2"/>
  <c r="T2"/>
  <c r="BH2"/>
  <c r="F2"/>
  <c r="AM2"/>
  <c r="BB2"/>
  <c r="BL2"/>
  <c r="P2"/>
  <c r="AK2"/>
  <c r="V2"/>
  <c r="AC2"/>
  <c r="BA2"/>
</calcChain>
</file>

<file path=xl/sharedStrings.xml><?xml version="1.0" encoding="utf-8"?>
<sst xmlns="http://schemas.openxmlformats.org/spreadsheetml/2006/main" count="32" uniqueCount="32">
  <si>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</si>
  <si>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</si>
  <si>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</si>
  <si>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</si>
  <si>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</si>
  <si>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</si>
  <si>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</si>
  <si>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</si>
  <si>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</si>
  <si>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</si>
  <si>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</si>
  <si>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</si>
  <si>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</si>
  <si>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</si>
  <si>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</si>
  <si>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</si>
  <si>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</si>
  <si>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</si>
  <si>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</si>
  <si>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</si>
  <si>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</si>
  <si>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</si>
  <si>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</si>
  <si>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</si>
  <si>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</si>
  <si>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</si>
  <si>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</si>
  <si>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</si>
  <si>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</si>
  <si>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</si>
  <si>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</si>
  <si>
    <t>health reits compannies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</si>
</sst>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##V3_BDHV12</stp>
        <stp>OHI US Equity</stp>
        <stp>BE592</stp>
        <stp>-60CQ</stp>
        <stp>2018/3/31</stp>
        <stp>[health reits companies.xlsx]ReferenceData!R387C6</stp>
        <stp>Per=CQ</stp>
        <stp>Dts=H</stp>
        <stp>Dir=H</stp>
        <stp>Points=60</stp>
        <stp>Sort=R</stp>
        <stp>Days=A</stp>
        <stp>Fill=B</stp>
        <stp>BE997=1GY</stp>
        <stp>FX=USD</stp>
        <tr r="F387" s="3"/>
      </tp>
      <tp t="s">
        <v>#N/A Authorization</v>
        <stp/>
        <stp>##V3_BDHV12</stp>
        <stp>SNH US Equity</stp>
        <stp>BE592</stp>
        <stp>-60CQ</stp>
        <stp>2018/3/31</stp>
        <stp>[health reits companies.xlsx]ReferenceData!R389C6</stp>
        <stp>Per=CQ</stp>
        <stp>Dts=H</stp>
        <stp>Dir=H</stp>
        <stp>Points=60</stp>
        <stp>Sort=R</stp>
        <stp>Days=A</stp>
        <stp>Fill=B</stp>
        <stp>BE997=1GY</stp>
        <stp>FX=USD</stp>
        <tr r="F389" s="3"/>
      </tp>
      <tp t="s">
        <v>#N/A Authorization</v>
        <stp/>
        <stp>##V3_BDHV12</stp>
        <stp>HCN US Equity</stp>
        <stp>BE592</stp>
        <stp>-60CQ</stp>
        <stp>2018/3/31</stp>
        <stp>[health reits companies.xlsx]ReferenceData!R391C6</stp>
        <stp>Per=CQ</stp>
        <stp>Dts=H</stp>
        <stp>Dir=H</stp>
        <stp>Points=60</stp>
        <stp>Sort=R</stp>
        <stp>Days=A</stp>
        <stp>Fill=B</stp>
        <stp>BE997=1GY</stp>
        <stp>FX=USD</stp>
        <tr r="F391" s="3"/>
      </tp>
      <tp t="s">
        <v>#N/A Authorization</v>
        <stp/>
        <stp>##V3_BDHV12</stp>
        <stp>CCP US Equity</stp>
        <stp>BE592</stp>
        <stp>-60CQ</stp>
        <stp>2018/3/31</stp>
        <stp>[health reits companies.xlsx]ReferenceData!R382C6</stp>
        <stp>Per=CQ</stp>
        <stp>Dts=H</stp>
        <stp>Dir=H</stp>
        <stp>Points=60</stp>
        <stp>Sort=R</stp>
        <stp>Days=A</stp>
        <stp>Fill=B</stp>
        <stp>BE997=1GY</stp>
        <stp>FX=USD</stp>
        <tr r="F382" s="3"/>
      </tp>
      <tp t="s">
        <v>#N/A Authorization</v>
        <stp/>
        <stp>##V3_BDHV12</stp>
        <stp>HCP US Equity</stp>
        <stp>BE592</stp>
        <stp>-60CQ</stp>
        <stp>2018/3/31</stp>
        <stp>[health reits companies.xlsx]ReferenceData!R383C6</stp>
        <stp>Per=CQ</stp>
        <stp>Dts=H</stp>
        <stp>Dir=H</stp>
        <stp>Points=60</stp>
        <stp>Sort=R</stp>
        <stp>Days=A</stp>
        <stp>Fill=B</stp>
        <stp>BE997=1GY</stp>
        <stp>FX=USD</stp>
        <tr r="F383" s="3"/>
      </tp>
      <tp t="s">
        <v>#N/A Authorization</v>
        <stp/>
        <stp>##V3_BDHV12</stp>
        <stp>CCP US Equity</stp>
        <stp>IS030</stp>
        <stp>-60CQ</stp>
        <stp>2018/3/31</stp>
        <stp>[BI_HLCRN_1.xlsx]ReferenceData!R494C3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94" s="3"/>
      </tp>
      <tp t="s">
        <v>#N/A Authorization</v>
        <stp/>
        <stp>##V3_BDHV12</stp>
        <stp>ARE US Equity</stp>
        <stp>IS030</stp>
        <stp>-60CQ</stp>
        <stp>2018/3/31</stp>
        <stp>[BI_HLCRN_1.xlsx]ReferenceData!R492C3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92" s="3"/>
      </tp>
      <tp t="s">
        <v>#N/A Authorization</v>
        <stp/>
        <stp>##V3_BDHV12</stp>
        <stp>HCP US Equity</stp>
        <stp>IS030</stp>
        <stp>-60CQ</stp>
        <stp>2018/3/31</stp>
        <stp>[BI_HLCRN_1.xlsx]ReferenceData!R496C3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96" s="3"/>
      </tp>
      <tp t="s">
        <v>#N/A Authorization</v>
        <stp/>
        <stp>##V3_BDHV12</stp>
        <stp>HR US Equity</stp>
        <stp>BE592</stp>
        <stp>-60CQ</stp>
        <stp>2018/3/31</stp>
        <stp>[health reits companies.xlsx]ReferenceData!R384C6</stp>
        <stp>Per=CQ</stp>
        <stp>Dts=H</stp>
        <stp>Dir=H</stp>
        <stp>Points=60</stp>
        <stp>Sort=R</stp>
        <stp>Days=A</stp>
        <stp>Fill=B</stp>
        <stp>BE997=1GY</stp>
        <stp>FX=USD</stp>
        <tr r="F384" s="3"/>
      </tp>
      <tp t="s">
        <v>#N/A Authorization</v>
        <stp/>
        <stp>##V3_BDHV12</stp>
        <stp>MPW US Equity</stp>
        <stp>BE592</stp>
        <stp>-60CQ</stp>
        <stp>2018/3/31</stp>
        <stp>[health reits companies.xlsx]ReferenceData!R386C6</stp>
        <stp>Per=CQ</stp>
        <stp>Dts=H</stp>
        <stp>Dir=H</stp>
        <stp>Points=60</stp>
        <stp>Sort=R</stp>
        <stp>Days=A</stp>
        <stp>Fill=B</stp>
        <stp>BE997=1GY</stp>
        <stp>FX=USD</stp>
        <tr r="F386" s="3"/>
      </tp>
      <tp t="s">
        <v>#N/A Authorization</v>
        <stp/>
        <stp>##V3_BDHV12</stp>
        <stp>ARE US Equity</stp>
        <stp>BE592</stp>
        <stp>-60CQ</stp>
        <stp>2018/3/31</stp>
        <stp>[health reits companies.xlsx]ReferenceData!R381C6</stp>
        <stp>Per=CQ</stp>
        <stp>Dts=H</stp>
        <stp>Dir=H</stp>
        <stp>Points=60</stp>
        <stp>Sort=R</stp>
        <stp>Days=A</stp>
        <stp>Fill=B</stp>
        <stp>BE997=1GY</stp>
        <stp>FX=USD</stp>
        <tr r="F381" s="3"/>
      </tp>
      <tp t="s">
        <v>#N/A Authorization</v>
        <stp/>
        <stp>##V3_BDHV12</stp>
        <stp>HTA US Equity</stp>
        <stp>BE592</stp>
        <stp>-60CQ</stp>
        <stp>2018/3/31</stp>
        <stp>[health reits companies.xlsx]ReferenceData!R385C6</stp>
        <stp>Per=CQ</stp>
        <stp>Dts=H</stp>
        <stp>Dir=H</stp>
        <stp>Points=60</stp>
        <stp>Sort=R</stp>
        <stp>Days=A</stp>
        <stp>Fill=B</stp>
        <stp>BE997=1GY</stp>
        <stp>FX=USD</stp>
        <tr r="F385" s="3"/>
      </tp>
      <tp t="s">
        <v>#N/A Authorization</v>
        <stp/>
        <stp>##V3_BDHV12</stp>
        <stp>VTR US Equity</stp>
        <stp>BE592</stp>
        <stp>-60CQ</stp>
        <stp>2018/3/31</stp>
        <stp>[health reits companies.xlsx]ReferenceData!R390C6</stp>
        <stp>Per=CQ</stp>
        <stp>Dts=H</stp>
        <stp>Dir=H</stp>
        <stp>Points=60</stp>
        <stp>Sort=R</stp>
        <stp>Days=A</stp>
        <stp>Fill=B</stp>
        <stp>BE997=1GY</stp>
        <stp>FX=USD</stp>
        <tr r="F390" s="3"/>
      </tp>
    </main>
    <main first="bloomberg.rtd">
      <tp t="s">
        <v>#N/A Authorization</v>
        <stp/>
        <stp>##V3_BDHV12</stp>
        <stp>HR US Equity</stp>
        <stp>F0578</stp>
        <stp>-60CQ</stp>
        <stp>2018/3/31</stp>
        <stp>[health reits companies.xlsx]ReferenceData!R351C6</stp>
        <stp>Per=CQ</stp>
        <stp>Dts=H</stp>
        <stp>Dir=H</stp>
        <stp>Points=60</stp>
        <stp>Sort=R</stp>
        <stp>Days=A</stp>
        <stp>Fill=B</stp>
        <stp>FX=USD</stp>
        <tr r="F351" s="3"/>
      </tp>
      <tp t="s">
        <v>#N/A Authorization</v>
        <stp/>
        <stp>##V3_BDHV12</stp>
        <stp>HCP US Equity</stp>
        <stp>IS030</stp>
        <stp>-60CQ</stp>
        <stp>2018/3/31</stp>
        <stp>[health reits companies.xlsx]ReferenceData!R504C3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04" s="3"/>
      </tp>
      <tp t="s">
        <v>#N/A Authorization</v>
        <stp/>
        <stp>##V3_BDHV12</stp>
        <stp>ARE US Equity</stp>
        <stp>IS030</stp>
        <stp>-60CQ</stp>
        <stp>2018/3/31</stp>
        <stp>[health reits companies.xlsx]ReferenceData!R500C3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00" s="3"/>
      </tp>
      <tp t="s">
        <v>#N/A Authorization</v>
        <stp/>
        <stp>##V3_BDHV12</stp>
        <stp>CCP US Equity</stp>
        <stp>IS030</stp>
        <stp>-60CQ</stp>
        <stp>2018/3/31</stp>
        <stp>[health reits companies.xlsx]ReferenceData!R502C3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02" s="3"/>
      </tp>
      <tp t="s">
        <v>#N/A Authorization</v>
        <stp/>
        <stp>##V3_BDHV12</stp>
        <stp>MPW US Equity</stp>
        <stp>F0578</stp>
        <stp>-60CQ</stp>
        <stp>2018/3/31</stp>
        <stp>[health reits companies.xlsx]ReferenceData!R353C6</stp>
        <stp>Per=CQ</stp>
        <stp>Dts=H</stp>
        <stp>Dir=H</stp>
        <stp>Points=60</stp>
        <stp>Sort=R</stp>
        <stp>Days=A</stp>
        <stp>Fill=B</stp>
        <stp>FX=USD</stp>
        <tr r="F353" s="3"/>
      </tp>
      <tp t="s">
        <v>#N/A Authorization</v>
        <stp/>
        <stp>##V3_BDHV12</stp>
        <stp>OHI US Equity</stp>
        <stp>F0578</stp>
        <stp>-60CQ</stp>
        <stp>2018/3/31</stp>
        <stp>[health reits companies.xlsx]ReferenceData!R354C6</stp>
        <stp>Per=CQ</stp>
        <stp>Dts=H</stp>
        <stp>Dir=H</stp>
        <stp>Points=60</stp>
        <stp>Sort=R</stp>
        <stp>Days=A</stp>
        <stp>Fill=B</stp>
        <stp>FX=USD</stp>
        <tr r="F354" s="3"/>
      </tp>
      <tp t="s">
        <v>#N/A Authorization</v>
        <stp/>
        <stp>##V3_BDHV12</stp>
        <stp>HTA US Equity</stp>
        <stp>F0578</stp>
        <stp>-60CQ</stp>
        <stp>2018/3/31</stp>
        <stp>[health reits companies.xlsx]ReferenceData!R352C6</stp>
        <stp>Per=CQ</stp>
        <stp>Dts=H</stp>
        <stp>Dir=H</stp>
        <stp>Points=60</stp>
        <stp>Sort=R</stp>
        <stp>Days=A</stp>
        <stp>Fill=B</stp>
        <stp>FX=USD</stp>
        <tr r="F352" s="3"/>
      </tp>
      <tp t="s">
        <v>#N/A Authorization</v>
        <stp/>
        <stp>##V3_BDHV12</stp>
        <stp>HCN US Equity</stp>
        <stp>F0578</stp>
        <stp>-60CQ</stp>
        <stp>2018/3/31</stp>
        <stp>[health reits companies.xlsx]ReferenceData!R358C6</stp>
        <stp>Per=CQ</stp>
        <stp>Dts=H</stp>
        <stp>Dir=H</stp>
        <stp>Points=60</stp>
        <stp>Sort=R</stp>
        <stp>Days=A</stp>
        <stp>Fill=B</stp>
        <stp>FX=USD</stp>
        <tr r="F358" s="3"/>
      </tp>
      <tp t="s">
        <v>#N/A Authorization</v>
        <stp/>
        <stp>##V3_BDHV12</stp>
        <stp>HCP US Equity</stp>
        <stp>F0578</stp>
        <stp>-60CQ</stp>
        <stp>2018/3/31</stp>
        <stp>[health reits companies.xlsx]ReferenceData!R350C6</stp>
        <stp>Per=CQ</stp>
        <stp>Dts=H</stp>
        <stp>Dir=H</stp>
        <stp>Points=60</stp>
        <stp>Sort=R</stp>
        <stp>Days=A</stp>
        <stp>Fill=B</stp>
        <stp>FX=USD</stp>
        <tr r="F350" s="3"/>
      </tp>
      <tp t="s">
        <v>#N/A Authorization</v>
        <stp/>
        <stp>##V3_BDHV12</stp>
        <stp>ARE US Equity</stp>
        <stp>F0578</stp>
        <stp>-60CQ</stp>
        <stp>2018/3/31</stp>
        <stp>[health reits companies.xlsx]ReferenceData!R348C6</stp>
        <stp>Per=CQ</stp>
        <stp>Dts=H</stp>
        <stp>Dir=H</stp>
        <stp>Points=60</stp>
        <stp>Sort=R</stp>
        <stp>Days=A</stp>
        <stp>Fill=B</stp>
        <stp>FX=USD</stp>
        <tr r="F348" s="3"/>
      </tp>
      <tp t="s">
        <v>#N/A Authorization</v>
        <stp/>
        <stp>##V3_BDHV12</stp>
        <stp>CCP US Equity</stp>
        <stp>F0578</stp>
        <stp>-60CQ</stp>
        <stp>2018/3/31</stp>
        <stp>[health reits companies.xlsx]ReferenceData!R349C6</stp>
        <stp>Per=CQ</stp>
        <stp>Dts=H</stp>
        <stp>Dir=H</stp>
        <stp>Points=60</stp>
        <stp>Sort=R</stp>
        <stp>Days=A</stp>
        <stp>Fill=B</stp>
        <stp>FX=USD</stp>
        <tr r="F349" s="3"/>
      </tp>
      <tp t="s">
        <v>#N/A Authorization</v>
        <stp/>
        <stp>##V3_BDHV12</stp>
        <stp>VTR US Equity</stp>
        <stp>F0578</stp>
        <stp>-60CQ</stp>
        <stp>2018/3/31</stp>
        <stp>[health reits companies.xlsx]ReferenceData!R357C6</stp>
        <stp>Per=CQ</stp>
        <stp>Dts=H</stp>
        <stp>Dir=H</stp>
        <stp>Points=60</stp>
        <stp>Sort=R</stp>
        <stp>Days=A</stp>
        <stp>Fill=B</stp>
        <stp>FX=USD</stp>
        <tr r="F357" s="3"/>
      </tp>
      <tp t="s">
        <v>#N/A Authorization</v>
        <stp/>
        <stp>##V3_BDHV12</stp>
        <stp>SNH US Equity</stp>
        <stp>F0578</stp>
        <stp>-60CQ</stp>
        <stp>2018/3/31</stp>
        <stp>[health reits companies.xlsx]ReferenceData!R356C6</stp>
        <stp>Per=CQ</stp>
        <stp>Dts=H</stp>
        <stp>Dir=H</stp>
        <stp>Points=60</stp>
        <stp>Sort=R</stp>
        <stp>Days=A</stp>
        <stp>Fill=B</stp>
        <stp>FX=USD</stp>
        <tr r="F356" s="3"/>
      </tp>
    </main>
    <main first="bloomberg.ccyreader">
      <tp>
        <v>0</v>
        <stp/>
        <stp>#track</stp>
        <stp>DBG</stp>
        <stp>BIHITX</stp>
        <stp>1.0</stp>
        <stp>RepeatHit</stp>
        <tr r="A252" s="3"/>
      </tp>
    </main>
    <main first="bloomberg.rtd">
      <tp t="s">
        <v>#N/A Authorization</v>
        <stp/>
        <stp>##V3_BDHV12</stp>
        <stp>SBRA US Equity</stp>
        <stp>F0578</stp>
        <stp>-60CQ</stp>
        <stp>2018/3/31</stp>
        <stp>[health reits companies.xlsx]ReferenceData!R355C6</stp>
        <stp>Per=CQ</stp>
        <stp>Dts=H</stp>
        <stp>Dir=H</stp>
        <stp>Points=60</stp>
        <stp>Sort=R</stp>
        <stp>Days=A</stp>
        <stp>Fill=B</stp>
        <stp>FX=USD</stp>
        <tr r="F355" s="3"/>
      </tp>
      <tp t="s">
        <v>#N/A Authorization</v>
        <stp/>
        <stp>##V3_BDHV12</stp>
        <stp>SBRA US Equity</stp>
        <stp>IM275</stp>
        <stp>-60CQ</stp>
        <stp>2018/3/31</stp>
        <stp>[health reits companies.xlsx]ReferenceData!R278C6</stp>
        <stp>Per=CQ</stp>
        <stp>Dts=H</stp>
        <stp>Dir=H</stp>
        <stp>Points=60</stp>
        <stp>Sort=R</stp>
        <stp>Days=A</stp>
        <stp>Fill=B</stp>
        <stp>FX=USD</stp>
        <tr r="F278" s="3"/>
      </tp>
      <tp t="s">
        <v>#N/A Authorization</v>
        <stp/>
        <stp>##V3_BDHV12</stp>
        <stp>SBRA US Equity</stp>
        <stp>IM281</stp>
        <stp>-60CQ</stp>
        <stp>2018/3/31</stp>
        <stp>[health reits companies.xlsx]ReferenceData!R289C6</stp>
        <stp>Per=CQ</stp>
        <stp>Dts=H</stp>
        <stp>Dir=H</stp>
        <stp>Points=60</stp>
        <stp>Sort=R</stp>
        <stp>Days=A</stp>
        <stp>Fill=B</stp>
        <stp>FX=USD</stp>
        <tr r="F289" s="3"/>
      </tp>
      <tp t="s">
        <v>#N/A Authorization</v>
        <stp/>
        <stp>##V3_BDHV12</stp>
        <stp>HR US Equity</stp>
        <stp>IS030</stp>
        <stp>-60CQ</stp>
        <stp>2018/3/31</stp>
        <stp>[health reits companies.xlsx]ReferenceData!R263C6</stp>
        <stp>Per=CQ</stp>
        <stp>Dts=H</stp>
        <stp>Dir=H</stp>
        <stp>Points=60</stp>
        <stp>Sort=R</stp>
        <stp>Days=A</stp>
        <stp>Fill=B</stp>
        <stp>FX=USD</stp>
        <tr r="F263" s="3"/>
      </tp>
      <tp t="s">
        <v>#N/A Authorization</v>
        <stp/>
        <stp>##V3_BDHV12</stp>
        <stp>HR US Equity</stp>
        <stp>IS010</stp>
        <stp>-60CQ</stp>
        <stp>2018/3/31</stp>
        <stp>[health reits companies.xlsx]ReferenceData!R296C6</stp>
        <stp>Per=CQ</stp>
        <stp>Dts=H</stp>
        <stp>Dir=H</stp>
        <stp>Points=60</stp>
        <stp>Sort=R</stp>
        <stp>Days=A</stp>
        <stp>Fill=B</stp>
        <stp>FX=USD</stp>
        <tr r="F296" s="3"/>
      </tp>
      <tp t="s">
        <v>#N/A Authorization</v>
        <stp/>
        <stp>##V3_BDHV12</stp>
        <stp>HR US Equity</stp>
        <stp>IS972</stp>
        <stp>-60CQ</stp>
        <stp>2018/3/31</stp>
        <stp>[health reits companies.xlsx]ReferenceData!R329C6</stp>
        <stp>Per=CQ</stp>
        <stp>Dts=H</stp>
        <stp>Dir=H</stp>
        <stp>Points=60</stp>
        <stp>Sort=R</stp>
        <stp>Days=A</stp>
        <stp>Fill=B</stp>
        <stp>FX=USD</stp>
        <tr r="F329" s="3"/>
      </tp>
      <tp t="s">
        <v>#N/A Authorization</v>
        <stp/>
        <stp>##V3_BDHV12</stp>
        <stp>HR US Equity</stp>
        <stp>RR553</stp>
        <stp>-60CQ</stp>
        <stp>2018/3/31</stp>
        <stp>[health reits companies.xlsx]ReferenceData!R417C6</stp>
        <stp>Per=CQ</stp>
        <stp>Dts=H</stp>
        <stp>Dir=H</stp>
        <stp>Points=60</stp>
        <stp>Sort=R</stp>
        <stp>Days=A</stp>
        <stp>Fill=B</stp>
        <stp>FX=USD</stp>
        <tr r="F417" s="3"/>
      </tp>
      <tp t="s">
        <v>#N/A Authorization</v>
        <stp/>
        <stp>##V3_BDHV12</stp>
        <stp>HR US Equity</stp>
        <stp>RR554</stp>
        <stp>-60CQ</stp>
        <stp>2018/3/31</stp>
        <stp>[health reits companies.xlsx]ReferenceData!R428C6</stp>
        <stp>Per=CQ</stp>
        <stp>Dts=H</stp>
        <stp>Dir=H</stp>
        <stp>Points=60</stp>
        <stp>Sort=R</stp>
        <stp>Days=A</stp>
        <stp>Fill=B</stp>
        <stp>FX=USD</stp>
        <tr r="F428" s="3"/>
      </tp>
      <tp t="s">
        <v>#N/A Authorization</v>
        <stp/>
        <stp>##V3_BDHV12</stp>
        <stp>HR US Equity</stp>
        <stp>RR033</stp>
        <stp>-60CQ</stp>
        <stp>2018/3/31</stp>
        <stp>[health reits companies.xlsx]ReferenceData!R362C6</stp>
        <stp>Per=CQ</stp>
        <stp>Dts=H</stp>
        <stp>Dir=H</stp>
        <stp>Points=60</stp>
        <stp>Sort=R</stp>
        <stp>Days=A</stp>
        <stp>Fill=B</stp>
        <stp>FX=USD</stp>
        <tr r="F362" s="3"/>
      </tp>
      <tp t="s">
        <v>#N/A Authorization</v>
        <stp/>
        <stp>##V3_BDHV12</stp>
        <stp>HR US Equity</stp>
        <stp>RR009</stp>
        <stp>-60CQ</stp>
        <stp>2018/3/31</stp>
        <stp>[health reits companies.xlsx]ReferenceData!R318C6</stp>
        <stp>Per=CQ</stp>
        <stp>Dts=H</stp>
        <stp>Dir=H</stp>
        <stp>Points=60</stp>
        <stp>Sort=R</stp>
        <stp>Days=A</stp>
        <stp>Fill=B</stp>
        <stp>FX=USD</stp>
        <tr r="F318" s="3"/>
      </tp>
      <tp t="s">
        <v>#N/A Authorization</v>
        <stp/>
        <stp>##V3_BDHV12</stp>
        <stp>HR US Equity</stp>
        <stp>RR106</stp>
        <stp>-60CQ</stp>
        <stp>2018/3/31</stp>
        <stp>[health reits companies.xlsx]ReferenceData!R472C6</stp>
        <stp>Per=CQ</stp>
        <stp>Dts=H</stp>
        <stp>Dir=H</stp>
        <stp>Points=60</stp>
        <stp>Sort=R</stp>
        <stp>Days=A</stp>
        <stp>Fill=B</stp>
        <stp>FX=USD</stp>
        <tr r="F472" s="3"/>
      </tp>
      <tp t="s">
        <v>#N/A Authorization</v>
        <stp/>
        <stp>##V3_BDHV12</stp>
        <stp>HR US Equity</stp>
        <stp>RR008</stp>
        <stp>-60CQ</stp>
        <stp>2018/3/31</stp>
        <stp>[health reits companies.xlsx]ReferenceData!R461C6</stp>
        <stp>Per=CQ</stp>
        <stp>Dts=H</stp>
        <stp>Dir=H</stp>
        <stp>Points=60</stp>
        <stp>Sort=R</stp>
        <stp>Days=A</stp>
        <stp>Fill=B</stp>
        <stp>FX=USD</stp>
        <tr r="F461" s="3"/>
      </tp>
      <tp t="s">
        <v>#N/A Authorization</v>
        <stp/>
        <stp>##V3_BDHV12</stp>
        <stp>HR US Equity</stp>
        <stp>RR052</stp>
        <stp>-60CQ</stp>
        <stp>2018/3/31</stp>
        <stp>[health reits companies.xlsx]ReferenceData!R439C6</stp>
        <stp>Per=CQ</stp>
        <stp>Dts=H</stp>
        <stp>Dir=H</stp>
        <stp>Points=60</stp>
        <stp>Sort=R</stp>
        <stp>Days=A</stp>
        <stp>Fill=B</stp>
        <stp>FX=USD</stp>
        <tr r="F439" s="3"/>
      </tp>
      <tp t="s">
        <v>#N/A Authorization</v>
        <stp/>
        <stp>##V3_BDHV12</stp>
        <stp>HR US Equity</stp>
        <stp>RR502</stp>
        <stp>-60CQ</stp>
        <stp>2018/3/31</stp>
        <stp>[health reits companies.xlsx]ReferenceData!R307C6</stp>
        <stp>Per=CQ</stp>
        <stp>Dts=H</stp>
        <stp>Dir=H</stp>
        <stp>Points=60</stp>
        <stp>Sort=R</stp>
        <stp>Days=A</stp>
        <stp>Fill=B</stp>
        <stp>FX=USD</stp>
        <tr r="F307" s="3"/>
      </tp>
      <tp t="s">
        <v>#N/A Authorization</v>
        <stp/>
        <stp>##V3_BDHV12</stp>
        <stp>HR US Equity</stp>
        <stp>RR253</stp>
        <stp>-60CQ</stp>
        <stp>2018/3/31</stp>
        <stp>[health reits companies.xlsx]ReferenceData!R450C6</stp>
        <stp>Per=CQ</stp>
        <stp>Dts=H</stp>
        <stp>Dir=H</stp>
        <stp>Points=60</stp>
        <stp>Sort=R</stp>
        <stp>Days=A</stp>
        <stp>Fill=B</stp>
        <stp>FX=USD</stp>
        <tr r="F450" s="3"/>
      </tp>
      <tp t="s">
        <v>#N/A Authorization</v>
        <stp/>
        <stp>##V3_BDHV12</stp>
        <stp>HR US Equity</stp>
        <stp>RR551</stp>
        <stp>-60CQ</stp>
        <stp>2018/3/31</stp>
        <stp>[health reits companies.xlsx]ReferenceData!R373C6</stp>
        <stp>Per=CQ</stp>
        <stp>Dts=H</stp>
        <stp>Dir=H</stp>
        <stp>Points=60</stp>
        <stp>Sort=R</stp>
        <stp>Days=A</stp>
        <stp>Fill=B</stp>
        <stp>FX=USD</stp>
        <tr r="F373" s="3"/>
      </tp>
      <tp t="s">
        <v>#N/A Authorization</v>
        <stp/>
        <stp>##V3_BDHV12</stp>
        <stp>HTA US Equity</stp>
        <stp>RR009</stp>
        <stp>-60CQ</stp>
        <stp>2018/3/31</stp>
        <stp>[health reits companies.xlsx]ReferenceData!R319C6</stp>
        <stp>Per=CQ</stp>
        <stp>Dts=H</stp>
        <stp>Dir=H</stp>
        <stp>Points=60</stp>
        <stp>Sort=R</stp>
        <stp>Days=A</stp>
        <stp>Fill=B</stp>
        <stp>FX=USD</stp>
        <tr r="F319" s="3"/>
      </tp>
      <tp t="s">
        <v>#N/A Authorization</v>
        <stp/>
        <stp>##V3_BDHV12</stp>
        <stp>MPW US Equity</stp>
        <stp>RR551</stp>
        <stp>-60CQ</stp>
        <stp>2018/3/31</stp>
        <stp>[health reits companies.xlsx]ReferenceData!R375C6</stp>
        <stp>Per=CQ</stp>
        <stp>Dts=H</stp>
        <stp>Dir=H</stp>
        <stp>Points=60</stp>
        <stp>Sort=R</stp>
        <stp>Days=A</stp>
        <stp>Fill=B</stp>
        <stp>FX=USD</stp>
        <tr r="F375" s="3"/>
      </tp>
      <tp t="s">
        <v>#N/A Authorization</v>
        <stp/>
        <stp>##V3_BDHV12</stp>
        <stp>MPW US Equity</stp>
        <stp>RR502</stp>
        <stp>-60CQ</stp>
        <stp>2018/3/31</stp>
        <stp>[health reits companies.xlsx]ReferenceData!R309C6</stp>
        <stp>Per=CQ</stp>
        <stp>Dts=H</stp>
        <stp>Dir=H</stp>
        <stp>Points=60</stp>
        <stp>Sort=R</stp>
        <stp>Days=A</stp>
        <stp>Fill=B</stp>
        <stp>FX=USD</stp>
        <tr r="F309" s="3"/>
      </tp>
      <tp t="s">
        <v>#N/A Authorization</v>
        <stp/>
        <stp>##V3_BDHV12</stp>
        <stp>MPW US Equity</stp>
        <stp>RR253</stp>
        <stp>-60CQ</stp>
        <stp>2018/3/31</stp>
        <stp>[health reits companies.xlsx]ReferenceData!R452C6</stp>
        <stp>Per=CQ</stp>
        <stp>Dts=H</stp>
        <stp>Dir=H</stp>
        <stp>Points=60</stp>
        <stp>Sort=R</stp>
        <stp>Days=A</stp>
        <stp>Fill=B</stp>
        <stp>FX=USD</stp>
        <tr r="F452" s="3"/>
      </tp>
      <tp t="s">
        <v>#N/A Authorization</v>
        <stp/>
        <stp>##V3_BDHV12</stp>
        <stp>HTA US Equity</stp>
        <stp>RR033</stp>
        <stp>-60CQ</stp>
        <stp>2018/3/31</stp>
        <stp>[health reits companies.xlsx]ReferenceData!R363C6</stp>
        <stp>Per=CQ</stp>
        <stp>Dts=H</stp>
        <stp>Dir=H</stp>
        <stp>Points=60</stp>
        <stp>Sort=R</stp>
        <stp>Days=A</stp>
        <stp>Fill=B</stp>
        <stp>FX=USD</stp>
        <tr r="F363" s="3"/>
      </tp>
      <tp t="s">
        <v>#N/A Authorization</v>
        <stp/>
        <stp>##V3_BDHV12</stp>
        <stp>OHI US Equity</stp>
        <stp>RR008</stp>
        <stp>-60CQ</stp>
        <stp>2018/3/31</stp>
        <stp>[health reits companies.xlsx]ReferenceData!R464C6</stp>
        <stp>Per=CQ</stp>
        <stp>Dts=H</stp>
        <stp>Dir=H</stp>
        <stp>Points=60</stp>
        <stp>Sort=R</stp>
        <stp>Days=A</stp>
        <stp>Fill=B</stp>
        <stp>FX=USD</stp>
        <tr r="F464" s="3"/>
      </tp>
      <tp t="s">
        <v>#N/A Authorization</v>
        <stp/>
        <stp>##V3_BDHV12</stp>
        <stp>OHI US Equity</stp>
        <stp>RR052</stp>
        <stp>-60CQ</stp>
        <stp>2018/3/31</stp>
        <stp>[health reits companies.xlsx]ReferenceData!R442C6</stp>
        <stp>Per=CQ</stp>
        <stp>Dts=H</stp>
        <stp>Dir=H</stp>
        <stp>Points=60</stp>
        <stp>Sort=R</stp>
        <stp>Days=A</stp>
        <stp>Fill=B</stp>
        <stp>FX=USD</stp>
        <tr r="F442" s="3"/>
      </tp>
      <tp t="s">
        <v>#N/A Authorization</v>
        <stp/>
        <stp>##V3_BDHV12</stp>
        <stp>HCP US Equity</stp>
        <stp>RR033</stp>
        <stp>-60CQ</stp>
        <stp>2018/3/31</stp>
        <stp>[health reits companies.xlsx]ReferenceData!R361C6</stp>
        <stp>Per=CQ</stp>
        <stp>Dts=H</stp>
        <stp>Dir=H</stp>
        <stp>Points=60</stp>
        <stp>Sort=R</stp>
        <stp>Days=A</stp>
        <stp>Fill=B</stp>
        <stp>FX=USD</stp>
        <tr r="F361" s="3"/>
      </tp>
      <tp t="s">
        <v>#N/A Authorization</v>
        <stp/>
        <stp>##V3_BDHV12</stp>
        <stp>HCN US Equity</stp>
        <stp>RR033</stp>
        <stp>-60CQ</stp>
        <stp>2018/3/31</stp>
        <stp>[health reits companies.xlsx]ReferenceData!R369C6</stp>
        <stp>Per=CQ</stp>
        <stp>Dts=H</stp>
        <stp>Dir=H</stp>
        <stp>Points=60</stp>
        <stp>Sort=R</stp>
        <stp>Days=A</stp>
        <stp>Fill=B</stp>
        <stp>FX=USD</stp>
        <tr r="F369" s="3"/>
      </tp>
      <tp t="s">
        <v>#N/A Authorization</v>
        <stp/>
        <stp>##V3_BDHV12</stp>
        <stp>HCP US Equity</stp>
        <stp>RR009</stp>
        <stp>-60CQ</stp>
        <stp>2018/3/31</stp>
        <stp>[health reits companies.xlsx]ReferenceData!R317C6</stp>
        <stp>Per=CQ</stp>
        <stp>Dts=H</stp>
        <stp>Dir=H</stp>
        <stp>Points=60</stp>
        <stp>Sort=R</stp>
        <stp>Days=A</stp>
        <stp>Fill=B</stp>
        <stp>FX=USD</stp>
        <tr r="F317" s="3"/>
      </tp>
      <tp t="s">
        <v>#N/A Authorization</v>
        <stp/>
        <stp>##V3_BDHV12</stp>
        <stp>HCN US Equity</stp>
        <stp>RR009</stp>
        <stp>-60CQ</stp>
        <stp>2018/3/31</stp>
        <stp>[health reits companies.xlsx]ReferenceData!R325C6</stp>
        <stp>Per=CQ</stp>
        <stp>Dts=H</stp>
        <stp>Dir=H</stp>
        <stp>Points=60</stp>
        <stp>Sort=R</stp>
        <stp>Days=A</stp>
        <stp>Fill=B</stp>
        <stp>FX=USD</stp>
        <tr r="F325" s="3"/>
      </tp>
      <tp t="s">
        <v>#N/A Authorization</v>
        <stp/>
        <stp>##V3_BDHV12</stp>
        <stp>OHI US Equity</stp>
        <stp>RR106</stp>
        <stp>-60CQ</stp>
        <stp>2018/3/31</stp>
        <stp>[health reits companies.xlsx]ReferenceData!R475C6</stp>
        <stp>Per=CQ</stp>
        <stp>Dts=H</stp>
        <stp>Dir=H</stp>
        <stp>Points=60</stp>
        <stp>Sort=R</stp>
        <stp>Days=A</stp>
        <stp>Fill=B</stp>
        <stp>FX=USD</stp>
        <tr r="F475" s="3"/>
      </tp>
      <tp t="s">
        <v>#N/A Authorization</v>
        <stp/>
        <stp>##V3_BDHV12</stp>
        <stp>MPW US Equity</stp>
        <stp>RR008</stp>
        <stp>-60CQ</stp>
        <stp>2018/3/31</stp>
        <stp>[health reits companies.xlsx]ReferenceData!R463C6</stp>
        <stp>Per=CQ</stp>
        <stp>Dts=H</stp>
        <stp>Dir=H</stp>
        <stp>Points=60</stp>
        <stp>Sort=R</stp>
        <stp>Days=A</stp>
        <stp>Fill=B</stp>
        <stp>FX=USD</stp>
        <tr r="F463" s="3"/>
      </tp>
      <tp t="s">
        <v>#N/A Authorization</v>
        <stp/>
        <stp>##V3_BDHV12</stp>
        <stp>HTA US Equity</stp>
        <stp>RR554</stp>
        <stp>-60CQ</stp>
        <stp>2018/3/31</stp>
        <stp>[health reits companies.xlsx]ReferenceData!R429C6</stp>
        <stp>Per=CQ</stp>
        <stp>Dts=H</stp>
        <stp>Dir=H</stp>
        <stp>Points=60</stp>
        <stp>Sort=R</stp>
        <stp>Days=A</stp>
        <stp>Fill=B</stp>
        <stp>FX=USD</stp>
        <tr r="F429" s="3"/>
      </tp>
      <tp t="s">
        <v>#N/A Authorization</v>
        <stp/>
        <stp>##V3_BDHV12</stp>
        <stp>HTA US Equity</stp>
        <stp>RR553</stp>
        <stp>-60CQ</stp>
        <stp>2018/3/31</stp>
        <stp>[health reits companies.xlsx]ReferenceData!R418C6</stp>
        <stp>Per=CQ</stp>
        <stp>Dts=H</stp>
        <stp>Dir=H</stp>
        <stp>Points=60</stp>
        <stp>Sort=R</stp>
        <stp>Days=A</stp>
        <stp>Fill=B</stp>
        <stp>FX=USD</stp>
        <tr r="F418" s="3"/>
      </tp>
      <tp t="s">
        <v>#N/A Authorization</v>
        <stp/>
        <stp>##V3_BDHV12</stp>
        <stp>MPW US Equity</stp>
        <stp>RR052</stp>
        <stp>-60CQ</stp>
        <stp>2018/3/31</stp>
        <stp>[health reits companies.xlsx]ReferenceData!R441C6</stp>
        <stp>Per=CQ</stp>
        <stp>Dts=H</stp>
        <stp>Dir=H</stp>
        <stp>Points=60</stp>
        <stp>Sort=R</stp>
        <stp>Days=A</stp>
        <stp>Fill=B</stp>
        <stp>FX=USD</stp>
        <tr r="F441" s="3"/>
      </tp>
      <tp t="s">
        <v>#N/A Authorization</v>
        <stp/>
        <stp>##V3_BDHV12</stp>
        <stp>OHI US Equity</stp>
        <stp>RR551</stp>
        <stp>-60CQ</stp>
        <stp>2018/3/31</stp>
        <stp>[health reits companies.xlsx]ReferenceData!R376C6</stp>
        <stp>Per=CQ</stp>
        <stp>Dts=H</stp>
        <stp>Dir=H</stp>
        <stp>Points=60</stp>
        <stp>Sort=R</stp>
        <stp>Days=A</stp>
        <stp>Fill=B</stp>
        <stp>FX=USD</stp>
        <tr r="F376" s="3"/>
      </tp>
      <tp t="s">
        <v>#N/A Authorization</v>
        <stp/>
        <stp>##V3_BDHV12</stp>
        <stp>OHI US Equity</stp>
        <stp>RR253</stp>
        <stp>-60CQ</stp>
        <stp>2018/3/31</stp>
        <stp>[health reits companies.xlsx]ReferenceData!R453C6</stp>
        <stp>Per=CQ</stp>
        <stp>Dts=H</stp>
        <stp>Dir=H</stp>
        <stp>Points=60</stp>
        <stp>Sort=R</stp>
        <stp>Days=A</stp>
        <stp>Fill=B</stp>
        <stp>FX=USD</stp>
        <tr r="F453" s="3"/>
      </tp>
      <tp t="s">
        <v>#N/A Authorization</v>
        <stp/>
        <stp>##V3_BDHV12</stp>
        <stp>OHI US Equity</stp>
        <stp>RR502</stp>
        <stp>-60CQ</stp>
        <stp>2018/3/31</stp>
        <stp>[health reits companies.xlsx]ReferenceData!R310C6</stp>
        <stp>Per=CQ</stp>
        <stp>Dts=H</stp>
        <stp>Dir=H</stp>
        <stp>Points=60</stp>
        <stp>Sort=R</stp>
        <stp>Days=A</stp>
        <stp>Fill=B</stp>
        <stp>FX=USD</stp>
        <tr r="F310" s="3"/>
      </tp>
      <tp t="s">
        <v>#N/A Authorization</v>
        <stp/>
        <stp>##V3_BDHV12</stp>
        <stp>HCP US Equity</stp>
        <stp>RR553</stp>
        <stp>-60CQ</stp>
        <stp>2018/3/31</stp>
        <stp>[health reits companies.xlsx]ReferenceData!R416C6</stp>
        <stp>Per=CQ</stp>
        <stp>Dts=H</stp>
        <stp>Dir=H</stp>
        <stp>Points=60</stp>
        <stp>Sort=R</stp>
        <stp>Days=A</stp>
        <stp>Fill=B</stp>
        <stp>FX=USD</stp>
        <tr r="F416" s="3"/>
      </tp>
      <tp t="s">
        <v>#N/A Authorization</v>
        <stp/>
        <stp>##V3_BDHV12</stp>
        <stp>HCP US Equity</stp>
        <stp>RR554</stp>
        <stp>-60CQ</stp>
        <stp>2018/3/31</stp>
        <stp>[health reits companies.xlsx]ReferenceData!R427C6</stp>
        <stp>Per=CQ</stp>
        <stp>Dts=H</stp>
        <stp>Dir=H</stp>
        <stp>Points=60</stp>
        <stp>Sort=R</stp>
        <stp>Days=A</stp>
        <stp>Fill=B</stp>
        <stp>FX=USD</stp>
        <tr r="F427" s="3"/>
      </tp>
      <tp t="s">
        <v>#N/A Authorization</v>
        <stp/>
        <stp>##V3_BDHV12</stp>
        <stp>HCN US Equity</stp>
        <stp>RR553</stp>
        <stp>-60CQ</stp>
        <stp>2018/3/31</stp>
        <stp>[health reits companies.xlsx]ReferenceData!R424C6</stp>
        <stp>Per=CQ</stp>
        <stp>Dts=H</stp>
        <stp>Dir=H</stp>
        <stp>Points=60</stp>
        <stp>Sort=R</stp>
        <stp>Days=A</stp>
        <stp>Fill=B</stp>
        <stp>FX=USD</stp>
        <tr r="F424" s="3"/>
      </tp>
      <tp t="s">
        <v>#N/A Authorization</v>
        <stp/>
        <stp>##V3_BDHV12</stp>
        <stp>HCN US Equity</stp>
        <stp>RR554</stp>
        <stp>-60CQ</stp>
        <stp>2018/3/31</stp>
        <stp>[health reits companies.xlsx]ReferenceData!R435C6</stp>
        <stp>Per=CQ</stp>
        <stp>Dts=H</stp>
        <stp>Dir=H</stp>
        <stp>Points=60</stp>
        <stp>Sort=R</stp>
        <stp>Days=A</stp>
        <stp>Fill=B</stp>
        <stp>FX=USD</stp>
        <tr r="F435" s="3"/>
      </tp>
      <tp t="s">
        <v>#N/A Authorization</v>
        <stp/>
        <stp>##V3_BDHV12</stp>
        <stp>MPW US Equity</stp>
        <stp>RR106</stp>
        <stp>-60CQ</stp>
        <stp>2018/3/31</stp>
        <stp>[health reits companies.xlsx]ReferenceData!R474C6</stp>
        <stp>Per=CQ</stp>
        <stp>Dts=H</stp>
        <stp>Dir=H</stp>
        <stp>Points=60</stp>
        <stp>Sort=R</stp>
        <stp>Days=A</stp>
        <stp>Fill=B</stp>
        <stp>FX=USD</stp>
        <tr r="F474" s="3"/>
      </tp>
      <tp t="s">
        <v>#N/A Authorization</v>
        <stp/>
        <stp>##V3_BDHV12</stp>
        <stp>HTA US Equity</stp>
        <stp>RR551</stp>
        <stp>-60CQ</stp>
        <stp>2018/3/31</stp>
        <stp>[health reits companies.xlsx]ReferenceData!R374C6</stp>
        <stp>Per=CQ</stp>
        <stp>Dts=H</stp>
        <stp>Dir=H</stp>
        <stp>Points=60</stp>
        <stp>Sort=R</stp>
        <stp>Days=A</stp>
        <stp>Fill=B</stp>
        <stp>FX=USD</stp>
        <tr r="F374" s="3"/>
      </tp>
      <tp t="s">
        <v>#N/A Authorization</v>
        <stp/>
        <stp>##V3_BDHV12</stp>
        <stp>HTA US Equity</stp>
        <stp>RR502</stp>
        <stp>-60CQ</stp>
        <stp>2018/3/31</stp>
        <stp>[health reits companies.xlsx]ReferenceData!R308C6</stp>
        <stp>Per=CQ</stp>
        <stp>Dts=H</stp>
        <stp>Dir=H</stp>
        <stp>Points=60</stp>
        <stp>Sort=R</stp>
        <stp>Days=A</stp>
        <stp>Fill=B</stp>
        <stp>FX=USD</stp>
        <tr r="F308" s="3"/>
      </tp>
      <tp t="s">
        <v>#N/A Authorization</v>
        <stp/>
        <stp>##V3_BDHV12</stp>
        <stp>HTA US Equity</stp>
        <stp>RR253</stp>
        <stp>-60CQ</stp>
        <stp>2018/3/31</stp>
        <stp>[health reits companies.xlsx]ReferenceData!R451C6</stp>
        <stp>Per=CQ</stp>
        <stp>Dts=H</stp>
        <stp>Dir=H</stp>
        <stp>Points=60</stp>
        <stp>Sort=R</stp>
        <stp>Days=A</stp>
        <stp>Fill=B</stp>
        <stp>FX=USD</stp>
        <tr r="F451" s="3"/>
      </tp>
      <tp t="s">
        <v>#N/A Authorization</v>
        <stp/>
        <stp>##V3_BDHV12</stp>
        <stp>MPW US Equity</stp>
        <stp>RR033</stp>
        <stp>-60CQ</stp>
        <stp>2018/3/31</stp>
        <stp>[health reits companies.xlsx]ReferenceData!R364C6</stp>
        <stp>Per=CQ</stp>
        <stp>Dts=H</stp>
        <stp>Dir=H</stp>
        <stp>Points=60</stp>
        <stp>Sort=R</stp>
        <stp>Days=A</stp>
        <stp>Fill=B</stp>
        <stp>FX=USD</stp>
        <tr r="F364" s="3"/>
      </tp>
      <tp t="s">
        <v>#N/A Authorization</v>
        <stp/>
        <stp>##V3_BDHV12</stp>
        <stp>MPW US Equity</stp>
        <stp>RR009</stp>
        <stp>-60CQ</stp>
        <stp>2018/3/31</stp>
        <stp>[health reits companies.xlsx]ReferenceData!R320C6</stp>
        <stp>Per=CQ</stp>
        <stp>Dts=H</stp>
        <stp>Dir=H</stp>
        <stp>Points=60</stp>
        <stp>Sort=R</stp>
        <stp>Days=A</stp>
        <stp>Fill=B</stp>
        <stp>FX=USD</stp>
        <tr r="F320" s="3"/>
      </tp>
      <tp t="s">
        <v>#N/A Authorization</v>
        <stp/>
        <stp>##V3_BDHV12</stp>
        <stp>HCN US Equity</stp>
        <stp>RR551</stp>
        <stp>-60CQ</stp>
        <stp>2018/3/31</stp>
        <stp>[health reits companies.xlsx]ReferenceData!R380C6</stp>
        <stp>Per=CQ</stp>
        <stp>Dts=H</stp>
        <stp>Dir=H</stp>
        <stp>Points=60</stp>
        <stp>Sort=R</stp>
        <stp>Days=A</stp>
        <stp>Fill=B</stp>
        <stp>FX=USD</stp>
        <tr r="F380" s="3"/>
      </tp>
      <tp t="s">
        <v>#N/A Authorization</v>
        <stp/>
        <stp>##V3_BDHV12</stp>
        <stp>OHI US Equity</stp>
        <stp>RR554</stp>
        <stp>-60CQ</stp>
        <stp>2018/3/31</stp>
        <stp>[health reits companies.xlsx]ReferenceData!R431C6</stp>
        <stp>Per=CQ</stp>
        <stp>Dts=H</stp>
        <stp>Dir=H</stp>
        <stp>Points=60</stp>
        <stp>Sort=R</stp>
        <stp>Days=A</stp>
        <stp>Fill=B</stp>
        <stp>FX=USD</stp>
        <tr r="F431" s="3"/>
      </tp>
      <tp t="s">
        <v>#N/A Authorization</v>
        <stp/>
        <stp>##V3_BDHV12</stp>
        <stp>OHI US Equity</stp>
        <stp>RR553</stp>
        <stp>-60CQ</stp>
        <stp>2018/3/31</stp>
        <stp>[health reits companies.xlsx]ReferenceData!R420C6</stp>
        <stp>Per=CQ</stp>
        <stp>Dts=H</stp>
        <stp>Dir=H</stp>
        <stp>Points=60</stp>
        <stp>Sort=R</stp>
        <stp>Days=A</stp>
        <stp>Fill=B</stp>
        <stp>FX=USD</stp>
        <tr r="F420" s="3"/>
      </tp>
      <tp t="s">
        <v>#N/A Authorization</v>
        <stp/>
        <stp>##V3_BDHV12</stp>
        <stp>HCP US Equity</stp>
        <stp>RR253</stp>
        <stp>-60CQ</stp>
        <stp>2018/3/31</stp>
        <stp>[health reits companies.xlsx]ReferenceData!R449C6</stp>
        <stp>Per=CQ</stp>
        <stp>Dts=H</stp>
        <stp>Dir=H</stp>
        <stp>Points=60</stp>
        <stp>Sort=R</stp>
        <stp>Days=A</stp>
        <stp>Fill=B</stp>
        <stp>FX=USD</stp>
        <tr r="F449" s="3"/>
      </tp>
      <tp t="s">
        <v>#N/A Authorization</v>
        <stp/>
        <stp>##V3_BDHV12</stp>
        <stp>HCN US Equity</stp>
        <stp>RR502</stp>
        <stp>-60CQ</stp>
        <stp>2018/3/31</stp>
        <stp>[health reits companies.xlsx]ReferenceData!R314C6</stp>
        <stp>Per=CQ</stp>
        <stp>Dts=H</stp>
        <stp>Dir=H</stp>
        <stp>Points=60</stp>
        <stp>Sort=R</stp>
        <stp>Days=A</stp>
        <stp>Fill=B</stp>
        <stp>FX=USD</stp>
        <tr r="F314" s="3"/>
      </tp>
      <tp t="s">
        <v>#N/A Authorization</v>
        <stp/>
        <stp>##V3_BDHV12</stp>
        <stp>HCP US Equity</stp>
        <stp>RR502</stp>
        <stp>-60CQ</stp>
        <stp>2018/3/31</stp>
        <stp>[health reits companies.xlsx]ReferenceData!R306C6</stp>
        <stp>Per=CQ</stp>
        <stp>Dts=H</stp>
        <stp>Dir=H</stp>
        <stp>Points=60</stp>
        <stp>Sort=R</stp>
        <stp>Days=A</stp>
        <stp>Fill=B</stp>
        <stp>FX=USD</stp>
        <tr r="F306" s="3"/>
      </tp>
      <tp t="s">
        <v>#N/A Authorization</v>
        <stp/>
        <stp>##V3_BDHV12</stp>
        <stp>HCN US Equity</stp>
        <stp>RR253</stp>
        <stp>-60CQ</stp>
        <stp>2018/3/31</stp>
        <stp>[health reits companies.xlsx]ReferenceData!R457C6</stp>
        <stp>Per=CQ</stp>
        <stp>Dts=H</stp>
        <stp>Dir=H</stp>
        <stp>Points=60</stp>
        <stp>Sort=R</stp>
        <stp>Days=A</stp>
        <stp>Fill=B</stp>
        <stp>FX=USD</stp>
        <tr r="F457" s="3"/>
      </tp>
      <tp t="s">
        <v>#N/A Authorization</v>
        <stp/>
        <stp>##V3_BDHV12</stp>
        <stp>HCP US Equity</stp>
        <stp>RR551</stp>
        <stp>-60CQ</stp>
        <stp>2018/3/31</stp>
        <stp>[health reits companies.xlsx]ReferenceData!R372C6</stp>
        <stp>Per=CQ</stp>
        <stp>Dts=H</stp>
        <stp>Dir=H</stp>
        <stp>Points=60</stp>
        <stp>Sort=R</stp>
        <stp>Days=A</stp>
        <stp>Fill=B</stp>
        <stp>FX=USD</stp>
        <tr r="F372" s="3"/>
      </tp>
      <tp t="s">
        <v>#N/A Authorization</v>
        <stp/>
        <stp>##V3_BDHV12</stp>
        <stp>HTA US Equity</stp>
        <stp>RR106</stp>
        <stp>-60CQ</stp>
        <stp>2018/3/31</stp>
        <stp>[health reits companies.xlsx]ReferenceData!R473C6</stp>
        <stp>Per=CQ</stp>
        <stp>Dts=H</stp>
        <stp>Dir=H</stp>
        <stp>Points=60</stp>
        <stp>Sort=R</stp>
        <stp>Days=A</stp>
        <stp>Fill=B</stp>
        <stp>FX=USD</stp>
        <tr r="F473" s="3"/>
      </tp>
      <tp t="s">
        <v>#N/A Authorization</v>
        <stp/>
        <stp>##V3_BDHV12</stp>
        <stp>HCP US Equity</stp>
        <stp>RR106</stp>
        <stp>-60CQ</stp>
        <stp>2018/3/31</stp>
        <stp>[health reits companies.xlsx]ReferenceData!R471C6</stp>
        <stp>Per=CQ</stp>
        <stp>Dts=H</stp>
        <stp>Dir=H</stp>
        <stp>Points=60</stp>
        <stp>Sort=R</stp>
        <stp>Days=A</stp>
        <stp>Fill=B</stp>
        <stp>FX=USD</stp>
        <tr r="F471" s="3"/>
      </tp>
      <tp t="s">
        <v>#N/A Authorization</v>
        <stp/>
        <stp>##V3_BDHV12</stp>
        <stp>HCN US Equity</stp>
        <stp>RR106</stp>
        <stp>-60CQ</stp>
        <stp>2018/3/31</stp>
        <stp>[health reits companies.xlsx]ReferenceData!R479C6</stp>
        <stp>Per=CQ</stp>
        <stp>Dts=H</stp>
        <stp>Dir=H</stp>
        <stp>Points=60</stp>
        <stp>Sort=R</stp>
        <stp>Days=A</stp>
        <stp>Fill=B</stp>
        <stp>FX=USD</stp>
        <tr r="F479" s="3"/>
      </tp>
      <tp t="s">
        <v>#N/A Authorization</v>
        <stp/>
        <stp>##V3_BDHV12</stp>
        <stp>MPW US Equity</stp>
        <stp>RR554</stp>
        <stp>-60CQ</stp>
        <stp>2018/3/31</stp>
        <stp>[health reits companies.xlsx]ReferenceData!R430C6</stp>
        <stp>Per=CQ</stp>
        <stp>Dts=H</stp>
        <stp>Dir=H</stp>
        <stp>Points=60</stp>
        <stp>Sort=R</stp>
        <stp>Days=A</stp>
        <stp>Fill=B</stp>
        <stp>FX=USD</stp>
        <tr r="F430" s="3"/>
      </tp>
      <tp t="s">
        <v>#N/A Authorization</v>
        <stp/>
        <stp>##V3_BDHV12</stp>
        <stp>MPW US Equity</stp>
        <stp>RR553</stp>
        <stp>-60CQ</stp>
        <stp>2018/3/31</stp>
        <stp>[health reits companies.xlsx]ReferenceData!R419C6</stp>
        <stp>Per=CQ</stp>
        <stp>Dts=H</stp>
        <stp>Dir=H</stp>
        <stp>Points=60</stp>
        <stp>Sort=R</stp>
        <stp>Days=A</stp>
        <stp>Fill=B</stp>
        <stp>FX=USD</stp>
        <tr r="F419" s="3"/>
      </tp>
      <tp t="s">
        <v>#N/A Authorization</v>
        <stp/>
        <stp>##V3_BDHV12</stp>
        <stp>HTA US Equity</stp>
        <stp>RR052</stp>
        <stp>-60CQ</stp>
        <stp>2018/3/31</stp>
        <stp>[health reits companies.xlsx]ReferenceData!R440C6</stp>
        <stp>Per=CQ</stp>
        <stp>Dts=H</stp>
        <stp>Dir=H</stp>
        <stp>Points=60</stp>
        <stp>Sort=R</stp>
        <stp>Days=A</stp>
        <stp>Fill=B</stp>
        <stp>FX=USD</stp>
        <tr r="F440" s="3"/>
      </tp>
      <tp t="s">
        <v>#N/A Authorization</v>
        <stp/>
        <stp>##V3_BDHV12</stp>
        <stp>HTA US Equity</stp>
        <stp>RR008</stp>
        <stp>-60CQ</stp>
        <stp>2018/3/31</stp>
        <stp>[health reits companies.xlsx]ReferenceData!R462C6</stp>
        <stp>Per=CQ</stp>
        <stp>Dts=H</stp>
        <stp>Dir=H</stp>
        <stp>Points=60</stp>
        <stp>Sort=R</stp>
        <stp>Days=A</stp>
        <stp>Fill=B</stp>
        <stp>FX=USD</stp>
        <tr r="F462" s="3"/>
      </tp>
      <tp t="s">
        <v>#N/A Authorization</v>
        <stp/>
        <stp>##V3_BDHV12</stp>
        <stp>OHI US Equity</stp>
        <stp>RR033</stp>
        <stp>-60CQ</stp>
        <stp>2018/3/31</stp>
        <stp>[health reits companies.xlsx]ReferenceData!R365C6</stp>
        <stp>Per=CQ</stp>
        <stp>Dts=H</stp>
        <stp>Dir=H</stp>
        <stp>Points=60</stp>
        <stp>Sort=R</stp>
        <stp>Days=A</stp>
        <stp>Fill=B</stp>
        <stp>FX=USD</stp>
        <tr r="F365" s="3"/>
      </tp>
      <tp t="s">
        <v>#N/A Authorization</v>
        <stp/>
        <stp>##V3_BDHV12</stp>
        <stp>OHI US Equity</stp>
        <stp>RR009</stp>
        <stp>-60CQ</stp>
        <stp>2018/3/31</stp>
        <stp>[health reits companies.xlsx]ReferenceData!R321C6</stp>
        <stp>Per=CQ</stp>
        <stp>Dts=H</stp>
        <stp>Dir=H</stp>
        <stp>Points=60</stp>
        <stp>Sort=R</stp>
        <stp>Days=A</stp>
        <stp>Fill=B</stp>
        <stp>FX=USD</stp>
        <tr r="F321" s="3"/>
      </tp>
      <tp t="s">
        <v>#N/A Authorization</v>
        <stp/>
        <stp>##V3_BDHV12</stp>
        <stp>HCP US Equity</stp>
        <stp>RR052</stp>
        <stp>-60CQ</stp>
        <stp>2018/3/31</stp>
        <stp>[health reits companies.xlsx]ReferenceData!R438C6</stp>
        <stp>Per=CQ</stp>
        <stp>Dts=H</stp>
        <stp>Dir=H</stp>
        <stp>Points=60</stp>
        <stp>Sort=R</stp>
        <stp>Days=A</stp>
        <stp>Fill=B</stp>
        <stp>FX=USD</stp>
        <tr r="F438" s="3"/>
      </tp>
      <tp t="s">
        <v>#N/A Authorization</v>
        <stp/>
        <stp>##V3_BDHV12</stp>
        <stp>HCP US Equity</stp>
        <stp>RR008</stp>
        <stp>-60CQ</stp>
        <stp>2018/3/31</stp>
        <stp>[health reits companies.xlsx]ReferenceData!R460C6</stp>
        <stp>Per=CQ</stp>
        <stp>Dts=H</stp>
        <stp>Dir=H</stp>
        <stp>Points=60</stp>
        <stp>Sort=R</stp>
        <stp>Days=A</stp>
        <stp>Fill=B</stp>
        <stp>FX=USD</stp>
        <tr r="F460" s="3"/>
      </tp>
      <tp t="s">
        <v>#N/A Authorization</v>
        <stp/>
        <stp>##V3_BDHV12</stp>
        <stp>HCN US Equity</stp>
        <stp>RR008</stp>
        <stp>-60CQ</stp>
        <stp>2018/3/31</stp>
        <stp>[health reits companies.xlsx]ReferenceData!R468C6</stp>
        <stp>Per=CQ</stp>
        <stp>Dts=H</stp>
        <stp>Dir=H</stp>
        <stp>Points=60</stp>
        <stp>Sort=R</stp>
        <stp>Days=A</stp>
        <stp>Fill=B</stp>
        <stp>FX=USD</stp>
        <tr r="F468" s="3"/>
      </tp>
      <tp t="s">
        <v>#N/A Authorization</v>
        <stp/>
        <stp>##V3_BDHV12</stp>
        <stp>HCN US Equity</stp>
        <stp>RR052</stp>
        <stp>-60CQ</stp>
        <stp>2018/3/31</stp>
        <stp>[health reits companies.xlsx]ReferenceData!R446C6</stp>
        <stp>Per=CQ</stp>
        <stp>Dts=H</stp>
        <stp>Dir=H</stp>
        <stp>Points=60</stp>
        <stp>Sort=R</stp>
        <stp>Days=A</stp>
        <stp>Fill=B</stp>
        <stp>FX=USD</stp>
        <tr r="F446" s="3"/>
      </tp>
      <tp t="s">
        <v>#N/A Authorization</v>
        <stp/>
        <stp>##V3_BDHV12</stp>
        <stp>SBRA US Equity</stp>
        <stp>BE592</stp>
        <stp>-60CQ</stp>
        <stp>2018/3/31</stp>
        <stp>[health reits companies.xlsx]ReferenceData!R388C6</stp>
        <stp>Per=CQ</stp>
        <stp>Dts=H</stp>
        <stp>Dir=H</stp>
        <stp>Points=60</stp>
        <stp>Sort=R</stp>
        <stp>Days=A</stp>
        <stp>Fill=B</stp>
        <stp>BE997=1GY</stp>
        <stp>FX=USD</stp>
        <tr r="F388" s="3"/>
      </tp>
      <tp t="s">
        <v>#N/A Authorization</v>
        <stp/>
        <stp>##V3_BDHV12</stp>
        <stp>ARE US Equity</stp>
        <stp>RR033</stp>
        <stp>-60CQ</stp>
        <stp>2018/3/31</stp>
        <stp>[health reits companies.xlsx]ReferenceData!R359C6</stp>
        <stp>Per=CQ</stp>
        <stp>Dts=H</stp>
        <stp>Dir=H</stp>
        <stp>Points=60</stp>
        <stp>Sort=R</stp>
        <stp>Days=A</stp>
        <stp>Fill=B</stp>
        <stp>FX=USD</stp>
        <tr r="F359" s="3"/>
      </tp>
      <tp t="s">
        <v>#N/A Authorization</v>
        <stp/>
        <stp>##V3_BDHV12</stp>
        <stp>ARE US Equity</stp>
        <stp>RR009</stp>
        <stp>-60CQ</stp>
        <stp>2018/3/31</stp>
        <stp>[health reits companies.xlsx]ReferenceData!R315C6</stp>
        <stp>Per=CQ</stp>
        <stp>Dts=H</stp>
        <stp>Dir=H</stp>
        <stp>Points=60</stp>
        <stp>Sort=R</stp>
        <stp>Days=A</stp>
        <stp>Fill=B</stp>
        <stp>FX=USD</stp>
        <tr r="F315" s="3"/>
      </tp>
      <tp t="s">
        <v>#N/A Authorization</v>
        <stp/>
        <stp>##V3_BDHV12</stp>
        <stp>CCP US Equity</stp>
        <stp>RR553</stp>
        <stp>-60CQ</stp>
        <stp>2018/3/31</stp>
        <stp>[health reits companies.xlsx]ReferenceData!R415C6</stp>
        <stp>Per=CQ</stp>
        <stp>Dts=H</stp>
        <stp>Dir=H</stp>
        <stp>Points=60</stp>
        <stp>Sort=R</stp>
        <stp>Days=A</stp>
        <stp>Fill=B</stp>
        <stp>FX=USD</stp>
        <tr r="F415" s="3"/>
      </tp>
      <tp t="s">
        <v>#N/A Authorization</v>
        <stp/>
        <stp>##V3_BDHV12</stp>
        <stp>CCP US Equity</stp>
        <stp>RR554</stp>
        <stp>-60CQ</stp>
        <stp>2018/3/31</stp>
        <stp>[health reits companies.xlsx]ReferenceData!R426C6</stp>
        <stp>Per=CQ</stp>
        <stp>Dts=H</stp>
        <stp>Dir=H</stp>
        <stp>Points=60</stp>
        <stp>Sort=R</stp>
        <stp>Days=A</stp>
        <stp>Fill=B</stp>
        <stp>FX=USD</stp>
        <tr r="F426" s="3"/>
      </tp>
      <tp t="s">
        <v>#N/A Authorization</v>
        <stp/>
        <stp>##V3_BDHV12</stp>
        <stp>ARE US Equity</stp>
        <stp>RR553</stp>
        <stp>-60CQ</stp>
        <stp>2018/3/31</stp>
        <stp>[health reits companies.xlsx]ReferenceData!R414C6</stp>
        <stp>Per=CQ</stp>
        <stp>Dts=H</stp>
        <stp>Dir=H</stp>
        <stp>Points=60</stp>
        <stp>Sort=R</stp>
        <stp>Days=A</stp>
        <stp>Fill=B</stp>
        <stp>FX=USD</stp>
        <tr r="F414" s="3"/>
      </tp>
      <tp t="s">
        <v>#N/A Authorization</v>
        <stp/>
        <stp>##V3_BDHV12</stp>
        <stp>ARE US Equity</stp>
        <stp>RR554</stp>
        <stp>-60CQ</stp>
        <stp>2018/3/31</stp>
        <stp>[health reits companies.xlsx]ReferenceData!R425C6</stp>
        <stp>Per=CQ</stp>
        <stp>Dts=H</stp>
        <stp>Dir=H</stp>
        <stp>Points=60</stp>
        <stp>Sort=R</stp>
        <stp>Days=A</stp>
        <stp>Fill=B</stp>
        <stp>FX=USD</stp>
        <tr r="F425" s="3"/>
      </tp>
      <tp t="s">
        <v>#N/A Authorization</v>
        <stp/>
        <stp>##V3_BDHV12</stp>
        <stp>CCP US Equity</stp>
        <stp>RR033</stp>
        <stp>-60CQ</stp>
        <stp>2018/3/31</stp>
        <stp>[health reits companies.xlsx]ReferenceData!R360C6</stp>
        <stp>Per=CQ</stp>
        <stp>Dts=H</stp>
        <stp>Dir=H</stp>
        <stp>Points=60</stp>
        <stp>Sort=R</stp>
        <stp>Days=A</stp>
        <stp>Fill=B</stp>
        <stp>FX=USD</stp>
        <tr r="F360" s="3"/>
      </tp>
      <tp t="s">
        <v>#N/A Authorization</v>
        <stp/>
        <stp>##V3_BDHV12</stp>
        <stp>CCP US Equity</stp>
        <stp>RR009</stp>
        <stp>-60CQ</stp>
        <stp>2018/3/31</stp>
        <stp>[health reits companies.xlsx]ReferenceData!R316C6</stp>
        <stp>Per=CQ</stp>
        <stp>Dts=H</stp>
        <stp>Dir=H</stp>
        <stp>Points=60</stp>
        <stp>Sort=R</stp>
        <stp>Days=A</stp>
        <stp>Fill=B</stp>
        <stp>FX=USD</stp>
        <tr r="F316" s="3"/>
      </tp>
      <tp t="s">
        <v>#N/A Authorization</v>
        <stp/>
        <stp>##V3_BDHV12</stp>
        <stp>ARE US Equity</stp>
        <stp>RR502</stp>
        <stp>-60CQ</stp>
        <stp>2018/3/31</stp>
        <stp>[health reits companies.xlsx]ReferenceData!R304C6</stp>
        <stp>Per=CQ</stp>
        <stp>Dts=H</stp>
        <stp>Dir=H</stp>
        <stp>Points=60</stp>
        <stp>Sort=R</stp>
        <stp>Days=A</stp>
        <stp>Fill=B</stp>
        <stp>FX=USD</stp>
        <tr r="F304" s="3"/>
      </tp>
      <tp t="s">
        <v>#N/A Authorization</v>
        <stp/>
        <stp>##V3_BDHV12</stp>
        <stp>ARE US Equity</stp>
        <stp>RR253</stp>
        <stp>-60CQ</stp>
        <stp>2018/3/31</stp>
        <stp>[health reits companies.xlsx]ReferenceData!R447C6</stp>
        <stp>Per=CQ</stp>
        <stp>Dts=H</stp>
        <stp>Dir=H</stp>
        <stp>Points=60</stp>
        <stp>Sort=R</stp>
        <stp>Days=A</stp>
        <stp>Fill=B</stp>
        <stp>FX=USD</stp>
        <tr r="F447" s="3"/>
      </tp>
      <tp t="s">
        <v>#N/A Authorization</v>
        <stp/>
        <stp>##V3_BDHV12</stp>
        <stp>ARE US Equity</stp>
        <stp>RR551</stp>
        <stp>-60CQ</stp>
        <stp>2018/3/31</stp>
        <stp>[health reits companies.xlsx]ReferenceData!R370C6</stp>
        <stp>Per=CQ</stp>
        <stp>Dts=H</stp>
        <stp>Dir=H</stp>
        <stp>Points=60</stp>
        <stp>Sort=R</stp>
        <stp>Days=A</stp>
        <stp>Fill=B</stp>
        <stp>FX=USD</stp>
        <tr r="F370" s="3"/>
      </tp>
      <tp t="s">
        <v>#N/A Authorization</v>
        <stp/>
        <stp>##V3_BDHV12</stp>
        <stp>CCP US Equity</stp>
        <stp>RR008</stp>
        <stp>-60CQ</stp>
        <stp>2018/3/31</stp>
        <stp>[health reits companies.xlsx]ReferenceData!R459C6</stp>
        <stp>Per=CQ</stp>
        <stp>Dts=H</stp>
        <stp>Dir=H</stp>
        <stp>Points=60</stp>
        <stp>Sort=R</stp>
        <stp>Days=A</stp>
        <stp>Fill=B</stp>
        <stp>FX=USD</stp>
        <tr r="F459" s="3"/>
      </tp>
      <tp t="s">
        <v>#N/A Authorization</v>
        <stp/>
        <stp>##V3_BDHV12</stp>
        <stp>CCP US Equity</stp>
        <stp>RR052</stp>
        <stp>-60CQ</stp>
        <stp>2018/3/31</stp>
        <stp>[health reits companies.xlsx]ReferenceData!R437C6</stp>
        <stp>Per=CQ</stp>
        <stp>Dts=H</stp>
        <stp>Dir=H</stp>
        <stp>Points=60</stp>
        <stp>Sort=R</stp>
        <stp>Days=A</stp>
        <stp>Fill=B</stp>
        <stp>FX=USD</stp>
        <tr r="F437" s="3"/>
      </tp>
      <tp t="s">
        <v>#N/A Authorization</v>
        <stp/>
        <stp>##V3_BDHV12</stp>
        <stp>CCP US Equity</stp>
        <stp>RR106</stp>
        <stp>-60CQ</stp>
        <stp>2018/3/31</stp>
        <stp>[health reits companies.xlsx]ReferenceData!R470C6</stp>
        <stp>Per=CQ</stp>
        <stp>Dts=H</stp>
        <stp>Dir=H</stp>
        <stp>Points=60</stp>
        <stp>Sort=R</stp>
        <stp>Days=A</stp>
        <stp>Fill=B</stp>
        <stp>FX=USD</stp>
        <tr r="F470" s="3"/>
      </tp>
      <tp t="s">
        <v>#N/A Authorization</v>
        <stp/>
        <stp>##V3_BDHV12</stp>
        <stp>ARE US Equity</stp>
        <stp>RR008</stp>
        <stp>-60CQ</stp>
        <stp>2018/3/31</stp>
        <stp>[health reits companies.xlsx]ReferenceData!R458C6</stp>
        <stp>Per=CQ</stp>
        <stp>Dts=H</stp>
        <stp>Dir=H</stp>
        <stp>Points=60</stp>
        <stp>Sort=R</stp>
        <stp>Days=A</stp>
        <stp>Fill=B</stp>
        <stp>FX=USD</stp>
        <tr r="F458" s="3"/>
      </tp>
      <tp t="s">
        <v>#N/A Authorization</v>
        <stp/>
        <stp>##V3_BDHV12</stp>
        <stp>ARE US Equity</stp>
        <stp>RR052</stp>
        <stp>-60CQ</stp>
        <stp>2018/3/31</stp>
        <stp>[health reits companies.xlsx]ReferenceData!R436C6</stp>
        <stp>Per=CQ</stp>
        <stp>Dts=H</stp>
        <stp>Dir=H</stp>
        <stp>Points=60</stp>
        <stp>Sort=R</stp>
        <stp>Days=A</stp>
        <stp>Fill=B</stp>
        <stp>FX=USD</stp>
        <tr r="F436" s="3"/>
      </tp>
      <tp t="s">
        <v>#N/A Authorization</v>
        <stp/>
        <stp>##V3_BDHV12</stp>
        <stp>CCP US Equity</stp>
        <stp>RR253</stp>
        <stp>-60CQ</stp>
        <stp>2018/3/31</stp>
        <stp>[health reits companies.xlsx]ReferenceData!R448C6</stp>
        <stp>Per=CQ</stp>
        <stp>Dts=H</stp>
        <stp>Dir=H</stp>
        <stp>Points=60</stp>
        <stp>Sort=R</stp>
        <stp>Days=A</stp>
        <stp>Fill=B</stp>
        <stp>FX=USD</stp>
        <tr r="F448" s="3"/>
      </tp>
      <tp t="s">
        <v>#N/A Authorization</v>
        <stp/>
        <stp>##V3_BDHV12</stp>
        <stp>CCP US Equity</stp>
        <stp>RR502</stp>
        <stp>-60CQ</stp>
        <stp>2018/3/31</stp>
        <stp>[health reits companies.xlsx]ReferenceData!R305C6</stp>
        <stp>Per=CQ</stp>
        <stp>Dts=H</stp>
        <stp>Dir=H</stp>
        <stp>Points=60</stp>
        <stp>Sort=R</stp>
        <stp>Days=A</stp>
        <stp>Fill=B</stp>
        <stp>FX=USD</stp>
        <tr r="F305" s="3"/>
      </tp>
      <tp t="s">
        <v>#N/A Authorization</v>
        <stp/>
        <stp>##V3_BDHV12</stp>
        <stp>CCP US Equity</stp>
        <stp>RR551</stp>
        <stp>-60CQ</stp>
        <stp>2018/3/31</stp>
        <stp>[health reits companies.xlsx]ReferenceData!R371C6</stp>
        <stp>Per=CQ</stp>
        <stp>Dts=H</stp>
        <stp>Dir=H</stp>
        <stp>Points=60</stp>
        <stp>Sort=R</stp>
        <stp>Days=A</stp>
        <stp>Fill=B</stp>
        <stp>FX=USD</stp>
        <tr r="F371" s="3"/>
      </tp>
      <tp t="s">
        <v>#N/A Authorization</v>
        <stp/>
        <stp>##V3_BDHV12</stp>
        <stp>ARE US Equity</stp>
        <stp>RR106</stp>
        <stp>-60CQ</stp>
        <stp>2018/3/31</stp>
        <stp>[health reits companies.xlsx]ReferenceData!R469C6</stp>
        <stp>Per=CQ</stp>
        <stp>Dts=H</stp>
        <stp>Dir=H</stp>
        <stp>Points=60</stp>
        <stp>Sort=R</stp>
        <stp>Days=A</stp>
        <stp>Fill=B</stp>
        <stp>FX=USD</stp>
        <tr r="F469" s="3"/>
      </tp>
      <tp t="s">
        <v>#N/A Authorization</v>
        <stp/>
        <stp>##V3_BDHV12</stp>
        <stp>VTR US Equity</stp>
        <stp>RR106</stp>
        <stp>-60CQ</stp>
        <stp>2018/3/31</stp>
        <stp>[health reits companies.xlsx]ReferenceData!R478C6</stp>
        <stp>Per=CQ</stp>
        <stp>Dts=H</stp>
        <stp>Dir=H</stp>
        <stp>Points=60</stp>
        <stp>Sort=R</stp>
        <stp>Days=A</stp>
        <stp>Fill=B</stp>
        <stp>FX=USD</stp>
        <tr r="F478" s="3"/>
      </tp>
      <tp t="s">
        <v>#N/A Authorization</v>
        <stp/>
        <stp>##V3_BDHV12</stp>
        <stp>VTR US Equity</stp>
        <stp>RR052</stp>
        <stp>-60CQ</stp>
        <stp>2018/3/31</stp>
        <stp>[health reits companies.xlsx]ReferenceData!R445C6</stp>
        <stp>Per=CQ</stp>
        <stp>Dts=H</stp>
        <stp>Dir=H</stp>
        <stp>Points=60</stp>
        <stp>Sort=R</stp>
        <stp>Days=A</stp>
        <stp>Fill=B</stp>
        <stp>FX=USD</stp>
        <tr r="F445" s="3"/>
      </tp>
      <tp t="s">
        <v>#N/A Authorization</v>
        <stp/>
        <stp>##V3_BDHV12</stp>
        <stp>VTR US Equity</stp>
        <stp>RR008</stp>
        <stp>-60CQ</stp>
        <stp>2018/3/31</stp>
        <stp>[health reits companies.xlsx]ReferenceData!R467C6</stp>
        <stp>Per=CQ</stp>
        <stp>Dts=H</stp>
        <stp>Dir=H</stp>
        <stp>Points=60</stp>
        <stp>Sort=R</stp>
        <stp>Days=A</stp>
        <stp>Fill=B</stp>
        <stp>FX=USD</stp>
        <tr r="F467" s="3"/>
      </tp>
      <tp t="s">
        <v>#N/A Authorization</v>
        <stp/>
        <stp>##V3_BDHV12</stp>
        <stp>SNH US Equity</stp>
        <stp>RR554</stp>
        <stp>-60CQ</stp>
        <stp>2018/3/31</stp>
        <stp>[health reits companies.xlsx]ReferenceData!R433C6</stp>
        <stp>Per=CQ</stp>
        <stp>Dts=H</stp>
        <stp>Dir=H</stp>
        <stp>Points=60</stp>
        <stp>Sort=R</stp>
        <stp>Days=A</stp>
        <stp>Fill=B</stp>
        <stp>FX=USD</stp>
        <tr r="F433" s="3"/>
      </tp>
      <tp t="s">
        <v>#N/A Authorization</v>
        <stp/>
        <stp>##V3_BDHV12</stp>
        <stp>SNH US Equity</stp>
        <stp>RR553</stp>
        <stp>-60CQ</stp>
        <stp>2018/3/31</stp>
        <stp>[health reits companies.xlsx]ReferenceData!R422C6</stp>
        <stp>Per=CQ</stp>
        <stp>Dts=H</stp>
        <stp>Dir=H</stp>
        <stp>Points=60</stp>
        <stp>Sort=R</stp>
        <stp>Days=A</stp>
        <stp>Fill=B</stp>
        <stp>FX=USD</stp>
        <tr r="F422" s="3"/>
      </tp>
      <tp t="s">
        <v>#N/A Authorization</v>
        <stp/>
        <stp>##V3_BDHV12</stp>
        <stp>VTR US Equity</stp>
        <stp>RR551</stp>
        <stp>-60CQ</stp>
        <stp>2018/3/31</stp>
        <stp>[health reits companies.xlsx]ReferenceData!R379C6</stp>
        <stp>Per=CQ</stp>
        <stp>Dts=H</stp>
        <stp>Dir=H</stp>
        <stp>Points=60</stp>
        <stp>Sort=R</stp>
        <stp>Days=A</stp>
        <stp>Fill=B</stp>
        <stp>FX=USD</stp>
        <tr r="F379" s="3"/>
      </tp>
      <tp t="s">
        <v>#N/A Authorization</v>
        <stp/>
        <stp>##V3_BDHV12</stp>
        <stp>VTR US Equity</stp>
        <stp>RR253</stp>
        <stp>-60CQ</stp>
        <stp>2018/3/31</stp>
        <stp>[health reits companies.xlsx]ReferenceData!R456C6</stp>
        <stp>Per=CQ</stp>
        <stp>Dts=H</stp>
        <stp>Dir=H</stp>
        <stp>Points=60</stp>
        <stp>Sort=R</stp>
        <stp>Days=A</stp>
        <stp>Fill=B</stp>
        <stp>FX=USD</stp>
        <tr r="F456" s="3"/>
      </tp>
      <tp t="s">
        <v>#N/A Authorization</v>
        <stp/>
        <stp>##V3_BDHV12</stp>
        <stp>VTR US Equity</stp>
        <stp>RR502</stp>
        <stp>-60CQ</stp>
        <stp>2018/3/31</stp>
        <stp>[health reits companies.xlsx]ReferenceData!R313C6</stp>
        <stp>Per=CQ</stp>
        <stp>Dts=H</stp>
        <stp>Dir=H</stp>
        <stp>Points=60</stp>
        <stp>Sort=R</stp>
        <stp>Days=A</stp>
        <stp>Fill=B</stp>
        <stp>FX=USD</stp>
        <tr r="F313" s="3"/>
      </tp>
      <tp t="s">
        <v>#N/A Authorization</v>
        <stp/>
        <stp>##V3_BDHV12</stp>
        <stp>SNH US Equity</stp>
        <stp>RR009</stp>
        <stp>-60CQ</stp>
        <stp>2018/3/31</stp>
        <stp>[health reits companies.xlsx]ReferenceData!R323C6</stp>
        <stp>Per=CQ</stp>
        <stp>Dts=H</stp>
        <stp>Dir=H</stp>
        <stp>Points=60</stp>
        <stp>Sort=R</stp>
        <stp>Days=A</stp>
        <stp>Fill=B</stp>
        <stp>FX=USD</stp>
        <tr r="F323" s="3"/>
      </tp>
      <tp t="s">
        <v>#N/A Authorization</v>
        <stp/>
        <stp>##V3_BDHV12</stp>
        <stp>SNH US Equity</stp>
        <stp>RR033</stp>
        <stp>-60CQ</stp>
        <stp>2018/3/31</stp>
        <stp>[health reits companies.xlsx]ReferenceData!R367C6</stp>
        <stp>Per=CQ</stp>
        <stp>Dts=H</stp>
        <stp>Dir=H</stp>
        <stp>Points=60</stp>
        <stp>Sort=R</stp>
        <stp>Days=A</stp>
        <stp>Fill=B</stp>
        <stp>FX=USD</stp>
        <tr r="F367" s="3"/>
      </tp>
      <tp t="s">
        <v>#N/A Authorization</v>
        <stp/>
        <stp>##V3_BDHV12</stp>
        <stp>VTR US Equity</stp>
        <stp>RR554</stp>
        <stp>-60CQ</stp>
        <stp>2018/3/31</stp>
        <stp>[health reits companies.xlsx]ReferenceData!R434C6</stp>
        <stp>Per=CQ</stp>
        <stp>Dts=H</stp>
        <stp>Dir=H</stp>
        <stp>Points=60</stp>
        <stp>Sort=R</stp>
        <stp>Days=A</stp>
        <stp>Fill=B</stp>
        <stp>FX=USD</stp>
        <tr r="F434" s="3"/>
      </tp>
      <tp t="s">
        <v>#N/A Authorization</v>
        <stp/>
        <stp>##V3_BDHV12</stp>
        <stp>VTR US Equity</stp>
        <stp>RR553</stp>
        <stp>-60CQ</stp>
        <stp>2018/3/31</stp>
        <stp>[health reits companies.xlsx]ReferenceData!R423C6</stp>
        <stp>Per=CQ</stp>
        <stp>Dts=H</stp>
        <stp>Dir=H</stp>
        <stp>Points=60</stp>
        <stp>Sort=R</stp>
        <stp>Days=A</stp>
        <stp>Fill=B</stp>
        <stp>FX=USD</stp>
        <tr r="F423" s="3"/>
      </tp>
      <tp t="s">
        <v>#N/A Authorization</v>
        <stp/>
        <stp>##V3_BDHV12</stp>
        <stp>SNH US Equity</stp>
        <stp>RR052</stp>
        <stp>-60CQ</stp>
        <stp>2018/3/31</stp>
        <stp>[health reits companies.xlsx]ReferenceData!R444C6</stp>
        <stp>Per=CQ</stp>
        <stp>Dts=H</stp>
        <stp>Dir=H</stp>
        <stp>Points=60</stp>
        <stp>Sort=R</stp>
        <stp>Days=A</stp>
        <stp>Fill=B</stp>
        <stp>FX=USD</stp>
        <tr r="F444" s="3"/>
      </tp>
      <tp t="s">
        <v>#N/A Authorization</v>
        <stp/>
        <stp>##V3_BDHV12</stp>
        <stp>SNH US Equity</stp>
        <stp>RR008</stp>
        <stp>-60CQ</stp>
        <stp>2018/3/31</stp>
        <stp>[health reits companies.xlsx]ReferenceData!R466C6</stp>
        <stp>Per=CQ</stp>
        <stp>Dts=H</stp>
        <stp>Dir=H</stp>
        <stp>Points=60</stp>
        <stp>Sort=R</stp>
        <stp>Days=A</stp>
        <stp>Fill=B</stp>
        <stp>FX=USD</stp>
        <tr r="F466" s="3"/>
      </tp>
      <tp t="s">
        <v>#N/A Authorization</v>
        <stp/>
        <stp>##V3_BDHV12</stp>
        <stp>SNH US Equity</stp>
        <stp>RR106</stp>
        <stp>-60CQ</stp>
        <stp>2018/3/31</stp>
        <stp>[health reits companies.xlsx]ReferenceData!R477C6</stp>
        <stp>Per=CQ</stp>
        <stp>Dts=H</stp>
        <stp>Dir=H</stp>
        <stp>Points=60</stp>
        <stp>Sort=R</stp>
        <stp>Days=A</stp>
        <stp>Fill=B</stp>
        <stp>FX=USD</stp>
        <tr r="F477" s="3"/>
      </tp>
      <tp t="s">
        <v>#N/A Authorization</v>
        <stp/>
        <stp>##V3_BDHV12</stp>
        <stp>VTR US Equity</stp>
        <stp>RR009</stp>
        <stp>-60CQ</stp>
        <stp>2018/3/31</stp>
        <stp>[health reits companies.xlsx]ReferenceData!R324C6</stp>
        <stp>Per=CQ</stp>
        <stp>Dts=H</stp>
        <stp>Dir=H</stp>
        <stp>Points=60</stp>
        <stp>Sort=R</stp>
        <stp>Days=A</stp>
        <stp>Fill=B</stp>
        <stp>FX=USD</stp>
        <tr r="F324" s="3"/>
      </tp>
      <tp t="s">
        <v>#N/A Authorization</v>
        <stp/>
        <stp>##V3_BDHV12</stp>
        <stp>VTR US Equity</stp>
        <stp>RR033</stp>
        <stp>-60CQ</stp>
        <stp>2018/3/31</stp>
        <stp>[health reits companies.xlsx]ReferenceData!R368C6</stp>
        <stp>Per=CQ</stp>
        <stp>Dts=H</stp>
        <stp>Dir=H</stp>
        <stp>Points=60</stp>
        <stp>Sort=R</stp>
        <stp>Days=A</stp>
        <stp>Fill=B</stp>
        <stp>FX=USD</stp>
        <tr r="F368" s="3"/>
      </tp>
      <tp t="s">
        <v>#N/A Authorization</v>
        <stp/>
        <stp>##V3_BDHV12</stp>
        <stp>SNH US Equity</stp>
        <stp>RR253</stp>
        <stp>-60CQ</stp>
        <stp>2018/3/31</stp>
        <stp>[health reits companies.xlsx]ReferenceData!R455C6</stp>
        <stp>Per=CQ</stp>
        <stp>Dts=H</stp>
        <stp>Dir=H</stp>
        <stp>Points=60</stp>
        <stp>Sort=R</stp>
        <stp>Days=A</stp>
        <stp>Fill=B</stp>
        <stp>FX=USD</stp>
        <tr r="F455" s="3"/>
      </tp>
      <tp t="s">
        <v>#N/A Authorization</v>
        <stp/>
        <stp>##V3_BDHV12</stp>
        <stp>SNH US Equity</stp>
        <stp>RR502</stp>
        <stp>-60CQ</stp>
        <stp>2018/3/31</stp>
        <stp>[health reits companies.xlsx]ReferenceData!R312C6</stp>
        <stp>Per=CQ</stp>
        <stp>Dts=H</stp>
        <stp>Dir=H</stp>
        <stp>Points=60</stp>
        <stp>Sort=R</stp>
        <stp>Days=A</stp>
        <stp>Fill=B</stp>
        <stp>FX=USD</stp>
        <tr r="F312" s="3"/>
      </tp>
      <tp t="s">
        <v>#N/A Authorization</v>
        <stp/>
        <stp>##V3_BDHV12</stp>
        <stp>SNH US Equity</stp>
        <stp>RR551</stp>
        <stp>-60CQ</stp>
        <stp>2018/3/31</stp>
        <stp>[health reits companies.xlsx]ReferenceData!R378C6</stp>
        <stp>Per=CQ</stp>
        <stp>Dts=H</stp>
        <stp>Dir=H</stp>
        <stp>Points=60</stp>
        <stp>Sort=R</stp>
        <stp>Days=A</stp>
        <stp>Fill=B</stp>
        <stp>FX=USD</stp>
        <tr r="F378" s="3"/>
      </tp>
      <tp t="s">
        <v>#N/A Authorization</v>
        <stp/>
        <stp>##V3_BDHV12</stp>
        <stp>ARE US Equity</stp>
        <stp>IS972</stp>
        <stp>-60CQ</stp>
        <stp>2018/3/31</stp>
        <stp>[health reits companies.xlsx]ReferenceData!R326C6</stp>
        <stp>Per=CQ</stp>
        <stp>Dts=H</stp>
        <stp>Dir=H</stp>
        <stp>Points=60</stp>
        <stp>Sort=R</stp>
        <stp>Days=A</stp>
        <stp>Fill=B</stp>
        <stp>FX=USD</stp>
        <tr r="F326" s="3"/>
      </tp>
      <tp t="s">
        <v>#N/A Authorization</v>
        <stp/>
        <stp>##V3_BDHV12</stp>
        <stp>HCN US Equity</stp>
        <stp>IS010</stp>
        <stp>-60CQ</stp>
        <stp>2018/3/31</stp>
        <stp>[health reits companies.xlsx]ReferenceData!R303C6</stp>
        <stp>Per=CQ</stp>
        <stp>Dts=H</stp>
        <stp>Dir=H</stp>
        <stp>Points=60</stp>
        <stp>Sort=R</stp>
        <stp>Days=A</stp>
        <stp>Fill=B</stp>
        <stp>FX=USD</stp>
        <tr r="F303" s="3"/>
      </tp>
      <tp t="s">
        <v>#N/A Authorization</v>
        <stp/>
        <stp>##V3_BDHV12</stp>
        <stp>HTA US Equity</stp>
        <stp>IS010</stp>
        <stp>-60CQ</stp>
        <stp>2018/3/31</stp>
        <stp>[health reits companies.xlsx]ReferenceData!R297C6</stp>
        <stp>Per=CQ</stp>
        <stp>Dts=H</stp>
        <stp>Dir=H</stp>
        <stp>Points=60</stp>
        <stp>Sort=R</stp>
        <stp>Days=A</stp>
        <stp>Fill=B</stp>
        <stp>FX=USD</stp>
        <tr r="F297" s="3"/>
      </tp>
      <tp t="s">
        <v>#N/A Authorization</v>
        <stp/>
        <stp>##V3_BDHV12</stp>
        <stp>HTA US Equity</stp>
        <stp>IS030</stp>
        <stp>-60CQ</stp>
        <stp>2018/3/31</stp>
        <stp>[health reits companies.xlsx]ReferenceData!R264C6</stp>
        <stp>Per=CQ</stp>
        <stp>Dts=H</stp>
        <stp>Dir=H</stp>
        <stp>Points=60</stp>
        <stp>Sort=R</stp>
        <stp>Days=A</stp>
        <stp>Fill=B</stp>
        <stp>FX=USD</stp>
        <tr r="F264" s="3"/>
      </tp>
      <tp t="s">
        <v>#N/A Authorization</v>
        <stp/>
        <stp>##V3_BDHV12</stp>
        <stp>HCP US Equity</stp>
        <stp>IS010</stp>
        <stp>-60CQ</stp>
        <stp>2018/3/31</stp>
        <stp>[health reits companies.xlsx]ReferenceData!R295C6</stp>
        <stp>Per=CQ</stp>
        <stp>Dts=H</stp>
        <stp>Dir=H</stp>
        <stp>Points=60</stp>
        <stp>Sort=R</stp>
        <stp>Days=A</stp>
        <stp>Fill=B</stp>
        <stp>FX=USD</stp>
        <tr r="F295" s="3"/>
      </tp>
      <tp t="s">
        <v>#N/A Authorization</v>
        <stp/>
        <stp>##V3_BDHV12</stp>
        <stp>HCP US Equity</stp>
        <stp>IS030</stp>
        <stp>-60CQ</stp>
        <stp>2018/3/31</stp>
        <stp>[health reits companies.xlsx]ReferenceData!R262C6</stp>
        <stp>Per=CQ</stp>
        <stp>Dts=H</stp>
        <stp>Dir=H</stp>
        <stp>Points=60</stp>
        <stp>Sort=R</stp>
        <stp>Days=A</stp>
        <stp>Fill=B</stp>
        <stp>FX=USD</stp>
        <tr r="F262" s="3"/>
      </tp>
      <tp t="s">
        <v>#N/A Authorization</v>
        <stp/>
        <stp>##V3_BDHV12</stp>
        <stp>HCN US Equity</stp>
        <stp>IS030</stp>
        <stp>-60CQ</stp>
        <stp>2018/3/31</stp>
        <stp>[health reits companies.xlsx]ReferenceData!R270C6</stp>
        <stp>Per=CQ</stp>
        <stp>Dts=H</stp>
        <stp>Dir=H</stp>
        <stp>Points=60</stp>
        <stp>Sort=R</stp>
        <stp>Days=A</stp>
        <stp>Fill=B</stp>
        <stp>FX=USD</stp>
        <tr r="F270" s="3"/>
      </tp>
      <tp t="s">
        <v>#N/A Authorization</v>
        <stp/>
        <stp>##V3_BDHV12</stp>
        <stp>CCP US Equity</stp>
        <stp>IS972</stp>
        <stp>-60CQ</stp>
        <stp>2018/3/31</stp>
        <stp>[health reits companies.xlsx]ReferenceData!R327C6</stp>
        <stp>Per=CQ</stp>
        <stp>Dts=H</stp>
        <stp>Dir=H</stp>
        <stp>Points=60</stp>
        <stp>Sort=R</stp>
        <stp>Days=A</stp>
        <stp>Fill=B</stp>
        <stp>FX=USD</stp>
        <tr r="F327" s="3"/>
      </tp>
      <tp t="s">
        <v>#N/A Authorization</v>
        <stp/>
        <stp>##V3_BDHV12</stp>
        <stp>MPW US Equity</stp>
        <stp>IS010</stp>
        <stp>-60CQ</stp>
        <stp>2018/3/31</stp>
        <stp>[health reits companies.xlsx]ReferenceData!R298C6</stp>
        <stp>Per=CQ</stp>
        <stp>Dts=H</stp>
        <stp>Dir=H</stp>
        <stp>Points=60</stp>
        <stp>Sort=R</stp>
        <stp>Days=A</stp>
        <stp>Fill=B</stp>
        <stp>FX=USD</stp>
        <tr r="F298" s="3"/>
      </tp>
      <tp t="s">
        <v>#N/A Authorization</v>
        <stp/>
        <stp>##V3_BDHV12</stp>
        <stp>MPW US Equity</stp>
        <stp>IS030</stp>
        <stp>-60CQ</stp>
        <stp>2018/3/31</stp>
        <stp>[health reits companies.xlsx]ReferenceData!R265C6</stp>
        <stp>Per=CQ</stp>
        <stp>Dts=H</stp>
        <stp>Dir=H</stp>
        <stp>Points=60</stp>
        <stp>Sort=R</stp>
        <stp>Days=A</stp>
        <stp>Fill=B</stp>
        <stp>FX=USD</stp>
        <tr r="F265" s="3"/>
      </tp>
      <tp t="s">
        <v>#N/A Authorization</v>
        <stp/>
        <stp>##V3_BDHV12</stp>
        <stp>OHI US Equity</stp>
        <stp>IS030</stp>
        <stp>-60CQ</stp>
        <stp>2018/3/31</stp>
        <stp>[health reits companies.xlsx]ReferenceData!R266C6</stp>
        <stp>Per=CQ</stp>
        <stp>Dts=H</stp>
        <stp>Dir=H</stp>
        <stp>Points=60</stp>
        <stp>Sort=R</stp>
        <stp>Days=A</stp>
        <stp>Fill=B</stp>
        <stp>FX=USD</stp>
        <tr r="F266" s="3"/>
      </tp>
      <tp t="s">
        <v>#N/A Authorization</v>
        <stp/>
        <stp>##V3_BDHV12</stp>
        <stp>OHI US Equity</stp>
        <stp>IS010</stp>
        <stp>-60CQ</stp>
        <stp>2018/3/31</stp>
        <stp>[health reits companies.xlsx]ReferenceData!R299C6</stp>
        <stp>Per=CQ</stp>
        <stp>Dts=H</stp>
        <stp>Dir=H</stp>
        <stp>Points=60</stp>
        <stp>Sort=R</stp>
        <stp>Days=A</stp>
        <stp>Fill=B</stp>
        <stp>FX=USD</stp>
        <tr r="F299" s="3"/>
      </tp>
      <tp t="s">
        <v>#N/A Authorization</v>
        <stp/>
        <stp>##V3_BDHV12</stp>
        <stp>ARE US Equity</stp>
        <stp>IS010</stp>
        <stp>-60CQ</stp>
        <stp>2018/3/31</stp>
        <stp>[health reits companies.xlsx]ReferenceData!R293C6</stp>
        <stp>Per=CQ</stp>
        <stp>Dts=H</stp>
        <stp>Dir=H</stp>
        <stp>Points=60</stp>
        <stp>Sort=R</stp>
        <stp>Days=A</stp>
        <stp>Fill=B</stp>
        <stp>FX=USD</stp>
        <tr r="F293" s="3"/>
      </tp>
      <tp t="s">
        <v>#N/A Authorization</v>
        <stp/>
        <stp>##V3_BDHV12</stp>
        <stp>ARE US Equity</stp>
        <stp>IS030</stp>
        <stp>-60CQ</stp>
        <stp>2018/3/31</stp>
        <stp>[health reits companies.xlsx]ReferenceData!R260C6</stp>
        <stp>Per=CQ</stp>
        <stp>Dts=H</stp>
        <stp>Dir=H</stp>
        <stp>Points=60</stp>
        <stp>Sort=R</stp>
        <stp>Days=A</stp>
        <stp>Fill=B</stp>
        <stp>FX=USD</stp>
        <tr r="F260" s="3"/>
      </tp>
      <tp t="s">
        <v>#N/A Authorization</v>
        <stp/>
        <stp>##V3_BDHV12</stp>
        <stp>HTA US Equity</stp>
        <stp>IS972</stp>
        <stp>-60CQ</stp>
        <stp>2018/3/31</stp>
        <stp>[health reits companies.xlsx]ReferenceData!R330C6</stp>
        <stp>Per=CQ</stp>
        <stp>Dts=H</stp>
        <stp>Dir=H</stp>
        <stp>Points=60</stp>
        <stp>Sort=R</stp>
        <stp>Days=A</stp>
        <stp>Fill=B</stp>
        <stp>FX=USD</stp>
        <tr r="F330" s="3"/>
      </tp>
      <tp t="s">
        <v>#N/A Authorization</v>
        <stp/>
        <stp>##V3_BDHV12</stp>
        <stp>HCP US Equity</stp>
        <stp>IS972</stp>
        <stp>-60CQ</stp>
        <stp>2018/3/31</stp>
        <stp>[health reits companies.xlsx]ReferenceData!R328C6</stp>
        <stp>Per=CQ</stp>
        <stp>Dts=H</stp>
        <stp>Dir=H</stp>
        <stp>Points=60</stp>
        <stp>Sort=R</stp>
        <stp>Days=A</stp>
        <stp>Fill=B</stp>
        <stp>FX=USD</stp>
        <tr r="F328" s="3"/>
      </tp>
      <tp t="s">
        <v>#N/A Authorization</v>
        <stp/>
        <stp>##V3_BDHV12</stp>
        <stp>HCN US Equity</stp>
        <stp>IS972</stp>
        <stp>-60CQ</stp>
        <stp>2018/3/31</stp>
        <stp>[health reits companies.xlsx]ReferenceData!R336C6</stp>
        <stp>Per=CQ</stp>
        <stp>Dts=H</stp>
        <stp>Dir=H</stp>
        <stp>Points=60</stp>
        <stp>Sort=R</stp>
        <stp>Days=A</stp>
        <stp>Fill=B</stp>
        <stp>FX=USD</stp>
        <tr r="F336" s="3"/>
      </tp>
      <tp t="s">
        <v>#N/A Authorization</v>
        <stp/>
        <stp>##V3_BDHV12</stp>
        <stp>CCP US Equity</stp>
        <stp>IS010</stp>
        <stp>-60CQ</stp>
        <stp>2018/3/31</stp>
        <stp>[health reits companies.xlsx]ReferenceData!R294C6</stp>
        <stp>Per=CQ</stp>
        <stp>Dts=H</stp>
        <stp>Dir=H</stp>
        <stp>Points=60</stp>
        <stp>Sort=R</stp>
        <stp>Days=A</stp>
        <stp>Fill=B</stp>
        <stp>FX=USD</stp>
        <tr r="F294" s="3"/>
      </tp>
      <tp t="s">
        <v>#N/A Authorization</v>
        <stp/>
        <stp>##V3_BDHV12</stp>
        <stp>CCP US Equity</stp>
        <stp>IS030</stp>
        <stp>-60CQ</stp>
        <stp>2018/3/31</stp>
        <stp>[health reits companies.xlsx]ReferenceData!R261C6</stp>
        <stp>Per=CQ</stp>
        <stp>Dts=H</stp>
        <stp>Dir=H</stp>
        <stp>Points=60</stp>
        <stp>Sort=R</stp>
        <stp>Days=A</stp>
        <stp>Fill=B</stp>
        <stp>FX=USD</stp>
        <tr r="F261" s="3"/>
      </tp>
      <tp t="s">
        <v>#N/A Authorization</v>
        <stp/>
        <stp>##V3_BDHV12</stp>
        <stp>MPW US Equity</stp>
        <stp>IS972</stp>
        <stp>-60CQ</stp>
        <stp>2018/3/31</stp>
        <stp>[health reits companies.xlsx]ReferenceData!R331C6</stp>
        <stp>Per=CQ</stp>
        <stp>Dts=H</stp>
        <stp>Dir=H</stp>
        <stp>Points=60</stp>
        <stp>Sort=R</stp>
        <stp>Days=A</stp>
        <stp>Fill=B</stp>
        <stp>FX=USD</stp>
        <tr r="F331" s="3"/>
      </tp>
      <tp t="s">
        <v>#N/A Authorization</v>
        <stp/>
        <stp>##V3_BDHV12</stp>
        <stp>OHI US Equity</stp>
        <stp>IS972</stp>
        <stp>-60CQ</stp>
        <stp>2018/3/31</stp>
        <stp>[health reits companies.xlsx]ReferenceData!R332C6</stp>
        <stp>Per=CQ</stp>
        <stp>Dts=H</stp>
        <stp>Dir=H</stp>
        <stp>Points=60</stp>
        <stp>Sort=R</stp>
        <stp>Days=A</stp>
        <stp>Fill=B</stp>
        <stp>FX=USD</stp>
        <tr r="F332" s="3"/>
      </tp>
      <tp t="s">
        <v>#N/A Authorization</v>
        <stp/>
        <stp>##V3_BDHV12</stp>
        <stp>SNH US Equity</stp>
        <stp>IS972</stp>
        <stp>-60CQ</stp>
        <stp>2018/3/31</stp>
        <stp>[health reits companies.xlsx]ReferenceData!R334C6</stp>
        <stp>Per=CQ</stp>
        <stp>Dts=H</stp>
        <stp>Dir=H</stp>
        <stp>Points=60</stp>
        <stp>Sort=R</stp>
        <stp>Days=A</stp>
        <stp>Fill=B</stp>
        <stp>FX=USD</stp>
        <tr r="F334" s="3"/>
      </tp>
      <tp t="s">
        <v>#N/A Authorization</v>
        <stp/>
        <stp>##V3_BDHV12</stp>
        <stp>VTR US Equity</stp>
        <stp>IS972</stp>
        <stp>-60CQ</stp>
        <stp>2018/3/31</stp>
        <stp>[health reits companies.xlsx]ReferenceData!R335C6</stp>
        <stp>Per=CQ</stp>
        <stp>Dts=H</stp>
        <stp>Dir=H</stp>
        <stp>Points=60</stp>
        <stp>Sort=R</stp>
        <stp>Days=A</stp>
        <stp>Fill=B</stp>
        <stp>FX=USD</stp>
        <tr r="F335" s="3"/>
      </tp>
      <tp t="s">
        <v>#N/A Authorization</v>
        <stp/>
        <stp>##V3_BDHV12</stp>
        <stp>SNH US Equity</stp>
        <stp>IS030</stp>
        <stp>-60CQ</stp>
        <stp>2018/3/31</stp>
        <stp>[health reits companies.xlsx]ReferenceData!R268C6</stp>
        <stp>Per=CQ</stp>
        <stp>Dts=H</stp>
        <stp>Dir=H</stp>
        <stp>Points=60</stp>
        <stp>Sort=R</stp>
        <stp>Days=A</stp>
        <stp>Fill=B</stp>
        <stp>FX=USD</stp>
        <tr r="F268" s="3"/>
      </tp>
      <tp t="s">
        <v>#N/A Authorization</v>
        <stp/>
        <stp>##V3_BDHV12</stp>
        <stp>SNH US Equity</stp>
        <stp>IS010</stp>
        <stp>-60CQ</stp>
        <stp>2018/3/31</stp>
        <stp>[health reits companies.xlsx]ReferenceData!R301C6</stp>
        <stp>Per=CQ</stp>
        <stp>Dts=H</stp>
        <stp>Dir=H</stp>
        <stp>Points=60</stp>
        <stp>Sort=R</stp>
        <stp>Days=A</stp>
        <stp>Fill=B</stp>
        <stp>FX=USD</stp>
        <tr r="F301" s="3"/>
      </tp>
      <tp t="s">
        <v>#N/A Authorization</v>
        <stp/>
        <stp>##V3_BDHV12</stp>
        <stp>VTR US Equity</stp>
        <stp>IS010</stp>
        <stp>-60CQ</stp>
        <stp>2018/3/31</stp>
        <stp>[health reits companies.xlsx]ReferenceData!R302C6</stp>
        <stp>Per=CQ</stp>
        <stp>Dts=H</stp>
        <stp>Dir=H</stp>
        <stp>Points=60</stp>
        <stp>Sort=R</stp>
        <stp>Days=A</stp>
        <stp>Fill=B</stp>
        <stp>FX=USD</stp>
        <tr r="F302" s="3"/>
      </tp>
      <tp t="s">
        <v>#N/A Authorization</v>
        <stp/>
        <stp>##V3_BDHV12</stp>
        <stp>VTR US Equity</stp>
        <stp>IS030</stp>
        <stp>-60CQ</stp>
        <stp>2018/3/31</stp>
        <stp>[health reits companies.xlsx]ReferenceData!R269C6</stp>
        <stp>Per=CQ</stp>
        <stp>Dts=H</stp>
        <stp>Dir=H</stp>
        <stp>Points=60</stp>
        <stp>Sort=R</stp>
        <stp>Days=A</stp>
        <stp>Fill=B</stp>
        <stp>FX=USD</stp>
        <tr r="F269" s="3"/>
      </tp>
      <tp t="s">
        <v>#N/A Authorization</v>
        <stp/>
        <stp>##V3_BDHV12</stp>
        <stp>HR US Equity</stp>
        <stp>RX225</stp>
        <stp>-60CQ</stp>
        <stp>2018/3/31</stp>
        <stp>[health reits companies.xlsx]ReferenceData!R395C6</stp>
        <stp>Per=CQ</stp>
        <stp>Dts=H</stp>
        <stp>Dir=H</stp>
        <stp>Points=60</stp>
        <stp>Sort=R</stp>
        <stp>Days=A</stp>
        <stp>Fill=B</stp>
        <stp>FX=USD</stp>
        <tr r="F395" s="3"/>
      </tp>
      <tp t="s">
        <v>#N/A Authorization</v>
        <stp/>
        <stp>##V3_BDHV12</stp>
        <stp>HR US Equity</stp>
        <stp>RX902</stp>
        <stp>-60CQ</stp>
        <stp>2018/3/31</stp>
        <stp>[health reits companies.xlsx]ReferenceData!R406C6</stp>
        <stp>Per=CQ</stp>
        <stp>Dts=H</stp>
        <stp>Dir=H</stp>
        <stp>Points=60</stp>
        <stp>Sort=R</stp>
        <stp>Days=A</stp>
        <stp>Fill=B</stp>
        <stp>FX=USD</stp>
        <tr r="F406" s="3"/>
      </tp>
      <tp t="s">
        <v>#N/A Authorization</v>
        <stp/>
        <stp>##V3_BDHV12</stp>
        <stp>SBRA US Equity</stp>
        <stp>CF039</stp>
        <stp>-60CQ</stp>
        <stp>2018/3/31</stp>
        <stp>[health reits companies.xlsx]ReferenceData!R344C6</stp>
        <stp>Per=CQ</stp>
        <stp>Dts=H</stp>
        <stp>Dir=H</stp>
        <stp>Points=60</stp>
        <stp>Sort=R</stp>
        <stp>Days=A</stp>
        <stp>Fill=B</stp>
        <stp>FX=USD</stp>
        <tr r="F344" s="3"/>
      </tp>
      <tp t="s">
        <v>#N/A Authorization</v>
        <stp/>
        <stp>##V3_BDHV12</stp>
        <stp>HTA US Equity</stp>
        <stp>RX225</stp>
        <stp>-60CQ</stp>
        <stp>2018/3/31</stp>
        <stp>[health reits companies.xlsx]ReferenceData!R396C6</stp>
        <stp>Per=CQ</stp>
        <stp>Dts=H</stp>
        <stp>Dir=H</stp>
        <stp>Points=60</stp>
        <stp>Sort=R</stp>
        <stp>Days=A</stp>
        <stp>Fill=B</stp>
        <stp>FX=USD</stp>
        <tr r="F396" s="3"/>
      </tp>
      <tp t="s">
        <v>#N/A Authorization</v>
        <stp/>
        <stp>##V3_BDHV12</stp>
        <stp>HCP US Equity</stp>
        <stp>RX225</stp>
        <stp>-60CQ</stp>
        <stp>2018/3/31</stp>
        <stp>[health reits companies.xlsx]ReferenceData!R394C6</stp>
        <stp>Per=CQ</stp>
        <stp>Dts=H</stp>
        <stp>Dir=H</stp>
        <stp>Points=60</stp>
        <stp>Sort=R</stp>
        <stp>Days=A</stp>
        <stp>Fill=B</stp>
        <stp>FX=USD</stp>
        <tr r="F394" s="3"/>
      </tp>
      <tp t="s">
        <v>#N/A Authorization</v>
        <stp/>
        <stp>##V3_BDHV12</stp>
        <stp>CCP US Equity</stp>
        <stp>RX902</stp>
        <stp>-60CQ</stp>
        <stp>2018/3/31</stp>
        <stp>[health reits companies.xlsx]ReferenceData!R404C6</stp>
        <stp>Per=CQ</stp>
        <stp>Dts=H</stp>
        <stp>Dir=H</stp>
        <stp>Points=60</stp>
        <stp>Sort=R</stp>
        <stp>Days=A</stp>
        <stp>Fill=B</stp>
        <stp>FX=USD</stp>
        <tr r="F404" s="3"/>
      </tp>
      <tp t="s">
        <v>#N/A Authorization</v>
        <stp/>
        <stp>##V3_BDHV12</stp>
        <stp>OHI US Equity</stp>
        <stp>RX225</stp>
        <stp>-60CQ</stp>
        <stp>2018/3/31</stp>
        <stp>[health reits companies.xlsx]ReferenceData!R398C6</stp>
        <stp>Per=CQ</stp>
        <stp>Dts=H</stp>
        <stp>Dir=H</stp>
        <stp>Points=60</stp>
        <stp>Sort=R</stp>
        <stp>Days=A</stp>
        <stp>Fill=B</stp>
        <stp>FX=USD</stp>
        <tr r="F398" s="3"/>
      </tp>
      <tp t="s">
        <v>#N/A Authorization</v>
        <stp/>
        <stp>##V3_BDHV12</stp>
        <stp>HCN US Equity</stp>
        <stp>RX225</stp>
        <stp>-60CQ</stp>
        <stp>2018/3/31</stp>
        <stp>[health reits companies.xlsx]ReferenceData!R402C6</stp>
        <stp>Per=CQ</stp>
        <stp>Dts=H</stp>
        <stp>Dir=H</stp>
        <stp>Points=60</stp>
        <stp>Sort=R</stp>
        <stp>Days=A</stp>
        <stp>Fill=B</stp>
        <stp>FX=USD</stp>
        <tr r="F402" s="3"/>
      </tp>
      <tp t="s">
        <v>#N/A Authorization</v>
        <stp/>
        <stp>##V3_BDHV12</stp>
        <stp>MPW US Equity</stp>
        <stp>RX225</stp>
        <stp>-60CQ</stp>
        <stp>2018/3/31</stp>
        <stp>[health reits companies.xlsx]ReferenceData!R397C6</stp>
        <stp>Per=CQ</stp>
        <stp>Dts=H</stp>
        <stp>Dir=H</stp>
        <stp>Points=60</stp>
        <stp>Sort=R</stp>
        <stp>Days=A</stp>
        <stp>Fill=B</stp>
        <stp>FX=USD</stp>
        <tr r="F397" s="3"/>
      </tp>
      <tp t="s">
        <v>#N/A Authorization</v>
        <stp/>
        <stp>##V3_BDHV12</stp>
        <stp>ARE US Equity</stp>
        <stp>RX902</stp>
        <stp>-60CQ</stp>
        <stp>2018/3/31</stp>
        <stp>[health reits companies.xlsx]ReferenceData!R403C6</stp>
        <stp>Per=CQ</stp>
        <stp>Dts=H</stp>
        <stp>Dir=H</stp>
        <stp>Points=60</stp>
        <stp>Sort=R</stp>
        <stp>Days=A</stp>
        <stp>Fill=B</stp>
        <stp>FX=USD</stp>
        <tr r="F403" s="3"/>
      </tp>
      <tp t="s">
        <v>#N/A Authorization</v>
        <stp/>
        <stp>##V3_BDHV12</stp>
        <stp>CCP US Equity</stp>
        <stp>RX225</stp>
        <stp>-60CQ</stp>
        <stp>2018/3/31</stp>
        <stp>[health reits companies.xlsx]ReferenceData!R393C6</stp>
        <stp>Per=CQ</stp>
        <stp>Dts=H</stp>
        <stp>Dir=H</stp>
        <stp>Points=60</stp>
        <stp>Sort=R</stp>
        <stp>Days=A</stp>
        <stp>Fill=B</stp>
        <stp>FX=USD</stp>
        <tr r="F393" s="3"/>
      </tp>
      <tp t="s">
        <v>#N/A Authorization</v>
        <stp/>
        <stp>##V3_BDHV12</stp>
        <stp>OHI US Equity</stp>
        <stp>RX902</stp>
        <stp>-60CQ</stp>
        <stp>2018/3/31</stp>
        <stp>[health reits companies.xlsx]ReferenceData!R409C6</stp>
        <stp>Per=CQ</stp>
        <stp>Dts=H</stp>
        <stp>Dir=H</stp>
        <stp>Points=60</stp>
        <stp>Sort=R</stp>
        <stp>Days=A</stp>
        <stp>Fill=B</stp>
        <stp>FX=USD</stp>
        <tr r="F409" s="3"/>
      </tp>
      <tp t="s">
        <v>#N/A Authorization</v>
        <stp/>
        <stp>##V3_BDHV12</stp>
        <stp>ARE US Equity</stp>
        <stp>RX225</stp>
        <stp>-60CQ</stp>
        <stp>2018/3/31</stp>
        <stp>[health reits companies.xlsx]ReferenceData!R392C6</stp>
        <stp>Per=CQ</stp>
        <stp>Dts=H</stp>
        <stp>Dir=H</stp>
        <stp>Points=60</stp>
        <stp>Sort=R</stp>
        <stp>Days=A</stp>
        <stp>Fill=B</stp>
        <stp>FX=USD</stp>
        <tr r="F392" s="3"/>
      </tp>
      <tp t="s">
        <v>#N/A Authorization</v>
        <stp/>
        <stp>##V3_BDHV12</stp>
        <stp>MPW US Equity</stp>
        <stp>RX902</stp>
        <stp>-60CQ</stp>
        <stp>2018/3/31</stp>
        <stp>[health reits companies.xlsx]ReferenceData!R408C6</stp>
        <stp>Per=CQ</stp>
        <stp>Dts=H</stp>
        <stp>Dir=H</stp>
        <stp>Points=60</stp>
        <stp>Sort=R</stp>
        <stp>Days=A</stp>
        <stp>Fill=B</stp>
        <stp>FX=USD</stp>
        <tr r="F408" s="3"/>
      </tp>
      <tp t="s">
        <v>#N/A Authorization</v>
        <stp/>
        <stp>##V3_BDHV12</stp>
        <stp>HTA US Equity</stp>
        <stp>RX902</stp>
        <stp>-60CQ</stp>
        <stp>2018/3/31</stp>
        <stp>[health reits companies.xlsx]ReferenceData!R407C6</stp>
        <stp>Per=CQ</stp>
        <stp>Dts=H</stp>
        <stp>Dir=H</stp>
        <stp>Points=60</stp>
        <stp>Sort=R</stp>
        <stp>Days=A</stp>
        <stp>Fill=B</stp>
        <stp>FX=USD</stp>
        <tr r="F407" s="3"/>
      </tp>
      <tp t="s">
        <v>#N/A Authorization</v>
        <stp/>
        <stp>##V3_BDHV12</stp>
        <stp>HCN US Equity</stp>
        <stp>RX902</stp>
        <stp>-60CQ</stp>
        <stp>2018/3/31</stp>
        <stp>[health reits companies.xlsx]ReferenceData!R413C6</stp>
        <stp>Per=CQ</stp>
        <stp>Dts=H</stp>
        <stp>Dir=H</stp>
        <stp>Points=60</stp>
        <stp>Sort=R</stp>
        <stp>Days=A</stp>
        <stp>Fill=B</stp>
        <stp>FX=USD</stp>
        <tr r="F413" s="3"/>
      </tp>
      <tp t="s">
        <v>#N/A Authorization</v>
        <stp/>
        <stp>##V3_BDHV12</stp>
        <stp>HCP US Equity</stp>
        <stp>RX902</stp>
        <stp>-60CQ</stp>
        <stp>2018/3/31</stp>
        <stp>[health reits companies.xlsx]ReferenceData!R405C6</stp>
        <stp>Per=CQ</stp>
        <stp>Dts=H</stp>
        <stp>Dir=H</stp>
        <stp>Points=60</stp>
        <stp>Sort=R</stp>
        <stp>Days=A</stp>
        <stp>Fill=B</stp>
        <stp>FX=USD</stp>
        <tr r="F405" s="3"/>
      </tp>
      <tp t="s">
        <v>#N/A Authorization</v>
        <stp/>
        <stp>##V3_BDHV12</stp>
        <stp>VTR US Equity</stp>
        <stp>RX902</stp>
        <stp>-60CQ</stp>
        <stp>2018/3/31</stp>
        <stp>[health reits companies.xlsx]ReferenceData!R412C6</stp>
        <stp>Per=CQ</stp>
        <stp>Dts=H</stp>
        <stp>Dir=H</stp>
        <stp>Points=60</stp>
        <stp>Sort=R</stp>
        <stp>Days=A</stp>
        <stp>Fill=B</stp>
        <stp>FX=USD</stp>
        <tr r="F412" s="3"/>
      </tp>
      <tp t="s">
        <v>#N/A Authorization</v>
        <stp/>
        <stp>##V3_BDHV12</stp>
        <stp>SNH US Equity</stp>
        <stp>RX902</stp>
        <stp>-60CQ</stp>
        <stp>2018/3/31</stp>
        <stp>[health reits companies.xlsx]ReferenceData!R411C6</stp>
        <stp>Per=CQ</stp>
        <stp>Dts=H</stp>
        <stp>Dir=H</stp>
        <stp>Points=60</stp>
        <stp>Sort=R</stp>
        <stp>Days=A</stp>
        <stp>Fill=B</stp>
        <stp>FX=USD</stp>
        <tr r="F411" s="3"/>
      </tp>
      <tp t="s">
        <v>#N/A Authorization</v>
        <stp/>
        <stp>##V3_BDHV12</stp>
        <stp>VTR US Equity</stp>
        <stp>RX225</stp>
        <stp>-60CQ</stp>
        <stp>2018/3/31</stp>
        <stp>[health reits companies.xlsx]ReferenceData!R401C6</stp>
        <stp>Per=CQ</stp>
        <stp>Dts=H</stp>
        <stp>Dir=H</stp>
        <stp>Points=60</stp>
        <stp>Sort=R</stp>
        <stp>Days=A</stp>
        <stp>Fill=B</stp>
        <stp>FX=USD</stp>
        <tr r="F401" s="3"/>
      </tp>
      <tp t="s">
        <v>#N/A Authorization</v>
        <stp/>
        <stp>##V3_BDHV12</stp>
        <stp>SNH US Equity</stp>
        <stp>RX225</stp>
        <stp>-60CQ</stp>
        <stp>2018/3/31</stp>
        <stp>[health reits companies.xlsx]ReferenceData!R400C6</stp>
        <stp>Per=CQ</stp>
        <stp>Dts=H</stp>
        <stp>Dir=H</stp>
        <stp>Points=60</stp>
        <stp>Sort=R</stp>
        <stp>Days=A</stp>
        <stp>Fill=B</stp>
        <stp>FX=USD</stp>
        <tr r="F400" s="3"/>
      </tp>
      <tp t="s">
        <v>#N/A Authorization</v>
        <stp/>
        <stp>##V3_BDHV12</stp>
        <stp>HTA US Equity</stp>
        <stp>CF039</stp>
        <stp>-60CQ</stp>
        <stp>2018/3/31</stp>
        <stp>[health reits companies.xlsx]ReferenceData!R341C6</stp>
        <stp>Per=CQ</stp>
        <stp>Dts=H</stp>
        <stp>Dir=H</stp>
        <stp>Points=60</stp>
        <stp>Sort=R</stp>
        <stp>Days=A</stp>
        <stp>Fill=B</stp>
        <stp>FX=USD</stp>
        <tr r="F341" s="3"/>
      </tp>
      <tp t="s">
        <v>#N/A Authorization</v>
        <stp/>
        <stp>##V3_BDHV12</stp>
        <stp>HCN US Equity</stp>
        <stp>CF039</stp>
        <stp>-60CQ</stp>
        <stp>2018/3/31</stp>
        <stp>[health reits companies.xlsx]ReferenceData!R347C6</stp>
        <stp>Per=CQ</stp>
        <stp>Dts=H</stp>
        <stp>Dir=H</stp>
        <stp>Points=60</stp>
        <stp>Sort=R</stp>
        <stp>Days=A</stp>
        <stp>Fill=B</stp>
        <stp>FX=USD</stp>
        <tr r="F347" s="3"/>
      </tp>
      <tp t="s">
        <v>#N/A Authorization</v>
        <stp/>
        <stp>##V3_BDHV12</stp>
        <stp>HCP US Equity</stp>
        <stp>CF039</stp>
        <stp>-60CQ</stp>
        <stp>2018/3/31</stp>
        <stp>[health reits companies.xlsx]ReferenceData!R339C6</stp>
        <stp>Per=CQ</stp>
        <stp>Dts=H</stp>
        <stp>Dir=H</stp>
        <stp>Points=60</stp>
        <stp>Sort=R</stp>
        <stp>Days=A</stp>
        <stp>Fill=B</stp>
        <stp>FX=USD</stp>
        <tr r="F339" s="3"/>
      </tp>
      <tp t="s">
        <v>#N/A Authorization</v>
        <stp/>
        <stp>##V3_BDHV12</stp>
        <stp>MPW US Equity</stp>
        <stp>CF039</stp>
        <stp>-60CQ</stp>
        <stp>2018/3/31</stp>
        <stp>[health reits companies.xlsx]ReferenceData!R342C6</stp>
        <stp>Per=CQ</stp>
        <stp>Dts=H</stp>
        <stp>Dir=H</stp>
        <stp>Points=60</stp>
        <stp>Sort=R</stp>
        <stp>Days=A</stp>
        <stp>Fill=B</stp>
        <stp>FX=USD</stp>
        <tr r="F342" s="3"/>
      </tp>
      <tp t="s">
        <v>#N/A Authorization</v>
        <stp/>
        <stp>##V3_BDHV12</stp>
        <stp>OHI US Equity</stp>
        <stp>CF039</stp>
        <stp>-60CQ</stp>
        <stp>2018/3/31</stp>
        <stp>[health reits companies.xlsx]ReferenceData!R343C6</stp>
        <stp>Per=CQ</stp>
        <stp>Dts=H</stp>
        <stp>Dir=H</stp>
        <stp>Points=60</stp>
        <stp>Sort=R</stp>
        <stp>Days=A</stp>
        <stp>Fill=B</stp>
        <stp>FX=USD</stp>
        <tr r="F343" s="3"/>
      </tp>
      <tp t="s">
        <v>#N/A Authorization</v>
        <stp/>
        <stp>##V3_BDHV12</stp>
        <stp>ARE US Equity</stp>
        <stp>CF039</stp>
        <stp>-60CQ</stp>
        <stp>2018/3/31</stp>
        <stp>[health reits companies.xlsx]ReferenceData!R337C6</stp>
        <stp>Per=CQ</stp>
        <stp>Dts=H</stp>
        <stp>Dir=H</stp>
        <stp>Points=60</stp>
        <stp>Sort=R</stp>
        <stp>Days=A</stp>
        <stp>Fill=B</stp>
        <stp>FX=USD</stp>
        <tr r="F337" s="3"/>
      </tp>
      <tp t="s">
        <v>#N/A Authorization</v>
        <stp/>
        <stp>##V3_BDHV12</stp>
        <stp>CCP US Equity</stp>
        <stp>CF039</stp>
        <stp>-60CQ</stp>
        <stp>2018/3/31</stp>
        <stp>[health reits companies.xlsx]ReferenceData!R338C6</stp>
        <stp>Per=CQ</stp>
        <stp>Dts=H</stp>
        <stp>Dir=H</stp>
        <stp>Points=60</stp>
        <stp>Sort=R</stp>
        <stp>Days=A</stp>
        <stp>Fill=B</stp>
        <stp>FX=USD</stp>
        <tr r="F338" s="3"/>
      </tp>
      <tp t="s">
        <v>#N/A Authorization</v>
        <stp/>
        <stp>##V3_BDHV12</stp>
        <stp>SNH US Equity</stp>
        <stp>CF039</stp>
        <stp>-60CQ</stp>
        <stp>2018/3/31</stp>
        <stp>[health reits companies.xlsx]ReferenceData!R345C6</stp>
        <stp>Per=CQ</stp>
        <stp>Dts=H</stp>
        <stp>Dir=H</stp>
        <stp>Points=60</stp>
        <stp>Sort=R</stp>
        <stp>Days=A</stp>
        <stp>Fill=B</stp>
        <stp>FX=USD</stp>
        <tr r="F345" s="3"/>
      </tp>
      <tp t="s">
        <v>#N/A Authorization</v>
        <stp/>
        <stp>##V3_BDHV12</stp>
        <stp>VTR US Equity</stp>
        <stp>CF039</stp>
        <stp>-60CQ</stp>
        <stp>2018/3/31</stp>
        <stp>[health reits companies.xlsx]ReferenceData!R346C6</stp>
        <stp>Per=CQ</stp>
        <stp>Dts=H</stp>
        <stp>Dir=H</stp>
        <stp>Points=60</stp>
        <stp>Sort=R</stp>
        <stp>Days=A</stp>
        <stp>Fill=B</stp>
        <stp>FX=USD</stp>
        <tr r="F346" s="3"/>
      </tp>
      <tp t="s">
        <v>#N/A Authorization</v>
        <stp/>
        <stp>##V3_BDHV12</stp>
        <stp>SBRA US Equity</stp>
        <stp>RX902</stp>
        <stp>-60CQ</stp>
        <stp>2018/3/31</stp>
        <stp>[health reits companies.xlsx]ReferenceData!R410C6</stp>
        <stp>Per=CQ</stp>
        <stp>Dts=H</stp>
        <stp>Dir=H</stp>
        <stp>Points=60</stp>
        <stp>Sort=R</stp>
        <stp>Days=A</stp>
        <stp>Fill=B</stp>
        <stp>FX=USD</stp>
        <tr r="F410" s="3"/>
      </tp>
      <tp t="s">
        <v>#N/A Authorization</v>
        <stp/>
        <stp>##V3_BDHV12</stp>
        <stp>SBRA US Equity</stp>
        <stp>RX225</stp>
        <stp>-60CQ</stp>
        <stp>2018/3/31</stp>
        <stp>[health reits companies.xlsx]ReferenceData!R399C6</stp>
        <stp>Per=CQ</stp>
        <stp>Dts=H</stp>
        <stp>Dir=H</stp>
        <stp>Points=60</stp>
        <stp>Sort=R</stp>
        <stp>Days=A</stp>
        <stp>Fill=B</stp>
        <stp>FX=USD</stp>
        <tr r="F399" s="3"/>
      </tp>
      <tp t="s">
        <v>#N/A Authorization</v>
        <stp/>
        <stp>##V3_BDHV12</stp>
        <stp>HR US Equity</stp>
        <stp>CF039</stp>
        <stp>-60CQ</stp>
        <stp>2018/3/31</stp>
        <stp>[health reits companies.xlsx]ReferenceData!R340C6</stp>
        <stp>Per=CQ</stp>
        <stp>Dts=H</stp>
        <stp>Dir=H</stp>
        <stp>Points=60</stp>
        <stp>Sort=R</stp>
        <stp>Days=A</stp>
        <stp>Fill=B</stp>
        <stp>FX=USD</stp>
        <tr r="F340" s="3"/>
      </tp>
      <tp t="s">
        <v>#N/A Authorization</v>
        <stp/>
        <stp>##V3_BDHV12</stp>
        <stp>HTA US Equity</stp>
        <stp>IM275</stp>
        <stp>-60CQ</stp>
        <stp>2018/3/31</stp>
        <stp>[health reits companies.xlsx]ReferenceData!R275C6</stp>
        <stp>Per=CQ</stp>
        <stp>Dts=H</stp>
        <stp>Dir=H</stp>
        <stp>Points=60</stp>
        <stp>Sort=R</stp>
        <stp>Days=A</stp>
        <stp>Fill=B</stp>
        <stp>FX=USD</stp>
        <tr r="F275" s="3"/>
      </tp>
      <tp t="s">
        <v>#N/A Authorization</v>
        <stp/>
        <stp>##V3_BDHV12</stp>
        <stp>HTA US Equity</stp>
        <stp>IM281</stp>
        <stp>-60CQ</stp>
        <stp>2018/3/31</stp>
        <stp>[health reits companies.xlsx]ReferenceData!R286C6</stp>
        <stp>Per=CQ</stp>
        <stp>Dts=H</stp>
        <stp>Dir=H</stp>
        <stp>Points=60</stp>
        <stp>Sort=R</stp>
        <stp>Days=A</stp>
        <stp>Fill=B</stp>
        <stp>FX=USD</stp>
        <tr r="F286" s="3"/>
      </tp>
      <tp t="s">
        <v>#N/A Authorization</v>
        <stp/>
        <stp>##V3_BDHV12</stp>
        <stp>HCN US Equity</stp>
        <stp>IM275</stp>
        <stp>-60CQ</stp>
        <stp>2018/3/31</stp>
        <stp>[health reits companies.xlsx]ReferenceData!R281C6</stp>
        <stp>Per=CQ</stp>
        <stp>Dts=H</stp>
        <stp>Dir=H</stp>
        <stp>Points=60</stp>
        <stp>Sort=R</stp>
        <stp>Days=A</stp>
        <stp>Fill=B</stp>
        <stp>FX=USD</stp>
        <tr r="F281" s="3"/>
      </tp>
      <tp t="s">
        <v>#N/A Authorization</v>
        <stp/>
        <stp>##V3_BDHV12</stp>
        <stp>HCN US Equity</stp>
        <stp>IM281</stp>
        <stp>-60CQ</stp>
        <stp>2018/3/31</stp>
        <stp>[health reits companies.xlsx]ReferenceData!R292C6</stp>
        <stp>Per=CQ</stp>
        <stp>Dts=H</stp>
        <stp>Dir=H</stp>
        <stp>Points=60</stp>
        <stp>Sort=R</stp>
        <stp>Days=A</stp>
        <stp>Fill=B</stp>
        <stp>FX=USD</stp>
        <tr r="F292" s="3"/>
      </tp>
      <tp t="s">
        <v>#N/A Authorization</v>
        <stp/>
        <stp>##V3_BDHV12</stp>
        <stp>HCP US Equity</stp>
        <stp>IM281</stp>
        <stp>-60CQ</stp>
        <stp>2018/3/31</stp>
        <stp>[health reits companies.xlsx]ReferenceData!R284C6</stp>
        <stp>Per=CQ</stp>
        <stp>Dts=H</stp>
        <stp>Dir=H</stp>
        <stp>Points=60</stp>
        <stp>Sort=R</stp>
        <stp>Days=A</stp>
        <stp>Fill=B</stp>
        <stp>FX=USD</stp>
        <tr r="F284" s="3"/>
      </tp>
      <tp t="s">
        <v>#N/A Authorization</v>
        <stp/>
        <stp>##V3_BDHV12</stp>
        <stp>HCP US Equity</stp>
        <stp>IM275</stp>
        <stp>-60CQ</stp>
        <stp>2018/3/31</stp>
        <stp>[health reits companies.xlsx]ReferenceData!R273C6</stp>
        <stp>Per=CQ</stp>
        <stp>Dts=H</stp>
        <stp>Dir=H</stp>
        <stp>Points=60</stp>
        <stp>Sort=R</stp>
        <stp>Days=A</stp>
        <stp>Fill=B</stp>
        <stp>FX=USD</stp>
        <tr r="F273" s="3"/>
      </tp>
      <tp t="s">
        <v>#N/A Authorization</v>
        <stp/>
        <stp>##V3_BDHV12</stp>
        <stp>OHI US Equity</stp>
        <stp>IM281</stp>
        <stp>-60CQ</stp>
        <stp>2018/3/31</stp>
        <stp>[health reits companies.xlsx]ReferenceData!R288C6</stp>
        <stp>Per=CQ</stp>
        <stp>Dts=H</stp>
        <stp>Dir=H</stp>
        <stp>Points=60</stp>
        <stp>Sort=R</stp>
        <stp>Days=A</stp>
        <stp>Fill=B</stp>
        <stp>FX=USD</stp>
        <tr r="F288" s="3"/>
      </tp>
      <tp t="s">
        <v>#N/A Authorization</v>
        <stp/>
        <stp>##V3_BDHV12</stp>
        <stp>OHI US Equity</stp>
        <stp>IM275</stp>
        <stp>-60CQ</stp>
        <stp>2018/3/31</stp>
        <stp>[health reits companies.xlsx]ReferenceData!R277C6</stp>
        <stp>Per=CQ</stp>
        <stp>Dts=H</stp>
        <stp>Dir=H</stp>
        <stp>Points=60</stp>
        <stp>Sort=R</stp>
        <stp>Days=A</stp>
        <stp>Fill=B</stp>
        <stp>FX=USD</stp>
        <tr r="F277" s="3"/>
      </tp>
      <tp t="s">
        <v>#N/A Authorization</v>
        <stp/>
        <stp>##V3_BDHV12</stp>
        <stp>MPW US Equity</stp>
        <stp>IM281</stp>
        <stp>-60CQ</stp>
        <stp>2018/3/31</stp>
        <stp>[health reits companies.xlsx]ReferenceData!R287C6</stp>
        <stp>Per=CQ</stp>
        <stp>Dts=H</stp>
        <stp>Dir=H</stp>
        <stp>Points=60</stp>
        <stp>Sort=R</stp>
        <stp>Days=A</stp>
        <stp>Fill=B</stp>
        <stp>FX=USD</stp>
        <tr r="F287" s="3"/>
      </tp>
      <tp t="s">
        <v>#N/A Authorization</v>
        <stp/>
        <stp>##V3_BDHV12</stp>
        <stp>MPW US Equity</stp>
        <stp>IM275</stp>
        <stp>-60CQ</stp>
        <stp>2018/3/31</stp>
        <stp>[health reits companies.xlsx]ReferenceData!R276C6</stp>
        <stp>Per=CQ</stp>
        <stp>Dts=H</stp>
        <stp>Dir=H</stp>
        <stp>Points=60</stp>
        <stp>Sort=R</stp>
        <stp>Days=A</stp>
        <stp>Fill=B</stp>
        <stp>FX=USD</stp>
        <tr r="F276" s="3"/>
      </tp>
      <tp t="s">
        <v>#N/A Authorization</v>
        <stp/>
        <stp>##V3_BDHV12</stp>
        <stp>CCP US Equity</stp>
        <stp>IM281</stp>
        <stp>-60CQ</stp>
        <stp>2018/3/31</stp>
        <stp>[health reits companies.xlsx]ReferenceData!R283C6</stp>
        <stp>Per=CQ</stp>
        <stp>Dts=H</stp>
        <stp>Dir=H</stp>
        <stp>Points=60</stp>
        <stp>Sort=R</stp>
        <stp>Days=A</stp>
        <stp>Fill=B</stp>
        <stp>FX=USD</stp>
        <tr r="F283" s="3"/>
      </tp>
      <tp t="s">
        <v>#N/A Authorization</v>
        <stp/>
        <stp>##V3_BDHV12</stp>
        <stp>CCP US Equity</stp>
        <stp>IM275</stp>
        <stp>-60CQ</stp>
        <stp>2018/3/31</stp>
        <stp>[health reits companies.xlsx]ReferenceData!R272C6</stp>
        <stp>Per=CQ</stp>
        <stp>Dts=H</stp>
        <stp>Dir=H</stp>
        <stp>Points=60</stp>
        <stp>Sort=R</stp>
        <stp>Days=A</stp>
        <stp>Fill=B</stp>
        <stp>FX=USD</stp>
        <tr r="F272" s="3"/>
      </tp>
      <tp t="s">
        <v>#N/A Authorization</v>
        <stp/>
        <stp>##V3_BDHV12</stp>
        <stp>ARE US Equity</stp>
        <stp>IM275</stp>
        <stp>-60CQ</stp>
        <stp>2018/3/31</stp>
        <stp>[health reits companies.xlsx]ReferenceData!R271C6</stp>
        <stp>Per=CQ</stp>
        <stp>Dts=H</stp>
        <stp>Dir=H</stp>
        <stp>Points=60</stp>
        <stp>Sort=R</stp>
        <stp>Days=A</stp>
        <stp>Fill=B</stp>
        <stp>FX=USD</stp>
        <tr r="F271" s="3"/>
      </tp>
      <tp t="s">
        <v>#N/A Authorization</v>
        <stp/>
        <stp>##V3_BDHV12</stp>
        <stp>ARE US Equity</stp>
        <stp>IM281</stp>
        <stp>-60CQ</stp>
        <stp>2018/3/31</stp>
        <stp>[health reits companies.xlsx]ReferenceData!R282C6</stp>
        <stp>Per=CQ</stp>
        <stp>Dts=H</stp>
        <stp>Dir=H</stp>
        <stp>Points=60</stp>
        <stp>Sort=R</stp>
        <stp>Days=A</stp>
        <stp>Fill=B</stp>
        <stp>FX=USD</stp>
        <tr r="F282" s="3"/>
      </tp>
      <tp t="s">
        <v>#N/A Authorization</v>
        <stp/>
        <stp>##V3_BDHV12</stp>
        <stp>SNH US Equity</stp>
        <stp>IM275</stp>
        <stp>-60CQ</stp>
        <stp>2018/3/31</stp>
        <stp>[health reits companies.xlsx]ReferenceData!R279C6</stp>
        <stp>Per=CQ</stp>
        <stp>Dts=H</stp>
        <stp>Dir=H</stp>
        <stp>Points=60</stp>
        <stp>Sort=R</stp>
        <stp>Days=A</stp>
        <stp>Fill=B</stp>
        <stp>FX=USD</stp>
        <tr r="F279" s="3"/>
      </tp>
      <tp t="s">
        <v>#N/A Authorization</v>
        <stp/>
        <stp>##V3_BDHV12</stp>
        <stp>SNH US Equity</stp>
        <stp>IM281</stp>
        <stp>-60CQ</stp>
        <stp>2018/3/31</stp>
        <stp>[health reits companies.xlsx]ReferenceData!R290C6</stp>
        <stp>Per=CQ</stp>
        <stp>Dts=H</stp>
        <stp>Dir=H</stp>
        <stp>Points=60</stp>
        <stp>Sort=R</stp>
        <stp>Days=A</stp>
        <stp>Fill=B</stp>
        <stp>FX=USD</stp>
        <tr r="F290" s="3"/>
      </tp>
      <tp t="s">
        <v>#N/A Authorization</v>
        <stp/>
        <stp>##V3_BDHV12</stp>
        <stp>VTR US Equity</stp>
        <stp>IM275</stp>
        <stp>-60CQ</stp>
        <stp>2018/3/31</stp>
        <stp>[health reits companies.xlsx]ReferenceData!R280C6</stp>
        <stp>Per=CQ</stp>
        <stp>Dts=H</stp>
        <stp>Dir=H</stp>
        <stp>Points=60</stp>
        <stp>Sort=R</stp>
        <stp>Days=A</stp>
        <stp>Fill=B</stp>
        <stp>FX=USD</stp>
        <tr r="F280" s="3"/>
      </tp>
      <tp t="s">
        <v>#N/A Authorization</v>
        <stp/>
        <stp>##V3_BDHV12</stp>
        <stp>VTR US Equity</stp>
        <stp>IM281</stp>
        <stp>-60CQ</stp>
        <stp>2018/3/31</stp>
        <stp>[health reits companies.xlsx]ReferenceData!R291C6</stp>
        <stp>Per=CQ</stp>
        <stp>Dts=H</stp>
        <stp>Dir=H</stp>
        <stp>Points=60</stp>
        <stp>Sort=R</stp>
        <stp>Days=A</stp>
        <stp>Fill=B</stp>
        <stp>FX=USD</stp>
        <tr r="F291" s="3"/>
      </tp>
      <tp t="s">
        <v>#N/A Authorization</v>
        <stp/>
        <stp>##V3_BDHV12</stp>
        <stp>HR US Equity</stp>
        <stp>IM281</stp>
        <stp>-60CQ</stp>
        <stp>2018/3/31</stp>
        <stp>[health reits companies.xlsx]ReferenceData!R285C6</stp>
        <stp>Per=CQ</stp>
        <stp>Dts=H</stp>
        <stp>Dir=H</stp>
        <stp>Points=60</stp>
        <stp>Sort=R</stp>
        <stp>Days=A</stp>
        <stp>Fill=B</stp>
        <stp>FX=USD</stp>
        <tr r="F285" s="3"/>
      </tp>
      <tp t="s">
        <v>#N/A Authorization</v>
        <stp/>
        <stp>##V3_BDHV12</stp>
        <stp>HR US Equity</stp>
        <stp>IM275</stp>
        <stp>-60CQ</stp>
        <stp>2018/3/31</stp>
        <stp>[health reits companies.xlsx]ReferenceData!R274C6</stp>
        <stp>Per=CQ</stp>
        <stp>Dts=H</stp>
        <stp>Dir=H</stp>
        <stp>Points=60</stp>
        <stp>Sort=R</stp>
        <stp>Days=A</stp>
        <stp>Fill=B</stp>
        <stp>FX=USD</stp>
        <tr r="F274" s="3"/>
      </tp>
      <tp t="s">
        <v>#N/A Authorization</v>
        <stp/>
        <stp>##V3_BDHV12</stp>
        <stp>SBRA US Equity</stp>
        <stp>RR009</stp>
        <stp>-60CQ</stp>
        <stp>2018/3/31</stp>
        <stp>[health reits companies.xlsx]ReferenceData!R322C6</stp>
        <stp>Per=CQ</stp>
        <stp>Dts=H</stp>
        <stp>Dir=H</stp>
        <stp>Points=60</stp>
        <stp>Sort=R</stp>
        <stp>Days=A</stp>
        <stp>Fill=B</stp>
        <stp>FX=USD</stp>
        <tr r="F322" s="3"/>
      </tp>
      <tp t="s">
        <v>#N/A Authorization</v>
        <stp/>
        <stp>##V3_BDHV12</stp>
        <stp>SBRA US Equity</stp>
        <stp>RR033</stp>
        <stp>-60CQ</stp>
        <stp>2018/3/31</stp>
        <stp>[health reits companies.xlsx]ReferenceData!R366C6</stp>
        <stp>Per=CQ</stp>
        <stp>Dts=H</stp>
        <stp>Dir=H</stp>
        <stp>Points=60</stp>
        <stp>Sort=R</stp>
        <stp>Days=A</stp>
        <stp>Fill=B</stp>
        <stp>FX=USD</stp>
        <tr r="F366" s="3"/>
      </tp>
      <tp t="s">
        <v>#N/A Authorization</v>
        <stp/>
        <stp>##V3_BDHV12</stp>
        <stp>SBRA US Equity</stp>
        <stp>RR554</stp>
        <stp>-60CQ</stp>
        <stp>2018/3/31</stp>
        <stp>[health reits companies.xlsx]ReferenceData!R432C6</stp>
        <stp>Per=CQ</stp>
        <stp>Dts=H</stp>
        <stp>Dir=H</stp>
        <stp>Points=60</stp>
        <stp>Sort=R</stp>
        <stp>Days=A</stp>
        <stp>Fill=B</stp>
        <stp>FX=USD</stp>
        <tr r="F432" s="3"/>
      </tp>
      <tp t="s">
        <v>#N/A Authorization</v>
        <stp/>
        <stp>##V3_BDHV12</stp>
        <stp>SBRA US Equity</stp>
        <stp>RR553</stp>
        <stp>-60CQ</stp>
        <stp>2018/3/31</stp>
        <stp>[health reits companies.xlsx]ReferenceData!R421C6</stp>
        <stp>Per=CQ</stp>
        <stp>Dts=H</stp>
        <stp>Dir=H</stp>
        <stp>Points=60</stp>
        <stp>Sort=R</stp>
        <stp>Days=A</stp>
        <stp>Fill=B</stp>
        <stp>FX=USD</stp>
        <tr r="F421" s="3"/>
      </tp>
      <tp t="s">
        <v>#N/A Authorization</v>
        <stp/>
        <stp>##V3_BDHV12</stp>
        <stp>SBRA US Equity</stp>
        <stp>RR253</stp>
        <stp>-60CQ</stp>
        <stp>2018/3/31</stp>
        <stp>[health reits companies.xlsx]ReferenceData!R454C6</stp>
        <stp>Per=CQ</stp>
        <stp>Dts=H</stp>
        <stp>Dir=H</stp>
        <stp>Points=60</stp>
        <stp>Sort=R</stp>
        <stp>Days=A</stp>
        <stp>Fill=B</stp>
        <stp>FX=USD</stp>
        <tr r="F454" s="3"/>
      </tp>
      <tp t="s">
        <v>#N/A Authorization</v>
        <stp/>
        <stp>##V3_BDHV12</stp>
        <stp>SBRA US Equity</stp>
        <stp>RR502</stp>
        <stp>-60CQ</stp>
        <stp>2018/3/31</stp>
        <stp>[health reits companies.xlsx]ReferenceData!R311C6</stp>
        <stp>Per=CQ</stp>
        <stp>Dts=H</stp>
        <stp>Dir=H</stp>
        <stp>Points=60</stp>
        <stp>Sort=R</stp>
        <stp>Days=A</stp>
        <stp>Fill=B</stp>
        <stp>FX=USD</stp>
        <tr r="F311" s="3"/>
      </tp>
      <tp t="s">
        <v>#N/A Authorization</v>
        <stp/>
        <stp>##V3_BDHV12</stp>
        <stp>SBRA US Equity</stp>
        <stp>RR551</stp>
        <stp>-60CQ</stp>
        <stp>2018/3/31</stp>
        <stp>[health reits companies.xlsx]ReferenceData!R377C6</stp>
        <stp>Per=CQ</stp>
        <stp>Dts=H</stp>
        <stp>Dir=H</stp>
        <stp>Points=60</stp>
        <stp>Sort=R</stp>
        <stp>Days=A</stp>
        <stp>Fill=B</stp>
        <stp>FX=USD</stp>
        <tr r="F377" s="3"/>
      </tp>
      <tp t="s">
        <v>#N/A Authorization</v>
        <stp/>
        <stp>##V3_BDHV12</stp>
        <stp>SBRA US Equity</stp>
        <stp>RR106</stp>
        <stp>-60CQ</stp>
        <stp>2018/3/31</stp>
        <stp>[health reits companies.xlsx]ReferenceData!R476C6</stp>
        <stp>Per=CQ</stp>
        <stp>Dts=H</stp>
        <stp>Dir=H</stp>
        <stp>Points=60</stp>
        <stp>Sort=R</stp>
        <stp>Days=A</stp>
        <stp>Fill=B</stp>
        <stp>FX=USD</stp>
        <tr r="F476" s="3"/>
      </tp>
      <tp t="s">
        <v>#N/A Authorization</v>
        <stp/>
        <stp>##V3_BDHV12</stp>
        <stp>SBRA US Equity</stp>
        <stp>RR052</stp>
        <stp>-60CQ</stp>
        <stp>2018/3/31</stp>
        <stp>[health reits companies.xlsx]ReferenceData!R443C6</stp>
        <stp>Per=CQ</stp>
        <stp>Dts=H</stp>
        <stp>Dir=H</stp>
        <stp>Points=60</stp>
        <stp>Sort=R</stp>
        <stp>Days=A</stp>
        <stp>Fill=B</stp>
        <stp>FX=USD</stp>
        <tr r="F443" s="3"/>
      </tp>
      <tp t="s">
        <v>#N/A Authorization</v>
        <stp/>
        <stp>##V3_BDHV12</stp>
        <stp>SBRA US Equity</stp>
        <stp>RR008</stp>
        <stp>-60CQ</stp>
        <stp>2018/3/31</stp>
        <stp>[health reits companies.xlsx]ReferenceData!R465C6</stp>
        <stp>Per=CQ</stp>
        <stp>Dts=H</stp>
        <stp>Dir=H</stp>
        <stp>Points=60</stp>
        <stp>Sort=R</stp>
        <stp>Days=A</stp>
        <stp>Fill=B</stp>
        <stp>FX=USD</stp>
        <tr r="F465" s="3"/>
      </tp>
      <tp t="s">
        <v>#N/A Authorization</v>
        <stp/>
        <stp>##V3_BDHV12</stp>
        <stp>SBRA US Equity</stp>
        <stp>IS972</stp>
        <stp>-60CQ</stp>
        <stp>2018/3/31</stp>
        <stp>[health reits companies.xlsx]ReferenceData!R333C6</stp>
        <stp>Per=CQ</stp>
        <stp>Dts=H</stp>
        <stp>Dir=H</stp>
        <stp>Points=60</stp>
        <stp>Sort=R</stp>
        <stp>Days=A</stp>
        <stp>Fill=B</stp>
        <stp>FX=USD</stp>
        <tr r="F333" s="3"/>
      </tp>
      <tp t="s">
        <v>#N/A Authorization</v>
        <stp/>
        <stp>##V3_BDHV12</stp>
        <stp>SBRA US Equity</stp>
        <stp>IS010</stp>
        <stp>-60CQ</stp>
        <stp>2018/3/31</stp>
        <stp>[health reits companies.xlsx]ReferenceData!R300C6</stp>
        <stp>Per=CQ</stp>
        <stp>Dts=H</stp>
        <stp>Dir=H</stp>
        <stp>Points=60</stp>
        <stp>Sort=R</stp>
        <stp>Days=A</stp>
        <stp>Fill=B</stp>
        <stp>FX=USD</stp>
        <tr r="F300" s="3"/>
      </tp>
      <tp t="s">
        <v>#N/A Authorization</v>
        <stp/>
        <stp>##V3_BDHV12</stp>
        <stp>SBRA US Equity</stp>
        <stp>IS030</stp>
        <stp>-60CQ</stp>
        <stp>2018/3/31</stp>
        <stp>[health reits companies.xlsx]ReferenceData!R267C6</stp>
        <stp>Per=CQ</stp>
        <stp>Dts=H</stp>
        <stp>Dir=H</stp>
        <stp>Points=60</stp>
        <stp>Sort=R</stp>
        <stp>Days=A</stp>
        <stp>Fill=B</stp>
        <stp>FX=USD</stp>
        <tr r="F26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42"/>
  <sheetViews>
    <sheetView tabSelected="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2018 Q1</v>
      </c>
      <c r="G2" t="str">
        <f>IFERROR(IF(0=LEN(ReferenceData!$G$2),"",ReferenceData!$G$2),"")</f>
        <v>2017 Q4</v>
      </c>
      <c r="H2" t="str">
        <f>IFERROR(IF(0=LEN(ReferenceData!$H$2),"",ReferenceData!$H$2),"")</f>
        <v>2017 Q3</v>
      </c>
      <c r="I2" t="str">
        <f>IFERROR(IF(0=LEN(ReferenceData!$I$2),"",ReferenceData!$I$2),"")</f>
        <v>2017 Q2</v>
      </c>
      <c r="J2" t="str">
        <f>IFERROR(IF(0=LEN(ReferenceData!$J$2),"",ReferenceData!$J$2),"")</f>
        <v>2017 Q1</v>
      </c>
      <c r="K2" t="str">
        <f>IFERROR(IF(0=LEN(ReferenceData!$K$2),"",ReferenceData!$K$2),"")</f>
        <v>2016 Q4</v>
      </c>
      <c r="L2" t="str">
        <f>IFERROR(IF(0=LEN(ReferenceData!$L$2),"",ReferenceData!$L$2),"")</f>
        <v>2016 Q3</v>
      </c>
      <c r="M2" t="str">
        <f>IFERROR(IF(0=LEN(ReferenceData!$M$2),"",ReferenceData!$M$2),"")</f>
        <v>2016 Q2</v>
      </c>
      <c r="N2" t="str">
        <f>IFERROR(IF(0=LEN(ReferenceData!$N$2),"",ReferenceData!$N$2),"")</f>
        <v>2016 Q1</v>
      </c>
      <c r="O2" t="str">
        <f>IFERROR(IF(0=LEN(ReferenceData!$O$2),"",ReferenceData!$O$2),"")</f>
        <v>2015 Q4</v>
      </c>
      <c r="P2" t="str">
        <f>IFERROR(IF(0=LEN(ReferenceData!$P$2),"",ReferenceData!$P$2),"")</f>
        <v>2015 Q3</v>
      </c>
      <c r="Q2" t="str">
        <f>IFERROR(IF(0=LEN(ReferenceData!$Q$2),"",ReferenceData!$Q$2),"")</f>
        <v>2015 Q2</v>
      </c>
      <c r="R2" t="str">
        <f>IFERROR(IF(0=LEN(ReferenceData!$R$2),"",ReferenceData!$R$2),"")</f>
        <v>2015 Q1</v>
      </c>
      <c r="S2" t="str">
        <f>IFERROR(IF(0=LEN(ReferenceData!$S$2),"",ReferenceData!$S$2),"")</f>
        <v>2014 Q4</v>
      </c>
      <c r="T2" t="str">
        <f>IFERROR(IF(0=LEN(ReferenceData!$T$2),"",ReferenceData!$T$2),"")</f>
        <v>2014 Q3</v>
      </c>
      <c r="U2" t="str">
        <f>IFERROR(IF(0=LEN(ReferenceData!$U$2),"",ReferenceData!$U$2),"")</f>
        <v>2014 Q2</v>
      </c>
      <c r="V2" t="str">
        <f>IFERROR(IF(0=LEN(ReferenceData!$V$2),"",ReferenceData!$V$2),"")</f>
        <v>2014 Q1</v>
      </c>
      <c r="W2" t="str">
        <f>IFERROR(IF(0=LEN(ReferenceData!$W$2),"",ReferenceData!$W$2),"")</f>
        <v>2013 Q4</v>
      </c>
      <c r="X2" t="str">
        <f>IFERROR(IF(0=LEN(ReferenceData!$X$2),"",ReferenceData!$X$2),"")</f>
        <v>2013 Q3</v>
      </c>
      <c r="Y2" t="str">
        <f>IFERROR(IF(0=LEN(ReferenceData!$Y$2),"",ReferenceData!$Y$2),"")</f>
        <v>2013 Q2</v>
      </c>
      <c r="Z2" t="str">
        <f>IFERROR(IF(0=LEN(ReferenceData!$Z$2),"",ReferenceData!$Z$2),"")</f>
        <v>2013 Q1</v>
      </c>
      <c r="AA2" t="str">
        <f>IFERROR(IF(0=LEN(ReferenceData!$AA$2),"",ReferenceData!$AA$2),"")</f>
        <v>2012 Q4</v>
      </c>
      <c r="AB2" t="str">
        <f>IFERROR(IF(0=LEN(ReferenceData!$AB$2),"",ReferenceData!$AB$2),"")</f>
        <v>2012 Q3</v>
      </c>
      <c r="AC2" t="str">
        <f>IFERROR(IF(0=LEN(ReferenceData!$AC$2),"",ReferenceData!$AC$2),"")</f>
        <v>2012 Q2</v>
      </c>
      <c r="AD2" t="str">
        <f>IFERROR(IF(0=LEN(ReferenceData!$AD$2),"",ReferenceData!$AD$2),"")</f>
        <v>2012 Q1</v>
      </c>
      <c r="AE2" t="str">
        <f>IFERROR(IF(0=LEN(ReferenceData!$AE$2),"",ReferenceData!$AE$2),"")</f>
        <v>2011 Q4</v>
      </c>
      <c r="AF2" t="str">
        <f>IFERROR(IF(0=LEN(ReferenceData!$AF$2),"",ReferenceData!$AF$2),"")</f>
        <v>2011 Q3</v>
      </c>
      <c r="AG2" t="str">
        <f>IFERROR(IF(0=LEN(ReferenceData!$AG$2),"",ReferenceData!$AG$2),"")</f>
        <v>2011 Q2</v>
      </c>
      <c r="AH2" t="str">
        <f>IFERROR(IF(0=LEN(ReferenceData!$AH$2),"",ReferenceData!$AH$2),"")</f>
        <v>2011 Q1</v>
      </c>
      <c r="AI2" t="str">
        <f>IFERROR(IF(0=LEN(ReferenceData!$AI$2),"",ReferenceData!$AI$2),"")</f>
        <v>2010 Q4</v>
      </c>
      <c r="AJ2" t="str">
        <f>IFERROR(IF(0=LEN(ReferenceData!$AJ$2),"",ReferenceData!$AJ$2),"")</f>
        <v>2010 Q3</v>
      </c>
      <c r="AK2" t="str">
        <f>IFERROR(IF(0=LEN(ReferenceData!$AK$2),"",ReferenceData!$AK$2),"")</f>
        <v>2010 Q2</v>
      </c>
      <c r="AL2" t="str">
        <f>IFERROR(IF(0=LEN(ReferenceData!$AL$2),"",ReferenceData!$AL$2),"")</f>
        <v>2010 Q1</v>
      </c>
      <c r="AM2" t="str">
        <f>IFERROR(IF(0=LEN(ReferenceData!$AM$2),"",ReferenceData!$AM$2),"")</f>
        <v>2009 Q4</v>
      </c>
      <c r="AN2" t="str">
        <f>IFERROR(IF(0=LEN(ReferenceData!$AN$2),"",ReferenceData!$AN$2),"")</f>
        <v>2009 Q3</v>
      </c>
      <c r="AO2" t="str">
        <f>IFERROR(IF(0=LEN(ReferenceData!$AO$2),"",ReferenceData!$AO$2),"")</f>
        <v>2009 Q2</v>
      </c>
      <c r="AP2" t="str">
        <f>IFERROR(IF(0=LEN(ReferenceData!$AP$2),"",ReferenceData!$AP$2),"")</f>
        <v>2009 Q1</v>
      </c>
      <c r="AQ2" t="str">
        <f>IFERROR(IF(0=LEN(ReferenceData!$AQ$2),"",ReferenceData!$AQ$2),"")</f>
        <v>2008 Q4</v>
      </c>
      <c r="AR2" t="str">
        <f>IFERROR(IF(0=LEN(ReferenceData!$AR$2),"",ReferenceData!$AR$2),"")</f>
        <v>2008 Q3</v>
      </c>
      <c r="AS2" t="str">
        <f>IFERROR(IF(0=LEN(ReferenceData!$AS$2),"",ReferenceData!$AS$2),"")</f>
        <v>2008 Q2</v>
      </c>
      <c r="AT2" t="str">
        <f>IFERROR(IF(0=LEN(ReferenceData!$AT$2),"",ReferenceData!$AT$2),"")</f>
        <v>2008 Q1</v>
      </c>
      <c r="AU2" t="str">
        <f>IFERROR(IF(0=LEN(ReferenceData!$AU$2),"",ReferenceData!$AU$2),"")</f>
        <v>2007 Q4</v>
      </c>
      <c r="AV2" t="str">
        <f>IFERROR(IF(0=LEN(ReferenceData!$AV$2),"",ReferenceData!$AV$2),"")</f>
        <v>2007 Q3</v>
      </c>
      <c r="AW2" t="str">
        <f>IFERROR(IF(0=LEN(ReferenceData!$AW$2),"",ReferenceData!$AW$2),"")</f>
        <v>2007 Q2</v>
      </c>
      <c r="AX2" t="str">
        <f>IFERROR(IF(0=LEN(ReferenceData!$AX$2),"",ReferenceData!$AX$2),"")</f>
        <v>2007 Q1</v>
      </c>
      <c r="AY2" t="str">
        <f>IFERROR(IF(0=LEN(ReferenceData!$AY$2),"",ReferenceData!$AY$2),"")</f>
        <v>2006 Q4</v>
      </c>
      <c r="AZ2" t="str">
        <f>IFERROR(IF(0=LEN(ReferenceData!$AZ$2),"",ReferenceData!$AZ$2),"")</f>
        <v>2006 Q3</v>
      </c>
      <c r="BA2" t="str">
        <f>IFERROR(IF(0=LEN(ReferenceData!$BA$2),"",ReferenceData!$BA$2),"")</f>
        <v>2006 Q2</v>
      </c>
      <c r="BB2" t="str">
        <f>IFERROR(IF(0=LEN(ReferenceData!$BB$2),"",ReferenceData!$BB$2),"")</f>
        <v>2006 Q1</v>
      </c>
      <c r="BC2" t="str">
        <f>IFERROR(IF(0=LEN(ReferenceData!$BC$2),"",ReferenceData!$BC$2),"")</f>
        <v>2005 Q4</v>
      </c>
      <c r="BD2" t="str">
        <f>IFERROR(IF(0=LEN(ReferenceData!$BD$2),"",ReferenceData!$BD$2),"")</f>
        <v>2005 Q3</v>
      </c>
      <c r="BE2" t="str">
        <f>IFERROR(IF(0=LEN(ReferenceData!$BE$2),"",ReferenceData!$BE$2),"")</f>
        <v>2005 Q2</v>
      </c>
      <c r="BF2" t="str">
        <f>IFERROR(IF(0=LEN(ReferenceData!$BF$2),"",ReferenceData!$BF$2),"")</f>
        <v>2005 Q1</v>
      </c>
      <c r="BG2" t="str">
        <f>IFERROR(IF(0=LEN(ReferenceData!$BG$2),"",ReferenceData!$BG$2),"")</f>
        <v>2004 Q4</v>
      </c>
      <c r="BH2" t="str">
        <f>IFERROR(IF(0=LEN(ReferenceData!$BH$2),"",ReferenceData!$BH$2),"")</f>
        <v>2004 Q3</v>
      </c>
      <c r="BI2" t="str">
        <f>IFERROR(IF(0=LEN(ReferenceData!$BI$2),"",ReferenceData!$BI$2),"")</f>
        <v>2004 Q2</v>
      </c>
      <c r="BJ2" t="str">
        <f>IFERROR(IF(0=LEN(ReferenceData!$BJ$2),"",ReferenceData!$BJ$2),"")</f>
        <v>2004 Q1</v>
      </c>
      <c r="BK2" t="str">
        <f>IFERROR(IF(0=LEN(ReferenceData!$BK$2),"",ReferenceData!$BK$2),"")</f>
        <v>2003 Q4</v>
      </c>
      <c r="BL2" t="str">
        <f>IFERROR(IF(0=LEN(ReferenceData!$BL$2),"",ReferenceData!$BL$2),"")</f>
        <v>2003 Q3</v>
      </c>
      <c r="BM2" t="str">
        <f>IFERROR(IF(0=LEN(ReferenceData!$BM$2),"",ReferenceData!$BM$2),"")</f>
        <v>2003 Q2</v>
      </c>
    </row>
    <row r="3" spans="1:65">
      <c r="A3" t="str">
        <f>IFERROR(IF(0=LEN(ReferenceData!$A$3),"",ReferenceData!$A$3),"")</f>
        <v>租赁收入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Median</v>
      </c>
      <c r="F3" t="str">
        <f ca="1">IFERROR(IF(0=LEN(ReferenceData!$F$3),"",ReferenceData!$F$3),"")</f>
        <v/>
      </c>
      <c r="G3">
        <f ca="1">IFERROR(IF(0=LEN(ReferenceData!$G$3),"",ReferenceData!$G$3),"")</f>
        <v>187.38900000000001</v>
      </c>
      <c r="H3">
        <f ca="1">IFERROR(IF(0=LEN(ReferenceData!$H$3),"",ReferenceData!$H$3),"")</f>
        <v>185.054</v>
      </c>
      <c r="I3">
        <f ca="1">IFERROR(IF(0=LEN(ReferenceData!$I$3),"",ReferenceData!$I$3),"")</f>
        <v>166.64699999999999</v>
      </c>
      <c r="J3">
        <f ca="1">IFERROR(IF(0=LEN(ReferenceData!$J$3),"",ReferenceData!$J$3),"")</f>
        <v>166.44300000000001</v>
      </c>
      <c r="K3">
        <f ca="1">IFERROR(IF(0=LEN(ReferenceData!$K$3),"",ReferenceData!$K$3),"")</f>
        <v>175.27699999999999</v>
      </c>
      <c r="L3">
        <f ca="1">IFERROR(IF(0=LEN(ReferenceData!$L$3),"",ReferenceData!$L$3),"")</f>
        <v>165.50299999999999</v>
      </c>
      <c r="M3">
        <f ca="1">IFERROR(IF(0=LEN(ReferenceData!$M$3),"",ReferenceData!$M$3),"")</f>
        <v>163.99700000000001</v>
      </c>
      <c r="N3">
        <f ca="1">IFERROR(IF(0=LEN(ReferenceData!$N$3),"",ReferenceData!$N$3),"")</f>
        <v>161.42099999999999</v>
      </c>
      <c r="O3">
        <f ca="1">IFERROR(IF(0=LEN(ReferenceData!$O$3),"",ReferenceData!$O$3),"")</f>
        <v>170.70599999999999</v>
      </c>
      <c r="P3">
        <f ca="1">IFERROR(IF(0=LEN(ReferenceData!$P$3),"",ReferenceData!$P$3),"")</f>
        <v>158.863</v>
      </c>
      <c r="Q3">
        <f ca="1">IFERROR(IF(0=LEN(ReferenceData!$Q$3),"",ReferenceData!$Q$3),"")</f>
        <v>155.54599999999999</v>
      </c>
      <c r="R3">
        <f ca="1">IFERROR(IF(0=LEN(ReferenceData!$R$3),"",ReferenceData!$R$3),"")</f>
        <v>130.547</v>
      </c>
      <c r="S3">
        <f ca="1">IFERROR(IF(0=LEN(ReferenceData!$S$3),"",ReferenceData!$S$3),"")</f>
        <v>131.19450000000001</v>
      </c>
      <c r="T3">
        <f ca="1">IFERROR(IF(0=LEN(ReferenceData!$T$3),"",ReferenceData!$T$3),"")</f>
        <v>124.68049999999999</v>
      </c>
      <c r="U3">
        <f ca="1">IFERROR(IF(0=LEN(ReferenceData!$U$3),"",ReferenceData!$U$3),"")</f>
        <v>119.02850000000001</v>
      </c>
      <c r="V3">
        <f ca="1">IFERROR(IF(0=LEN(ReferenceData!$V$3),"",ReferenceData!$V$3),"")</f>
        <v>111.02850000000001</v>
      </c>
      <c r="W3">
        <f ca="1">IFERROR(IF(0=LEN(ReferenceData!$W$3),"",ReferenceData!$W$3),"")</f>
        <v>111.61750000000001</v>
      </c>
      <c r="X3">
        <f ca="1">IFERROR(IF(0=LEN(ReferenceData!$X$3),"",ReferenceData!$X$3),"")</f>
        <v>103.078</v>
      </c>
      <c r="Y3">
        <f ca="1">IFERROR(IF(0=LEN(ReferenceData!$Y$3),"",ReferenceData!$Y$3),"")</f>
        <v>102.68299999999999</v>
      </c>
      <c r="Z3">
        <f ca="1">IFERROR(IF(0=LEN(ReferenceData!$Z$3),"",ReferenceData!$Z$3),"")</f>
        <v>102.48050000000001</v>
      </c>
      <c r="AA3">
        <f ca="1">IFERROR(IF(0=LEN(ReferenceData!$AA$3),"",ReferenceData!$AA$3),"")</f>
        <v>104.62899999999999</v>
      </c>
      <c r="AB3">
        <f ca="1">IFERROR(IF(0=LEN(ReferenceData!$AB$3),"",ReferenceData!$AB$3),"")</f>
        <v>95.962999999999994</v>
      </c>
      <c r="AC3">
        <f ca="1">IFERROR(IF(0=LEN(ReferenceData!$AC$3),"",ReferenceData!$AC$3),"")</f>
        <v>91.817499999999995</v>
      </c>
      <c r="AD3">
        <f ca="1">IFERROR(IF(0=LEN(ReferenceData!$AD$3),"",ReferenceData!$AD$3),"")</f>
        <v>92.74</v>
      </c>
      <c r="AE3">
        <f ca="1">IFERROR(IF(0=LEN(ReferenceData!$AE$3),"",ReferenceData!$AE$3),"")</f>
        <v>96.176500000000004</v>
      </c>
      <c r="AF3">
        <f ca="1">IFERROR(IF(0=LEN(ReferenceData!$AF$3),"",ReferenceData!$AF$3),"")</f>
        <v>91.852000000000004</v>
      </c>
      <c r="AG3">
        <f ca="1">IFERROR(IF(0=LEN(ReferenceData!$AG$3),"",ReferenceData!$AG$3),"")</f>
        <v>84.402500000000003</v>
      </c>
      <c r="AH3">
        <f ca="1">IFERROR(IF(0=LEN(ReferenceData!$AH$3),"",ReferenceData!$AH$3),"")</f>
        <v>83.897500000000008</v>
      </c>
      <c r="AI3">
        <f ca="1">IFERROR(IF(0=LEN(ReferenceData!$AI$3),"",ReferenceData!$AI$3),"")</f>
        <v>97.363</v>
      </c>
      <c r="AJ3">
        <f ca="1">IFERROR(IF(0=LEN(ReferenceData!$AJ$3),"",ReferenceData!$AJ$3),"")</f>
        <v>80.960999999999999</v>
      </c>
      <c r="AK3">
        <f ca="1">IFERROR(IF(0=LEN(ReferenceData!$AK$3),"",ReferenceData!$AK$3),"")</f>
        <v>80.765000000000001</v>
      </c>
      <c r="AL3">
        <f ca="1">IFERROR(IF(0=LEN(ReferenceData!$AL$3),"",ReferenceData!$AL$3),"")</f>
        <v>80.447000000000003</v>
      </c>
      <c r="AM3">
        <f ca="1">IFERROR(IF(0=LEN(ReferenceData!$AM$3),"",ReferenceData!$AM$3),"")</f>
        <v>100.521</v>
      </c>
      <c r="AN3">
        <f ca="1">IFERROR(IF(0=LEN(ReferenceData!$AN$3),"",ReferenceData!$AN$3),"")</f>
        <v>93.329499999999996</v>
      </c>
      <c r="AO3">
        <f ca="1">IFERROR(IF(0=LEN(ReferenceData!$AO$3),"",ReferenceData!$AO$3),"")</f>
        <v>90.76400000000001</v>
      </c>
      <c r="AP3">
        <f ca="1">IFERROR(IF(0=LEN(ReferenceData!$AP$3),"",ReferenceData!$AP$3),"")</f>
        <v>95.387499999999989</v>
      </c>
      <c r="AQ3">
        <f ca="1">IFERROR(IF(0=LEN(ReferenceData!$AQ$3),"",ReferenceData!$AQ$3),"")</f>
        <v>94.0535</v>
      </c>
      <c r="AR3">
        <f ca="1">IFERROR(IF(0=LEN(ReferenceData!$AR$3),"",ReferenceData!$AR$3),"")</f>
        <v>84.394000000000005</v>
      </c>
      <c r="AS3">
        <f ca="1">IFERROR(IF(0=LEN(ReferenceData!$AS$3),"",ReferenceData!$AS$3),"")</f>
        <v>79.297499999999999</v>
      </c>
      <c r="AT3">
        <f ca="1">IFERROR(IF(0=LEN(ReferenceData!$AT$3),"",ReferenceData!$AT$3),"")</f>
        <v>77.647499999999994</v>
      </c>
      <c r="AU3">
        <f ca="1">IFERROR(IF(0=LEN(ReferenceData!$AU$3),"",ReferenceData!$AU$3),"")</f>
        <v>78.111000000000004</v>
      </c>
      <c r="AV3">
        <f ca="1">IFERROR(IF(0=LEN(ReferenceData!$AV$3),"",ReferenceData!$AV$3),"")</f>
        <v>72.093999999999994</v>
      </c>
      <c r="AW3">
        <f ca="1">IFERROR(IF(0=LEN(ReferenceData!$AW$3),"",ReferenceData!$AW$3),"")</f>
        <v>68.319000000000003</v>
      </c>
      <c r="AX3">
        <f ca="1">IFERROR(IF(0=LEN(ReferenceData!$AX$3),"",ReferenceData!$AX$3),"")</f>
        <v>69.17</v>
      </c>
      <c r="AY3">
        <f ca="1">IFERROR(IF(0=LEN(ReferenceData!$AY$3),"",ReferenceData!$AY$3),"")</f>
        <v>67.953000000000003</v>
      </c>
      <c r="AZ3">
        <f ca="1">IFERROR(IF(0=LEN(ReferenceData!$AZ$3),"",ReferenceData!$AZ$3),"")</f>
        <v>59.97</v>
      </c>
      <c r="BA3">
        <f ca="1">IFERROR(IF(0=LEN(ReferenceData!$BA$3),"",ReferenceData!$BA$3),"")</f>
        <v>57.158499999999997</v>
      </c>
      <c r="BB3">
        <f ca="1">IFERROR(IF(0=LEN(ReferenceData!$BB$3),"",ReferenceData!$BB$3),"")</f>
        <v>56.146500000000003</v>
      </c>
      <c r="BC3">
        <f ca="1">IFERROR(IF(0=LEN(ReferenceData!$BC$3),"",ReferenceData!$BC$3),"")</f>
        <v>57.936</v>
      </c>
      <c r="BD3">
        <f ca="1">IFERROR(IF(0=LEN(ReferenceData!$BD$3),"",ReferenceData!$BD$3),"")</f>
        <v>57.165999999999997</v>
      </c>
      <c r="BE3">
        <f ca="1">IFERROR(IF(0=LEN(ReferenceData!$BE$3),"",ReferenceData!$BE$3),"")</f>
        <v>52.481999999999999</v>
      </c>
      <c r="BF3">
        <f ca="1">IFERROR(IF(0=LEN(ReferenceData!$BF$3),"",ReferenceData!$BF$3),"")</f>
        <v>52.242500000000007</v>
      </c>
      <c r="BG3">
        <f ca="1">IFERROR(IF(0=LEN(ReferenceData!$BG$3),"",ReferenceData!$BG$3),"")</f>
        <v>48.898000000000003</v>
      </c>
      <c r="BH3">
        <f ca="1">IFERROR(IF(0=LEN(ReferenceData!$BH$3),"",ReferenceData!$BH$3),"")</f>
        <v>48.238</v>
      </c>
      <c r="BI3">
        <f ca="1">IFERROR(IF(0=LEN(ReferenceData!$BI$3),"",ReferenceData!$BI$3),"")</f>
        <v>44.350999999999999</v>
      </c>
      <c r="BJ3">
        <f ca="1">IFERROR(IF(0=LEN(ReferenceData!$BJ$3),"",ReferenceData!$BJ$3),"")</f>
        <v>42.088000000000001</v>
      </c>
      <c r="BK3">
        <f ca="1">IFERROR(IF(0=LEN(ReferenceData!$BK$3),"",ReferenceData!$BK$3),"")</f>
        <v>38.518999999999998</v>
      </c>
      <c r="BL3">
        <f ca="1">IFERROR(IF(0=LEN(ReferenceData!$BL$3),"",ReferenceData!$BL$3),"")</f>
        <v>40.897998809999997</v>
      </c>
      <c r="BM3">
        <f ca="1">IFERROR(IF(0=LEN(ReferenceData!$BM$3),"",ReferenceData!$BM$3),"")</f>
        <v>39.078000000000003</v>
      </c>
    </row>
    <row r="4" spans="1:65">
      <c r="A4" t="str">
        <f>IFERROR(IF(0=LEN(ReferenceData!$A$4),"",ReferenceData!$A$4),"")</f>
        <v xml:space="preserve">    Alexandria Real Estate Equitie</v>
      </c>
      <c r="B4" t="str">
        <f>IFERROR(IF(0=LEN(ReferenceData!$B$4),"",ReferenceData!$B$4),"")</f>
        <v>ARE US Equity</v>
      </c>
      <c r="C4" t="str">
        <f>IFERROR(IF(0=LEN(ReferenceData!$C$4),"",ReferenceData!$C$4),"")</f>
        <v>IS030</v>
      </c>
      <c r="D4" t="str">
        <f>IFERROR(IF(0=LEN(ReferenceData!$D$4),"",ReferenceData!$D$4),"")</f>
        <v>IS_RENT_INC</v>
      </c>
      <c r="E4" t="str">
        <f>IFERROR(IF(0=LEN(ReferenceData!$E$4),"",ReferenceData!$E$4),"")</f>
        <v>动态</v>
      </c>
      <c r="F4" t="str">
        <f ca="1">IFERROR(IF(0=LEN(ReferenceData!$F$4),"",ReferenceData!$F$4),"")</f>
        <v/>
      </c>
      <c r="G4">
        <f ca="1">IFERROR(IF(0=LEN(ReferenceData!$G$4),"",ReferenceData!$G$4),"")</f>
        <v>298.29500000000002</v>
      </c>
      <c r="H4">
        <f ca="1">IFERROR(IF(0=LEN(ReferenceData!$H$4),"",ReferenceData!$H$4),"")</f>
        <v>283.07900000000001</v>
      </c>
      <c r="I4">
        <f ca="1">IFERROR(IF(0=LEN(ReferenceData!$I$4),"",ReferenceData!$I$4),"")</f>
        <v>272.41199999999998</v>
      </c>
      <c r="J4">
        <f ca="1">IFERROR(IF(0=LEN(ReferenceData!$J$4),"",ReferenceData!$J$4),"")</f>
        <v>268.53899999999999</v>
      </c>
      <c r="K4">
        <f ca="1">IFERROR(IF(0=LEN(ReferenceData!$K$4),"",ReferenceData!$K$4),"")</f>
        <v>245.58500000000001</v>
      </c>
      <c r="L4">
        <f ca="1">IFERROR(IF(0=LEN(ReferenceData!$L$4),"",ReferenceData!$L$4),"")</f>
        <v>225.27199999999999</v>
      </c>
      <c r="M4">
        <f ca="1">IFERROR(IF(0=LEN(ReferenceData!$M$4),"",ReferenceData!$M$4),"")</f>
        <v>215.745</v>
      </c>
      <c r="N4">
        <f ca="1">IFERROR(IF(0=LEN(ReferenceData!$N$4),"",ReferenceData!$N$4),"")</f>
        <v>210.87299999999999</v>
      </c>
      <c r="O4">
        <f ca="1">IFERROR(IF(0=LEN(ReferenceData!$O$4),"",ReferenceData!$O$4),"")</f>
        <v>213.05600000000001</v>
      </c>
      <c r="P4">
        <f ca="1">IFERROR(IF(0=LEN(ReferenceData!$P$4),"",ReferenceData!$P$4),"")</f>
        <v>211.43</v>
      </c>
      <c r="Q4">
        <f ca="1">IFERROR(IF(0=LEN(ReferenceData!$Q$4),"",ReferenceData!$Q$4),"")</f>
        <v>201.399</v>
      </c>
      <c r="R4">
        <f ca="1">IFERROR(IF(0=LEN(ReferenceData!$R$4),"",ReferenceData!$R$4),"")</f>
        <v>192.00200000000001</v>
      </c>
      <c r="S4">
        <f ca="1">IFERROR(IF(0=LEN(ReferenceData!$S$4),"",ReferenceData!$S$4),"")</f>
        <v>186.155</v>
      </c>
      <c r="T4">
        <f ca="1">IFERROR(IF(0=LEN(ReferenceData!$T$4),"",ReferenceData!$T$4),"")</f>
        <v>183.29</v>
      </c>
      <c r="U4">
        <f ca="1">IFERROR(IF(0=LEN(ReferenceData!$U$4),"",ReferenceData!$U$4),"")</f>
        <v>175.93600000000001</v>
      </c>
      <c r="V4">
        <f ca="1">IFERROR(IF(0=LEN(ReferenceData!$V$4),"",ReferenceData!$V$4),"")</f>
        <v>172.25200000000001</v>
      </c>
      <c r="W4">
        <f ca="1">IFERROR(IF(0=LEN(ReferenceData!$W$4),"",ReferenceData!$W$4),"")</f>
        <v>165.66300000000001</v>
      </c>
      <c r="X4">
        <f ca="1">IFERROR(IF(0=LEN(ReferenceData!$X$4),"",ReferenceData!$X$4),"")</f>
        <v>154.74299999999999</v>
      </c>
      <c r="Y4">
        <f ca="1">IFERROR(IF(0=LEN(ReferenceData!$Y$4),"",ReferenceData!$Y$4),"")</f>
        <v>150.36199999999999</v>
      </c>
      <c r="Z4">
        <f ca="1">IFERROR(IF(0=LEN(ReferenceData!$Z$4),"",ReferenceData!$Z$4),"")</f>
        <v>147.09100000000001</v>
      </c>
      <c r="AA4">
        <f ca="1">IFERROR(IF(0=LEN(ReferenceData!$AA$4),"",ReferenceData!$AA$4),"")</f>
        <v>147.46899999999999</v>
      </c>
      <c r="AB4">
        <f ca="1">IFERROR(IF(0=LEN(ReferenceData!$AB$4),"",ReferenceData!$AB$4),"")</f>
        <v>140.22200000000001</v>
      </c>
      <c r="AC4">
        <f ca="1">IFERROR(IF(0=LEN(ReferenceData!$AC$4),"",ReferenceData!$AC$4),"")</f>
        <v>136.21</v>
      </c>
      <c r="AD4">
        <f ca="1">IFERROR(IF(0=LEN(ReferenceData!$AD$4),"",ReferenceData!$AD$4),"")</f>
        <v>133.083</v>
      </c>
      <c r="AE4">
        <f ca="1">IFERROR(IF(0=LEN(ReferenceData!$AE$4),"",ReferenceData!$AE$4),"")</f>
        <v>137.66499999999999</v>
      </c>
      <c r="AF4">
        <f ca="1">IFERROR(IF(0=LEN(ReferenceData!$AF$4),"",ReferenceData!$AF$4),"")</f>
        <v>135.57900000000001</v>
      </c>
      <c r="AG4">
        <f ca="1">IFERROR(IF(0=LEN(ReferenceData!$AG$4),"",ReferenceData!$AG$4),"")</f>
        <v>142.39500000000001</v>
      </c>
      <c r="AH4">
        <f ca="1">IFERROR(IF(0=LEN(ReferenceData!$AH$4),"",ReferenceData!$AH$4),"")</f>
        <v>139.143</v>
      </c>
      <c r="AI4">
        <f ca="1">IFERROR(IF(0=LEN(ReferenceData!$AI$4),"",ReferenceData!$AI$4),"")</f>
        <v>130.14500000000001</v>
      </c>
      <c r="AJ4">
        <f ca="1">IFERROR(IF(0=LEN(ReferenceData!$AJ$4),"",ReferenceData!$AJ$4),"")</f>
        <v>118.746</v>
      </c>
      <c r="AK4">
        <f ca="1">IFERROR(IF(0=LEN(ReferenceData!$AK$4),"",ReferenceData!$AK$4),"")</f>
        <v>116.08799999999999</v>
      </c>
      <c r="AL4">
        <f ca="1">IFERROR(IF(0=LEN(ReferenceData!$AL$4),"",ReferenceData!$AL$4),"")</f>
        <v>115.42100000000001</v>
      </c>
      <c r="AM4">
        <f ca="1">IFERROR(IF(0=LEN(ReferenceData!$AM$4),"",ReferenceData!$AM$4),"")</f>
        <v>114.05</v>
      </c>
      <c r="AN4">
        <f ca="1">IFERROR(IF(0=LEN(ReferenceData!$AN$4),"",ReferenceData!$AN$4),"")</f>
        <v>114.649</v>
      </c>
      <c r="AO4">
        <f ca="1">IFERROR(IF(0=LEN(ReferenceData!$AO$4),"",ReferenceData!$AO$4),"")</f>
        <v>112.129</v>
      </c>
      <c r="AP4">
        <f ca="1">IFERROR(IF(0=LEN(ReferenceData!$AP$4),"",ReferenceData!$AP$4),"")</f>
        <v>130.80699999999999</v>
      </c>
      <c r="AQ4">
        <f ca="1">IFERROR(IF(0=LEN(ReferenceData!$AQ$4),"",ReferenceData!$AQ$4),"")</f>
        <v>122.077</v>
      </c>
      <c r="AR4">
        <f ca="1">IFERROR(IF(0=LEN(ReferenceData!$AR$4),"",ReferenceData!$AR$4),"")</f>
        <v>109.89100000000001</v>
      </c>
      <c r="AS4">
        <f ca="1">IFERROR(IF(0=LEN(ReferenceData!$AS$4),"",ReferenceData!$AS$4),"")</f>
        <v>105.887</v>
      </c>
      <c r="AT4">
        <f ca="1">IFERROR(IF(0=LEN(ReferenceData!$AT$4),"",ReferenceData!$AT$4),"")</f>
        <v>106.312</v>
      </c>
      <c r="AU4">
        <f ca="1">IFERROR(IF(0=LEN(ReferenceData!$AU$4),"",ReferenceData!$AU$4),"")</f>
        <v>103.631</v>
      </c>
      <c r="AV4">
        <f ca="1">IFERROR(IF(0=LEN(ReferenceData!$AV$4),"",ReferenceData!$AV$4),"")</f>
        <v>98.39</v>
      </c>
      <c r="AW4">
        <f ca="1">IFERROR(IF(0=LEN(ReferenceData!$AW$4),"",ReferenceData!$AW$4),"")</f>
        <v>90.37</v>
      </c>
      <c r="AX4">
        <f ca="1">IFERROR(IF(0=LEN(ReferenceData!$AX$4),"",ReferenceData!$AX$4),"")</f>
        <v>91.048000000000002</v>
      </c>
      <c r="AY4">
        <f ca="1">IFERROR(IF(0=LEN(ReferenceData!$AY$4),"",ReferenceData!$AY$4),"")</f>
        <v>87.989000000000004</v>
      </c>
      <c r="AZ4">
        <f ca="1">IFERROR(IF(0=LEN(ReferenceData!$AZ$4),"",ReferenceData!$AZ$4),"")</f>
        <v>81.322999999999993</v>
      </c>
      <c r="BA4">
        <f ca="1">IFERROR(IF(0=LEN(ReferenceData!$BA$4),"",ReferenceData!$BA$4),"")</f>
        <v>67.706999999999994</v>
      </c>
      <c r="BB4">
        <f ca="1">IFERROR(IF(0=LEN(ReferenceData!$BB$4),"",ReferenceData!$BB$4),"")</f>
        <v>66.284999999999997</v>
      </c>
      <c r="BC4">
        <f ca="1">IFERROR(IF(0=LEN(ReferenceData!$BC$4),"",ReferenceData!$BC$4),"")</f>
        <v>62.122</v>
      </c>
      <c r="BD4">
        <f ca="1">IFERROR(IF(0=LEN(ReferenceData!$BD$4),"",ReferenceData!$BD$4),"")</f>
        <v>60.676000000000002</v>
      </c>
      <c r="BE4">
        <f ca="1">IFERROR(IF(0=LEN(ReferenceData!$BE$4),"",ReferenceData!$BE$4),"")</f>
        <v>56.207999999999998</v>
      </c>
      <c r="BF4">
        <f ca="1">IFERROR(IF(0=LEN(ReferenceData!$BF$4),"",ReferenceData!$BF$4),"")</f>
        <v>54.334000000000003</v>
      </c>
      <c r="BG4">
        <f ca="1">IFERROR(IF(0=LEN(ReferenceData!$BG$4),"",ReferenceData!$BG$4),"")</f>
        <v>49.213999999999999</v>
      </c>
      <c r="BH4">
        <f ca="1">IFERROR(IF(0=LEN(ReferenceData!$BH$4),"",ReferenceData!$BH$4),"")</f>
        <v>45.475000000000001</v>
      </c>
      <c r="BI4">
        <f ca="1">IFERROR(IF(0=LEN(ReferenceData!$BI$4),"",ReferenceData!$BI$4),"")</f>
        <v>42.914999999999999</v>
      </c>
      <c r="BJ4">
        <f ca="1">IFERROR(IF(0=LEN(ReferenceData!$BJ$4),"",ReferenceData!$BJ$4),"")</f>
        <v>42.088000000000001</v>
      </c>
      <c r="BK4">
        <f ca="1">IFERROR(IF(0=LEN(ReferenceData!$BK$4),"",ReferenceData!$BK$4),"")</f>
        <v>38.518999999999998</v>
      </c>
      <c r="BL4">
        <f ca="1">IFERROR(IF(0=LEN(ReferenceData!$BL$4),"",ReferenceData!$BL$4),"")</f>
        <v>39.380000000000003</v>
      </c>
      <c r="BM4">
        <f ca="1">IFERROR(IF(0=LEN(ReferenceData!$BM$4),"",ReferenceData!$BM$4),"")</f>
        <v>39.078000000000003</v>
      </c>
    </row>
    <row r="5" spans="1:65">
      <c r="A5" t="str">
        <f>IFERROR(IF(0=LEN(ReferenceData!$A$5),"",ReferenceData!$A$5),"")</f>
        <v xml:space="preserve">    Care Capital Properties Inc</v>
      </c>
      <c r="B5" t="str">
        <f>IFERROR(IF(0=LEN(ReferenceData!$B$5),"",ReferenceData!$B$5),"")</f>
        <v>CCP US Equity</v>
      </c>
      <c r="C5" t="str">
        <f>IFERROR(IF(0=LEN(ReferenceData!$C$5),"",ReferenceData!$C$5),"")</f>
        <v>IS030</v>
      </c>
      <c r="D5" t="str">
        <f>IFERROR(IF(0=LEN(ReferenceData!$D$5),"",ReferenceData!$D$5),"")</f>
        <v>IS_RENT_INC</v>
      </c>
      <c r="E5" t="str">
        <f>IFERROR(IF(0=LEN(ReferenceData!$E$5),"",ReferenceData!$E$5),"")</f>
        <v>动态</v>
      </c>
      <c r="F5" t="str">
        <f ca="1">IFERROR(IF(0=LEN(ReferenceData!$F$5),"",ReferenceData!$F$5),"")</f>
        <v/>
      </c>
      <c r="G5" t="str">
        <f ca="1">IFERROR(IF(0=LEN(ReferenceData!$G$5),"",ReferenceData!$G$5),"")</f>
        <v/>
      </c>
      <c r="H5" t="str">
        <f ca="1">IFERROR(IF(0=LEN(ReferenceData!$H$5),"",ReferenceData!$H$5),"")</f>
        <v/>
      </c>
      <c r="I5">
        <f ca="1">IFERROR(IF(0=LEN(ReferenceData!$I$5),"",ReferenceData!$I$5),"")</f>
        <v>88.555000000000007</v>
      </c>
      <c r="J5">
        <f ca="1">IFERROR(IF(0=LEN(ReferenceData!$J$5),"",ReferenceData!$J$5),"")</f>
        <v>81.393000000000001</v>
      </c>
      <c r="K5">
        <f ca="1">IFERROR(IF(0=LEN(ReferenceData!$K$5),"",ReferenceData!$K$5),"")</f>
        <v>82.826999999999998</v>
      </c>
      <c r="L5">
        <f ca="1">IFERROR(IF(0=LEN(ReferenceData!$L$5),"",ReferenceData!$L$5),"")</f>
        <v>86.218000000000004</v>
      </c>
      <c r="M5">
        <f ca="1">IFERROR(IF(0=LEN(ReferenceData!$M$5),"",ReferenceData!$M$5),"")</f>
        <v>85.248999999999995</v>
      </c>
      <c r="N5">
        <f ca="1">IFERROR(IF(0=LEN(ReferenceData!$N$5),"",ReferenceData!$N$5),"")</f>
        <v>84.238</v>
      </c>
      <c r="O5">
        <f ca="1">IFERROR(IF(0=LEN(ReferenceData!$O$5),"",ReferenceData!$O$5),"")</f>
        <v>87.307000000000002</v>
      </c>
      <c r="P5">
        <f ca="1">IFERROR(IF(0=LEN(ReferenceData!$P$5),"",ReferenceData!$P$5),"")</f>
        <v>82.313000000000002</v>
      </c>
      <c r="Q5">
        <f ca="1">IFERROR(IF(0=LEN(ReferenceData!$Q$5),"",ReferenceData!$Q$5),"")</f>
        <v>79.658000000000001</v>
      </c>
      <c r="R5" t="str">
        <f ca="1">IFERROR(IF(0=LEN(ReferenceData!$R$5),"",ReferenceData!$R$5),"")</f>
        <v/>
      </c>
      <c r="S5" t="str">
        <f ca="1">IFERROR(IF(0=LEN(ReferenceData!$S$5),"",ReferenceData!$S$5),"")</f>
        <v/>
      </c>
      <c r="T5" t="str">
        <f ca="1">IFERROR(IF(0=LEN(ReferenceData!$T$5),"",ReferenceData!$T$5),"")</f>
        <v/>
      </c>
      <c r="U5" t="str">
        <f ca="1">IFERROR(IF(0=LEN(ReferenceData!$U$5),"",ReferenceData!$U$5),"")</f>
        <v/>
      </c>
      <c r="V5" t="str">
        <f ca="1">IFERROR(IF(0=LEN(ReferenceData!$V$5),"",ReferenceData!$V$5),"")</f>
        <v/>
      </c>
      <c r="W5" t="str">
        <f ca="1">IFERROR(IF(0=LEN(ReferenceData!$W$5),"",ReferenceData!$W$5),"")</f>
        <v/>
      </c>
      <c r="X5" t="str">
        <f ca="1">IFERROR(IF(0=LEN(ReferenceData!$X$5),"",ReferenceData!$X$5),"")</f>
        <v/>
      </c>
      <c r="Y5" t="str">
        <f ca="1">IFERROR(IF(0=LEN(ReferenceData!$Y$5),"",ReferenceData!$Y$5),"")</f>
        <v/>
      </c>
      <c r="Z5" t="str">
        <f ca="1">IFERROR(IF(0=LEN(ReferenceData!$Z$5),"",ReferenceData!$Z$5),"")</f>
        <v/>
      </c>
      <c r="AA5" t="str">
        <f ca="1">IFERROR(IF(0=LEN(ReferenceData!$AA$5),"",ReferenceData!$AA$5),"")</f>
        <v/>
      </c>
      <c r="AB5" t="str">
        <f ca="1">IFERROR(IF(0=LEN(ReferenceData!$AB$5),"",ReferenceData!$AB$5),"")</f>
        <v/>
      </c>
      <c r="AC5" t="str">
        <f ca="1">IFERROR(IF(0=LEN(ReferenceData!$AC$5),"",ReferenceData!$AC$5),"")</f>
        <v/>
      </c>
      <c r="AD5" t="str">
        <f ca="1">IFERROR(IF(0=LEN(ReferenceData!$AD$5),"",ReferenceData!$AD$5),"")</f>
        <v/>
      </c>
      <c r="AE5" t="str">
        <f ca="1">IFERROR(IF(0=LEN(ReferenceData!$AE$5),"",ReferenceData!$AE$5),"")</f>
        <v/>
      </c>
      <c r="AF5" t="str">
        <f ca="1">IFERROR(IF(0=LEN(ReferenceData!$AF$5),"",ReferenceData!$AF$5),"")</f>
        <v/>
      </c>
      <c r="AG5" t="str">
        <f ca="1">IFERROR(IF(0=LEN(ReferenceData!$AG$5),"",ReferenceData!$AG$5),"")</f>
        <v/>
      </c>
      <c r="AH5" t="str">
        <f ca="1">IFERROR(IF(0=LEN(ReferenceData!$AH$5),"",ReferenceData!$AH$5),"")</f>
        <v/>
      </c>
      <c r="AI5" t="str">
        <f ca="1">IFERROR(IF(0=LEN(ReferenceData!$AI$5),"",ReferenceData!$AI$5),"")</f>
        <v/>
      </c>
      <c r="AJ5" t="str">
        <f ca="1">IFERROR(IF(0=LEN(ReferenceData!$AJ$5),"",ReferenceData!$AJ$5),"")</f>
        <v/>
      </c>
      <c r="AK5" t="str">
        <f ca="1">IFERROR(IF(0=LEN(ReferenceData!$AK$5),"",ReferenceData!$AK$5),"")</f>
        <v/>
      </c>
      <c r="AL5" t="str">
        <f ca="1">IFERROR(IF(0=LEN(ReferenceData!$AL$5),"",ReferenceData!$AL$5),"")</f>
        <v/>
      </c>
      <c r="AM5" t="str">
        <f ca="1">IFERROR(IF(0=LEN(ReferenceData!$AM$5),"",ReferenceData!$AM$5),"")</f>
        <v/>
      </c>
      <c r="AN5" t="str">
        <f ca="1">IFERROR(IF(0=LEN(ReferenceData!$AN$5),"",ReferenceData!$AN$5),"")</f>
        <v/>
      </c>
      <c r="AO5" t="str">
        <f ca="1">IFERROR(IF(0=LEN(ReferenceData!$AO$5),"",ReferenceData!$AO$5),"")</f>
        <v/>
      </c>
      <c r="AP5" t="str">
        <f ca="1">IFERROR(IF(0=LEN(ReferenceData!$AP$5),"",ReferenceData!$AP$5),"")</f>
        <v/>
      </c>
      <c r="AQ5" t="str">
        <f ca="1">IFERROR(IF(0=LEN(ReferenceData!$AQ$5),"",ReferenceData!$AQ$5),"")</f>
        <v/>
      </c>
      <c r="AR5" t="str">
        <f ca="1">IFERROR(IF(0=LEN(ReferenceData!$AR$5),"",ReferenceData!$AR$5),"")</f>
        <v/>
      </c>
      <c r="AS5" t="str">
        <f ca="1">IFERROR(IF(0=LEN(ReferenceData!$AS$5),"",ReferenceData!$AS$5),"")</f>
        <v/>
      </c>
      <c r="AT5" t="str">
        <f ca="1">IFERROR(IF(0=LEN(ReferenceData!$AT$5),"",ReferenceData!$AT$5),"")</f>
        <v/>
      </c>
      <c r="AU5" t="str">
        <f ca="1">IFERROR(IF(0=LEN(ReferenceData!$AU$5),"",ReferenceData!$AU$5),"")</f>
        <v/>
      </c>
      <c r="AV5" t="str">
        <f ca="1">IFERROR(IF(0=LEN(ReferenceData!$AV$5),"",ReferenceData!$AV$5),"")</f>
        <v/>
      </c>
      <c r="AW5" t="str">
        <f ca="1">IFERROR(IF(0=LEN(ReferenceData!$AW$5),"",ReferenceData!$AW$5),"")</f>
        <v/>
      </c>
      <c r="AX5" t="str">
        <f ca="1">IFERROR(IF(0=LEN(ReferenceData!$AX$5),"",ReferenceData!$AX$5),"")</f>
        <v/>
      </c>
      <c r="AY5" t="str">
        <f ca="1">IFERROR(IF(0=LEN(ReferenceData!$AY$5),"",ReferenceData!$AY$5),"")</f>
        <v/>
      </c>
      <c r="AZ5" t="str">
        <f ca="1">IFERROR(IF(0=LEN(ReferenceData!$AZ$5),"",ReferenceData!$AZ$5),"")</f>
        <v/>
      </c>
      <c r="BA5" t="str">
        <f ca="1">IFERROR(IF(0=LEN(ReferenceData!$BA$5),"",ReferenceData!$BA$5),"")</f>
        <v/>
      </c>
      <c r="BB5" t="str">
        <f ca="1">IFERROR(IF(0=LEN(ReferenceData!$BB$5),"",ReferenceData!$BB$5),"")</f>
        <v/>
      </c>
      <c r="BC5" t="str">
        <f ca="1">IFERROR(IF(0=LEN(ReferenceData!$BC$5),"",ReferenceData!$BC$5),"")</f>
        <v/>
      </c>
      <c r="BD5" t="str">
        <f ca="1">IFERROR(IF(0=LEN(ReferenceData!$BD$5),"",ReferenceData!$BD$5),"")</f>
        <v/>
      </c>
      <c r="BE5" t="str">
        <f ca="1">IFERROR(IF(0=LEN(ReferenceData!$BE$5),"",ReferenceData!$BE$5),"")</f>
        <v/>
      </c>
      <c r="BF5" t="str">
        <f ca="1">IFERROR(IF(0=LEN(ReferenceData!$BF$5),"",ReferenceData!$BF$5),"")</f>
        <v/>
      </c>
      <c r="BG5" t="str">
        <f ca="1">IFERROR(IF(0=LEN(ReferenceData!$BG$5),"",ReferenceData!$BG$5),"")</f>
        <v/>
      </c>
      <c r="BH5" t="str">
        <f ca="1">IFERROR(IF(0=LEN(ReferenceData!$BH$5),"",ReferenceData!$BH$5),"")</f>
        <v/>
      </c>
      <c r="BI5" t="str">
        <f ca="1">IFERROR(IF(0=LEN(ReferenceData!$BI$5),"",ReferenceData!$BI$5),"")</f>
        <v/>
      </c>
      <c r="BJ5" t="str">
        <f ca="1">IFERROR(IF(0=LEN(ReferenceData!$BJ$5),"",ReferenceData!$BJ$5),"")</f>
        <v/>
      </c>
      <c r="BK5" t="str">
        <f ca="1">IFERROR(IF(0=LEN(ReferenceData!$BK$5),"",ReferenceData!$BK$5),"")</f>
        <v/>
      </c>
      <c r="BL5" t="str">
        <f ca="1">IFERROR(IF(0=LEN(ReferenceData!$BL$5),"",ReferenceData!$BL$5),"")</f>
        <v/>
      </c>
      <c r="BM5" t="str">
        <f ca="1">IFERROR(IF(0=LEN(ReferenceData!$BM$5),"",ReferenceData!$BM$5),"")</f>
        <v/>
      </c>
    </row>
    <row r="6" spans="1:65">
      <c r="A6" t="str">
        <f>IFERROR(IF(0=LEN(ReferenceData!$A$6),"",ReferenceData!$A$6),"")</f>
        <v xml:space="preserve">    HCP Inc</v>
      </c>
      <c r="B6" t="str">
        <f>IFERROR(IF(0=LEN(ReferenceData!$B$6),"",ReferenceData!$B$6),"")</f>
        <v>HCP US Equity</v>
      </c>
      <c r="C6" t="str">
        <f>IFERROR(IF(0=LEN(ReferenceData!$C$6),"",ReferenceData!$C$6),"")</f>
        <v>IS030</v>
      </c>
      <c r="D6" t="str">
        <f>IFERROR(IF(0=LEN(ReferenceData!$D$6),"",ReferenceData!$D$6),"")</f>
        <v>IS_RENT_INC</v>
      </c>
      <c r="E6" t="str">
        <f>IFERROR(IF(0=LEN(ReferenceData!$E$6),"",ReferenceData!$E$6),"")</f>
        <v>动态</v>
      </c>
      <c r="F6" t="str">
        <f ca="1">IFERROR(IF(0=LEN(ReferenceData!$F$6),"",ReferenceData!$F$6),"")</f>
        <v/>
      </c>
      <c r="G6">
        <f ca="1">IFERROR(IF(0=LEN(ReferenceData!$G$6),"",ReferenceData!$G$6),"")</f>
        <v>437.99599999999998</v>
      </c>
      <c r="H6">
        <f ca="1">IFERROR(IF(0=LEN(ReferenceData!$H$6),"",ReferenceData!$H$6),"")</f>
        <v>442.24900000000002</v>
      </c>
      <c r="I6">
        <f ca="1">IFERROR(IF(0=LEN(ReferenceData!$I$6),"",ReferenceData!$I$6),"")</f>
        <v>438.05900000000003</v>
      </c>
      <c r="J6">
        <f ca="1">IFERROR(IF(0=LEN(ReferenceData!$J$6),"",ReferenceData!$J$6),"")</f>
        <v>473.83699999999999</v>
      </c>
      <c r="K6">
        <f ca="1">IFERROR(IF(0=LEN(ReferenceData!$K$6),"",ReferenceData!$K$6),"")</f>
        <v>522.44000000000005</v>
      </c>
      <c r="L6">
        <f ca="1">IFERROR(IF(0=LEN(ReferenceData!$L$6),"",ReferenceData!$L$6),"")</f>
        <v>633.78800000000001</v>
      </c>
      <c r="M6">
        <f ca="1">IFERROR(IF(0=LEN(ReferenceData!$M$6),"",ReferenceData!$M$6),"")</f>
        <v>629.30799999999999</v>
      </c>
      <c r="N6">
        <f ca="1">IFERROR(IF(0=LEN(ReferenceData!$N$6),"",ReferenceData!$N$6),"")</f>
        <v>622.66200000000003</v>
      </c>
      <c r="O6">
        <f ca="1">IFERROR(IF(0=LEN(ReferenceData!$O$6),"",ReferenceData!$O$6),"")</f>
        <v>497.19</v>
      </c>
      <c r="P6">
        <f ca="1">IFERROR(IF(0=LEN(ReferenceData!$P$6),"",ReferenceData!$P$6),"")</f>
        <v>637.65700000000004</v>
      </c>
      <c r="Q6">
        <f ca="1">IFERROR(IF(0=LEN(ReferenceData!$Q$6),"",ReferenceData!$Q$6),"")</f>
        <v>571.12900000000002</v>
      </c>
      <c r="R6">
        <f ca="1">IFERROR(IF(0=LEN(ReferenceData!$R$6),"",ReferenceData!$R$6),"")</f>
        <v>577.06899999999996</v>
      </c>
      <c r="S6">
        <f ca="1">IFERROR(IF(0=LEN(ReferenceData!$S$6),"",ReferenceData!$S$6),"")</f>
        <v>579.71799999999996</v>
      </c>
      <c r="T6">
        <f ca="1">IFERROR(IF(0=LEN(ReferenceData!$T$6),"",ReferenceData!$T$6),"")</f>
        <v>578.67399999999998</v>
      </c>
      <c r="U6">
        <f ca="1">IFERROR(IF(0=LEN(ReferenceData!$U$6),"",ReferenceData!$U$6),"")</f>
        <v>518.74</v>
      </c>
      <c r="V6">
        <f ca="1">IFERROR(IF(0=LEN(ReferenceData!$V$6),"",ReferenceData!$V$6),"")</f>
        <v>512.84699999999998</v>
      </c>
      <c r="W6">
        <f ca="1">IFERROR(IF(0=LEN(ReferenceData!$W$6),"",ReferenceData!$W$6),"")</f>
        <v>512.30799999999999</v>
      </c>
      <c r="X6">
        <f ca="1">IFERROR(IF(0=LEN(ReferenceData!$X$6),"",ReferenceData!$X$6),"")</f>
        <v>503.61500000000001</v>
      </c>
      <c r="Y6">
        <f ca="1">IFERROR(IF(0=LEN(ReferenceData!$Y$6),"",ReferenceData!$Y$6),"")</f>
        <v>497.59300000000002</v>
      </c>
      <c r="Z6">
        <f ca="1">IFERROR(IF(0=LEN(ReferenceData!$Z$6),"",ReferenceData!$Z$6),"")</f>
        <v>498.35700000000003</v>
      </c>
      <c r="AA6">
        <f ca="1">IFERROR(IF(0=LEN(ReferenceData!$AA$6),"",ReferenceData!$AA$6),"")</f>
        <v>490.53800000000001</v>
      </c>
      <c r="AB6">
        <f ca="1">IFERROR(IF(0=LEN(ReferenceData!$AB$6),"",ReferenceData!$AB$6),"")</f>
        <v>457.32799999999997</v>
      </c>
      <c r="AC6">
        <f ca="1">IFERROR(IF(0=LEN(ReferenceData!$AC$6),"",ReferenceData!$AC$6),"")</f>
        <v>462.75299999999999</v>
      </c>
      <c r="AD6">
        <f ca="1">IFERROR(IF(0=LEN(ReferenceData!$AD$6),"",ReferenceData!$AD$6),"")</f>
        <v>454.51499999999999</v>
      </c>
      <c r="AE6">
        <f ca="1">IFERROR(IF(0=LEN(ReferenceData!$AE$6),"",ReferenceData!$AE$6),"")</f>
        <v>457.14800000000002</v>
      </c>
      <c r="AF6">
        <f ca="1">IFERROR(IF(0=LEN(ReferenceData!$AF$6),"",ReferenceData!$AF$6),"")</f>
        <v>440.15800000000002</v>
      </c>
      <c r="AG6">
        <f ca="1">IFERROR(IF(0=LEN(ReferenceData!$AG$6),"",ReferenceData!$AG$6),"")</f>
        <v>427.09500000000003</v>
      </c>
      <c r="AH6">
        <f ca="1">IFERROR(IF(0=LEN(ReferenceData!$AH$6),"",ReferenceData!$AH$6),"")</f>
        <v>292.42500000000001</v>
      </c>
      <c r="AI6">
        <f ca="1">IFERROR(IF(0=LEN(ReferenceData!$AI$6),"",ReferenceData!$AI$6),"")</f>
        <v>287.89600000000002</v>
      </c>
      <c r="AJ6">
        <f ca="1">IFERROR(IF(0=LEN(ReferenceData!$AJ$6),"",ReferenceData!$AJ$6),"")</f>
        <v>279.31</v>
      </c>
      <c r="AK6">
        <f ca="1">IFERROR(IF(0=LEN(ReferenceData!$AK$6),"",ReferenceData!$AK$6),"")</f>
        <v>264.43099999999998</v>
      </c>
      <c r="AL6">
        <f ca="1">IFERROR(IF(0=LEN(ReferenceData!$AL$6),"",ReferenceData!$AL$6),"")</f>
        <v>258.24599999999998</v>
      </c>
      <c r="AM6">
        <f ca="1">IFERROR(IF(0=LEN(ReferenceData!$AM$6),"",ReferenceData!$AM$6),"")</f>
        <v>256.93400000000003</v>
      </c>
      <c r="AN6">
        <f ca="1">IFERROR(IF(0=LEN(ReferenceData!$AN$6),"",ReferenceData!$AN$6),"")</f>
        <v>251.80600000000001</v>
      </c>
      <c r="AO6">
        <f ca="1">IFERROR(IF(0=LEN(ReferenceData!$AO$6),"",ReferenceData!$AO$6),"")</f>
        <v>264.036</v>
      </c>
      <c r="AP6">
        <f ca="1">IFERROR(IF(0=LEN(ReferenceData!$AP$6),"",ReferenceData!$AP$6),"")</f>
        <v>248.80099999999999</v>
      </c>
      <c r="AQ6">
        <f ca="1">IFERROR(IF(0=LEN(ReferenceData!$AQ$6),"",ReferenceData!$AQ$6),"")</f>
        <v>260.95600000000002</v>
      </c>
      <c r="AR6">
        <f ca="1">IFERROR(IF(0=LEN(ReferenceData!$AR$6),"",ReferenceData!$AR$6),"")</f>
        <v>266.32900000000001</v>
      </c>
      <c r="AS6">
        <f ca="1">IFERROR(IF(0=LEN(ReferenceData!$AS$6),"",ReferenceData!$AS$6),"")</f>
        <v>247.31800000000001</v>
      </c>
      <c r="AT6">
        <f ca="1">IFERROR(IF(0=LEN(ReferenceData!$AT$6),"",ReferenceData!$AT$6),"")</f>
        <v>243.32599999999999</v>
      </c>
      <c r="AU6">
        <f ca="1">IFERROR(IF(0=LEN(ReferenceData!$AU$6),"",ReferenceData!$AU$6),"")</f>
        <v>237.947</v>
      </c>
      <c r="AV6">
        <f ca="1">IFERROR(IF(0=LEN(ReferenceData!$AV$6),"",ReferenceData!$AV$6),"")</f>
        <v>241.977</v>
      </c>
      <c r="AW6">
        <f ca="1">IFERROR(IF(0=LEN(ReferenceData!$AW$6),"",ReferenceData!$AW$6),"")</f>
        <v>202.626</v>
      </c>
      <c r="AX6">
        <f ca="1">IFERROR(IF(0=LEN(ReferenceData!$AX$6),"",ReferenceData!$AX$6),"")</f>
        <v>207.40600000000001</v>
      </c>
      <c r="AY6">
        <f ca="1">IFERROR(IF(0=LEN(ReferenceData!$AY$6),"",ReferenceData!$AY$6),"")</f>
        <v>187.72300000000001</v>
      </c>
      <c r="AZ6">
        <f ca="1">IFERROR(IF(0=LEN(ReferenceData!$AZ$6),"",ReferenceData!$AZ$6),"")</f>
        <v>112.23399999999999</v>
      </c>
      <c r="BA6">
        <f ca="1">IFERROR(IF(0=LEN(ReferenceData!$BA$6),"",ReferenceData!$BA$6),"")</f>
        <v>109.89400000000001</v>
      </c>
      <c r="BB6">
        <f ca="1">IFERROR(IF(0=LEN(ReferenceData!$BB$6),"",ReferenceData!$BB$6),"")</f>
        <v>106.137</v>
      </c>
      <c r="BC6">
        <f ca="1">IFERROR(IF(0=LEN(ReferenceData!$BC$6),"",ReferenceData!$BC$6),"")</f>
        <v>72.861999999999995</v>
      </c>
      <c r="BD6">
        <f ca="1">IFERROR(IF(0=LEN(ReferenceData!$BD$6),"",ReferenceData!$BD$6),"")</f>
        <v>111.94799999999999</v>
      </c>
      <c r="BE6">
        <f ca="1">IFERROR(IF(0=LEN(ReferenceData!$BE$6),"",ReferenceData!$BE$6),"")</f>
        <v>110.137</v>
      </c>
      <c r="BF6">
        <f ca="1">IFERROR(IF(0=LEN(ReferenceData!$BF$6),"",ReferenceData!$BF$6),"")</f>
        <v>101.857</v>
      </c>
      <c r="BG6">
        <f ca="1">IFERROR(IF(0=LEN(ReferenceData!$BG$6),"",ReferenceData!$BG$6),"")</f>
        <v>97.978999999999999</v>
      </c>
      <c r="BH6">
        <f ca="1">IFERROR(IF(0=LEN(ReferenceData!$BH$6),"",ReferenceData!$BH$6),"")</f>
        <v>100.304</v>
      </c>
      <c r="BI6">
        <f ca="1">IFERROR(IF(0=LEN(ReferenceData!$BI$6),"",ReferenceData!$BI$6),"")</f>
        <v>95.35</v>
      </c>
      <c r="BJ6">
        <f ca="1">IFERROR(IF(0=LEN(ReferenceData!$BJ$6),"",ReferenceData!$BJ$6),"")</f>
        <v>87.700999999999993</v>
      </c>
      <c r="BK6">
        <f ca="1">IFERROR(IF(0=LEN(ReferenceData!$BK$6),"",ReferenceData!$BK$6),"")</f>
        <v>93.177000000000007</v>
      </c>
      <c r="BL6">
        <f ca="1">IFERROR(IF(0=LEN(ReferenceData!$BL$6),"",ReferenceData!$BL$6),"")</f>
        <v>82.281999999999996</v>
      </c>
      <c r="BM6">
        <f ca="1">IFERROR(IF(0=LEN(ReferenceData!$BM$6),"",ReferenceData!$BM$6),"")</f>
        <v>82.724000000000004</v>
      </c>
    </row>
    <row r="7" spans="1:65">
      <c r="A7" t="str">
        <f>IFERROR(IF(0=LEN(ReferenceData!$A$7),"",ReferenceData!$A$7),"")</f>
        <v xml:space="preserve">    Healthcare Realty Trust Inc</v>
      </c>
      <c r="B7" t="str">
        <f>IFERROR(IF(0=LEN(ReferenceData!$B$7),"",ReferenceData!$B$7),"")</f>
        <v>HR US Equity</v>
      </c>
      <c r="C7" t="str">
        <f>IFERROR(IF(0=LEN(ReferenceData!$C$7),"",ReferenceData!$C$7),"")</f>
        <v>IS030</v>
      </c>
      <c r="D7" t="str">
        <f>IFERROR(IF(0=LEN(ReferenceData!$D$7),"",ReferenceData!$D$7),"")</f>
        <v>IS_RENT_INC</v>
      </c>
      <c r="E7" t="str">
        <f>IFERROR(IF(0=LEN(ReferenceData!$E$7),"",ReferenceData!$E$7),"")</f>
        <v>动态</v>
      </c>
      <c r="F7" t="str">
        <f ca="1">IFERROR(IF(0=LEN(ReferenceData!$F$7),"",ReferenceData!$F$7),"")</f>
        <v/>
      </c>
      <c r="G7">
        <f ca="1">IFERROR(IF(0=LEN(ReferenceData!$G$7),"",ReferenceData!$G$7),"")</f>
        <v>107.333</v>
      </c>
      <c r="H7">
        <f ca="1">IFERROR(IF(0=LEN(ReferenceData!$H$7),"",ReferenceData!$H$7),"")</f>
        <v>106.56100000000001</v>
      </c>
      <c r="I7">
        <f ca="1">IFERROR(IF(0=LEN(ReferenceData!$I$7),"",ReferenceData!$I$7),"")</f>
        <v>104.869</v>
      </c>
      <c r="J7">
        <f ca="1">IFERROR(IF(0=LEN(ReferenceData!$J$7),"",ReferenceData!$J$7),"")</f>
        <v>104.08799999999999</v>
      </c>
      <c r="K7">
        <f ca="1">IFERROR(IF(0=LEN(ReferenceData!$K$7),"",ReferenceData!$K$7),"")</f>
        <v>104.736</v>
      </c>
      <c r="L7">
        <f ca="1">IFERROR(IF(0=LEN(ReferenceData!$L$7),"",ReferenceData!$L$7),"")</f>
        <v>102.53400000000001</v>
      </c>
      <c r="M7">
        <f ca="1">IFERROR(IF(0=LEN(ReferenceData!$M$7),"",ReferenceData!$M$7),"")</f>
        <v>101.47199999999999</v>
      </c>
      <c r="N7">
        <f ca="1">IFERROR(IF(0=LEN(ReferenceData!$N$7),"",ReferenceData!$N$7),"")</f>
        <v>98.74</v>
      </c>
      <c r="O7">
        <f ca="1">IFERROR(IF(0=LEN(ReferenceData!$O$7),"",ReferenceData!$O$7),"")</f>
        <v>97.465999999999994</v>
      </c>
      <c r="P7">
        <f ca="1">IFERROR(IF(0=LEN(ReferenceData!$P$7),"",ReferenceData!$P$7),"")</f>
        <v>95.382999999999996</v>
      </c>
      <c r="Q7">
        <f ca="1">IFERROR(IF(0=LEN(ReferenceData!$Q$7),"",ReferenceData!$Q$7),"")</f>
        <v>95.45</v>
      </c>
      <c r="R7">
        <f ca="1">IFERROR(IF(0=LEN(ReferenceData!$R$7),"",ReferenceData!$R$7),"")</f>
        <v>95.034000000000006</v>
      </c>
      <c r="S7">
        <f ca="1">IFERROR(IF(0=LEN(ReferenceData!$S$7),"",ReferenceData!$S$7),"")</f>
        <v>93.647999999999996</v>
      </c>
      <c r="T7">
        <f ca="1">IFERROR(IF(0=LEN(ReferenceData!$T$7),"",ReferenceData!$T$7),"")</f>
        <v>92.094999999999999</v>
      </c>
      <c r="U7">
        <f ca="1">IFERROR(IF(0=LEN(ReferenceData!$U$7),"",ReferenceData!$U$7),"")</f>
        <v>89.278999999999996</v>
      </c>
      <c r="V7">
        <f ca="1">IFERROR(IF(0=LEN(ReferenceData!$V$7),"",ReferenceData!$V$7),"")</f>
        <v>86.501999999999995</v>
      </c>
      <c r="W7">
        <f ca="1">IFERROR(IF(0=LEN(ReferenceData!$W$7),"",ReferenceData!$W$7),"")</f>
        <v>84.825000000000003</v>
      </c>
      <c r="X7">
        <f ca="1">IFERROR(IF(0=LEN(ReferenceData!$X$7),"",ReferenceData!$X$7),"")</f>
        <v>78.161000000000001</v>
      </c>
      <c r="Y7">
        <f ca="1">IFERROR(IF(0=LEN(ReferenceData!$Y$7),"",ReferenceData!$Y$7),"")</f>
        <v>79.119</v>
      </c>
      <c r="Z7">
        <f ca="1">IFERROR(IF(0=LEN(ReferenceData!$Z$7),"",ReferenceData!$Z$7),"")</f>
        <v>75.88</v>
      </c>
      <c r="AA7">
        <f ca="1">IFERROR(IF(0=LEN(ReferenceData!$AA$7),"",ReferenceData!$AA$7),"")</f>
        <v>74.197000000000003</v>
      </c>
      <c r="AB7">
        <f ca="1">IFERROR(IF(0=LEN(ReferenceData!$AB$7),"",ReferenceData!$AB$7),"")</f>
        <v>73.174000000000007</v>
      </c>
      <c r="AC7">
        <f ca="1">IFERROR(IF(0=LEN(ReferenceData!$AC$7),"",ReferenceData!$AC$7),"")</f>
        <v>74.183999999999997</v>
      </c>
      <c r="AD7">
        <f ca="1">IFERROR(IF(0=LEN(ReferenceData!$AD$7),"",ReferenceData!$AD$7),"")</f>
        <v>72.099000000000004</v>
      </c>
      <c r="AE7">
        <f ca="1">IFERROR(IF(0=LEN(ReferenceData!$AE$7),"",ReferenceData!$AE$7),"")</f>
        <v>72.025999999999996</v>
      </c>
      <c r="AF7">
        <f ca="1">IFERROR(IF(0=LEN(ReferenceData!$AF$7),"",ReferenceData!$AF$7),"")</f>
        <v>70.004000000000005</v>
      </c>
      <c r="AG7">
        <f ca="1">IFERROR(IF(0=LEN(ReferenceData!$AG$7),"",ReferenceData!$AG$7),"")</f>
        <v>67.855000000000004</v>
      </c>
      <c r="AH7">
        <f ca="1">IFERROR(IF(0=LEN(ReferenceData!$AH$7),"",ReferenceData!$AH$7),"")</f>
        <v>68.052999999999997</v>
      </c>
      <c r="AI7">
        <f ca="1">IFERROR(IF(0=LEN(ReferenceData!$AI$7),"",ReferenceData!$AI$7),"")</f>
        <v>63.465000000000003</v>
      </c>
      <c r="AJ7">
        <f ca="1">IFERROR(IF(0=LEN(ReferenceData!$AJ$7),"",ReferenceData!$AJ$7),"")</f>
        <v>61.658000000000001</v>
      </c>
      <c r="AK7">
        <f ca="1">IFERROR(IF(0=LEN(ReferenceData!$AK$7),"",ReferenceData!$AK$7),"")</f>
        <v>61.363999999999997</v>
      </c>
      <c r="AL7">
        <f ca="1">IFERROR(IF(0=LEN(ReferenceData!$AL$7),"",ReferenceData!$AL$7),"")</f>
        <v>60.19</v>
      </c>
      <c r="AM7">
        <f ca="1">IFERROR(IF(0=LEN(ReferenceData!$AM$7),"",ReferenceData!$AM$7),"")</f>
        <v>59.277999999999999</v>
      </c>
      <c r="AN7">
        <f ca="1">IFERROR(IF(0=LEN(ReferenceData!$AN$7),"",ReferenceData!$AN$7),"")</f>
        <v>59.561</v>
      </c>
      <c r="AO7">
        <f ca="1">IFERROR(IF(0=LEN(ReferenceData!$AO$7),"",ReferenceData!$AO$7),"")</f>
        <v>60.234000000000002</v>
      </c>
      <c r="AP7">
        <f ca="1">IFERROR(IF(0=LEN(ReferenceData!$AP$7),"",ReferenceData!$AP$7),"")</f>
        <v>58.094999999999999</v>
      </c>
      <c r="AQ7">
        <f ca="1">IFERROR(IF(0=LEN(ReferenceData!$AQ$7),"",ReferenceData!$AQ$7),"")</f>
        <v>49.844000000000001</v>
      </c>
      <c r="AR7">
        <f ca="1">IFERROR(IF(0=LEN(ReferenceData!$AR$7),"",ReferenceData!$AR$7),"")</f>
        <v>50.011000000000003</v>
      </c>
      <c r="AS7">
        <f ca="1">IFERROR(IF(0=LEN(ReferenceData!$AS$7),"",ReferenceData!$AS$7),"")</f>
        <v>47.786999999999999</v>
      </c>
      <c r="AT7">
        <f ca="1">IFERROR(IF(0=LEN(ReferenceData!$AT$7),"",ReferenceData!$AT$7),"")</f>
        <v>47.826999999999998</v>
      </c>
      <c r="AU7">
        <f ca="1">IFERROR(IF(0=LEN(ReferenceData!$AU$7),"",ReferenceData!$AU$7),"")</f>
        <v>39.621000000000002</v>
      </c>
      <c r="AV7">
        <f ca="1">IFERROR(IF(0=LEN(ReferenceData!$AV$7),"",ReferenceData!$AV$7),"")</f>
        <v>45.798000000000002</v>
      </c>
      <c r="AW7">
        <f ca="1">IFERROR(IF(0=LEN(ReferenceData!$AW$7),"",ReferenceData!$AW$7),"")</f>
        <v>46.268000000000001</v>
      </c>
      <c r="AX7">
        <f ca="1">IFERROR(IF(0=LEN(ReferenceData!$AX$7),"",ReferenceData!$AX$7),"")</f>
        <v>47.292000000000002</v>
      </c>
      <c r="AY7">
        <f ca="1">IFERROR(IF(0=LEN(ReferenceData!$AY$7),"",ReferenceData!$AY$7),"")</f>
        <v>47.347000000000001</v>
      </c>
      <c r="AZ7">
        <f ca="1">IFERROR(IF(0=LEN(ReferenceData!$AZ$7),"",ReferenceData!$AZ$7),"")</f>
        <v>46.612000000000002</v>
      </c>
      <c r="BA7">
        <f ca="1">IFERROR(IF(0=LEN(ReferenceData!$BA$7),"",ReferenceData!$BA$7),"")</f>
        <v>46.61</v>
      </c>
      <c r="BB7">
        <f ca="1">IFERROR(IF(0=LEN(ReferenceData!$BB$7),"",ReferenceData!$BB$7),"")</f>
        <v>46.008000000000003</v>
      </c>
      <c r="BC7">
        <f ca="1">IFERROR(IF(0=LEN(ReferenceData!$BC$7),"",ReferenceData!$BC$7),"")</f>
        <v>53.75</v>
      </c>
      <c r="BD7">
        <f ca="1">IFERROR(IF(0=LEN(ReferenceData!$BD$7),"",ReferenceData!$BD$7),"")</f>
        <v>53.655999999999999</v>
      </c>
      <c r="BE7">
        <f ca="1">IFERROR(IF(0=LEN(ReferenceData!$BE$7),"",ReferenceData!$BE$7),"")</f>
        <v>48.756</v>
      </c>
      <c r="BF7">
        <f ca="1">IFERROR(IF(0=LEN(ReferenceData!$BF$7),"",ReferenceData!$BF$7),"")</f>
        <v>50.151000000000003</v>
      </c>
      <c r="BG7">
        <f ca="1">IFERROR(IF(0=LEN(ReferenceData!$BG$7),"",ReferenceData!$BG$7),"")</f>
        <v>37.505000000000003</v>
      </c>
      <c r="BH7">
        <f ca="1">IFERROR(IF(0=LEN(ReferenceData!$BH$7),"",ReferenceData!$BH$7),"")</f>
        <v>48.238</v>
      </c>
      <c r="BI7">
        <f ca="1">IFERROR(IF(0=LEN(ReferenceData!$BI$7),"",ReferenceData!$BI$7),"")</f>
        <v>44.350999999999999</v>
      </c>
      <c r="BJ7">
        <f ca="1">IFERROR(IF(0=LEN(ReferenceData!$BJ$7),"",ReferenceData!$BJ$7),"")</f>
        <v>39.386000000000003</v>
      </c>
      <c r="BK7">
        <f ca="1">IFERROR(IF(0=LEN(ReferenceData!$BK$7),"",ReferenceData!$BK$7),"")</f>
        <v>17.89</v>
      </c>
      <c r="BL7">
        <f ca="1">IFERROR(IF(0=LEN(ReferenceData!$BL$7),"",ReferenceData!$BL$7),"")</f>
        <v>40.897998809999997</v>
      </c>
      <c r="BM7">
        <f ca="1">IFERROR(IF(0=LEN(ReferenceData!$BM$7),"",ReferenceData!$BM$7),"")</f>
        <v>43.926998140000002</v>
      </c>
    </row>
    <row r="8" spans="1:65">
      <c r="A8" t="str">
        <f>IFERROR(IF(0=LEN(ReferenceData!$A$8),"",ReferenceData!$A$8),"")</f>
        <v xml:space="preserve">    Healthcare Trust of America In</v>
      </c>
      <c r="B8" t="str">
        <f>IFERROR(IF(0=LEN(ReferenceData!$B$8),"",ReferenceData!$B$8),"")</f>
        <v>HTA US Equity</v>
      </c>
      <c r="C8" t="str">
        <f>IFERROR(IF(0=LEN(ReferenceData!$C$8),"",ReferenceData!$C$8),"")</f>
        <v>IS030</v>
      </c>
      <c r="D8" t="str">
        <f>IFERROR(IF(0=LEN(ReferenceData!$D$8),"",ReferenceData!$D$8),"")</f>
        <v>IS_RENT_INC</v>
      </c>
      <c r="E8" t="str">
        <f>IFERROR(IF(0=LEN(ReferenceData!$E$8),"",ReferenceData!$E$8),"")</f>
        <v>动态</v>
      </c>
      <c r="F8" t="str">
        <f ca="1">IFERROR(IF(0=LEN(ReferenceData!$F$8),"",ReferenceData!$F$8),"")</f>
        <v/>
      </c>
      <c r="G8">
        <f ca="1">IFERROR(IF(0=LEN(ReferenceData!$G$8),"",ReferenceData!$G$8),"")</f>
        <v>173.607</v>
      </c>
      <c r="H8">
        <f ca="1">IFERROR(IF(0=LEN(ReferenceData!$H$8),"",ReferenceData!$H$8),"")</f>
        <v>175.43100000000001</v>
      </c>
      <c r="I8">
        <f ca="1">IFERROR(IF(0=LEN(ReferenceData!$I$8),"",ReferenceData!$I$8),"")</f>
        <v>139.52500000000001</v>
      </c>
      <c r="J8">
        <f ca="1">IFERROR(IF(0=LEN(ReferenceData!$J$8),"",ReferenceData!$J$8),"")</f>
        <v>123.99299999999999</v>
      </c>
      <c r="K8">
        <f ca="1">IFERROR(IF(0=LEN(ReferenceData!$K$8),"",ReferenceData!$K$8),"")</f>
        <v>121.917</v>
      </c>
      <c r="L8">
        <f ca="1">IFERROR(IF(0=LEN(ReferenceData!$L$8),"",ReferenceData!$L$8),"")</f>
        <v>118.252</v>
      </c>
      <c r="M8">
        <f ca="1">IFERROR(IF(0=LEN(ReferenceData!$M$8),"",ReferenceData!$M$8),"")</f>
        <v>113.14400000000001</v>
      </c>
      <c r="N8">
        <f ca="1">IFERROR(IF(0=LEN(ReferenceData!$N$8),"",ReferenceData!$N$8),"")</f>
        <v>107.25</v>
      </c>
      <c r="O8">
        <f ca="1">IFERROR(IF(0=LEN(ReferenceData!$O$8),"",ReferenceData!$O$8),"")</f>
        <v>101.983</v>
      </c>
      <c r="P8">
        <f ca="1">IFERROR(IF(0=LEN(ReferenceData!$P$8),"",ReferenceData!$P$8),"")</f>
        <v>103.875</v>
      </c>
      <c r="Q8">
        <f ca="1">IFERROR(IF(0=LEN(ReferenceData!$Q$8),"",ReferenceData!$Q$8),"")</f>
        <v>99.242999999999995</v>
      </c>
      <c r="R8">
        <f ca="1">IFERROR(IF(0=LEN(ReferenceData!$R$8),"",ReferenceData!$R$8),"")</f>
        <v>98.451999999999998</v>
      </c>
      <c r="S8">
        <f ca="1">IFERROR(IF(0=LEN(ReferenceData!$S$8),"",ReferenceData!$S$8),"")</f>
        <v>94.896000000000001</v>
      </c>
      <c r="T8">
        <f ca="1">IFERROR(IF(0=LEN(ReferenceData!$T$8),"",ReferenceData!$T$8),"")</f>
        <v>95.277000000000001</v>
      </c>
      <c r="U8">
        <f ca="1">IFERROR(IF(0=LEN(ReferenceData!$U$8),"",ReferenceData!$U$8),"")</f>
        <v>88.945999999999998</v>
      </c>
      <c r="V8">
        <f ca="1">IFERROR(IF(0=LEN(ReferenceData!$V$8),"",ReferenceData!$V$8),"")</f>
        <v>90.451999999999998</v>
      </c>
      <c r="W8">
        <f ca="1">IFERROR(IF(0=LEN(ReferenceData!$W$8),"",ReferenceData!$W$8),"")</f>
        <v>83.447999999999993</v>
      </c>
      <c r="X8">
        <f ca="1">IFERROR(IF(0=LEN(ReferenceData!$X$8),"",ReferenceData!$X$8),"")</f>
        <v>81.906000000000006</v>
      </c>
      <c r="Y8">
        <f ca="1">IFERROR(IF(0=LEN(ReferenceData!$Y$8),"",ReferenceData!$Y$8),"")</f>
        <v>77.004999999999995</v>
      </c>
      <c r="Z8">
        <f ca="1">IFERROR(IF(0=LEN(ReferenceData!$Z$8),"",ReferenceData!$Z$8),"")</f>
        <v>76.241</v>
      </c>
      <c r="AA8">
        <f ca="1">IFERROR(IF(0=LEN(ReferenceData!$AA$8),"",ReferenceData!$AA$8),"")</f>
        <v>72.853999999999999</v>
      </c>
      <c r="AB8">
        <f ca="1">IFERROR(IF(0=LEN(ReferenceData!$AB$8),"",ReferenceData!$AB$8),"")</f>
        <v>76.465000000000003</v>
      </c>
      <c r="AC8">
        <f ca="1">IFERROR(IF(0=LEN(ReferenceData!$AC$8),"",ReferenceData!$AC$8),"")</f>
        <v>74.388999999999996</v>
      </c>
      <c r="AD8">
        <f ca="1">IFERROR(IF(0=LEN(ReferenceData!$AD$8),"",ReferenceData!$AD$8),"")</f>
        <v>69.367999999999995</v>
      </c>
      <c r="AE8">
        <f ca="1">IFERROR(IF(0=LEN(ReferenceData!$AE$8),"",ReferenceData!$AE$8),"")</f>
        <v>65.686000000000007</v>
      </c>
      <c r="AF8">
        <f ca="1">IFERROR(IF(0=LEN(ReferenceData!$AF$8),"",ReferenceData!$AF$8),"")</f>
        <v>68.290999999999997</v>
      </c>
      <c r="AG8">
        <f ca="1">IFERROR(IF(0=LEN(ReferenceData!$AG$8),"",ReferenceData!$AG$8),"")</f>
        <v>66.426000000000002</v>
      </c>
      <c r="AH8">
        <f ca="1">IFERROR(IF(0=LEN(ReferenceData!$AH$8),"",ReferenceData!$AH$8),"")</f>
        <v>69.242999999999995</v>
      </c>
      <c r="AI8">
        <f ca="1">IFERROR(IF(0=LEN(ReferenceData!$AI$8),"",ReferenceData!$AI$8),"")</f>
        <v>57.466999999999999</v>
      </c>
      <c r="AJ8">
        <f ca="1">IFERROR(IF(0=LEN(ReferenceData!$AJ$8),"",ReferenceData!$AJ$8),"")</f>
        <v>50.847000000000001</v>
      </c>
      <c r="AK8">
        <f ca="1">IFERROR(IF(0=LEN(ReferenceData!$AK$8),"",ReferenceData!$AK$8),"")</f>
        <v>44.872999999999998</v>
      </c>
      <c r="AL8">
        <f ca="1">IFERROR(IF(0=LEN(ReferenceData!$AL$8),"",ReferenceData!$AL$8),"")</f>
        <v>42.308999999999997</v>
      </c>
      <c r="AM8" t="str">
        <f ca="1">IFERROR(IF(0=LEN(ReferenceData!$AM$8),"",ReferenceData!$AM$8),"")</f>
        <v/>
      </c>
      <c r="AN8" t="str">
        <f ca="1">IFERROR(IF(0=LEN(ReferenceData!$AN$8),"",ReferenceData!$AN$8),"")</f>
        <v/>
      </c>
      <c r="AO8" t="str">
        <f ca="1">IFERROR(IF(0=LEN(ReferenceData!$AO$8),"",ReferenceData!$AO$8),"")</f>
        <v/>
      </c>
      <c r="AP8" t="str">
        <f ca="1">IFERROR(IF(0=LEN(ReferenceData!$AP$8),"",ReferenceData!$AP$8),"")</f>
        <v/>
      </c>
      <c r="AQ8" t="str">
        <f ca="1">IFERROR(IF(0=LEN(ReferenceData!$AQ$8),"",ReferenceData!$AQ$8),"")</f>
        <v/>
      </c>
      <c r="AR8" t="str">
        <f ca="1">IFERROR(IF(0=LEN(ReferenceData!$AR$8),"",ReferenceData!$AR$8),"")</f>
        <v/>
      </c>
      <c r="AS8" t="str">
        <f ca="1">IFERROR(IF(0=LEN(ReferenceData!$AS$8),"",ReferenceData!$AS$8),"")</f>
        <v/>
      </c>
      <c r="AT8" t="str">
        <f ca="1">IFERROR(IF(0=LEN(ReferenceData!$AT$8),"",ReferenceData!$AT$8),"")</f>
        <v/>
      </c>
      <c r="AU8" t="str">
        <f ca="1">IFERROR(IF(0=LEN(ReferenceData!$AU$8),"",ReferenceData!$AU$8),"")</f>
        <v/>
      </c>
      <c r="AV8" t="str">
        <f ca="1">IFERROR(IF(0=LEN(ReferenceData!$AV$8),"",ReferenceData!$AV$8),"")</f>
        <v/>
      </c>
      <c r="AW8" t="str">
        <f ca="1">IFERROR(IF(0=LEN(ReferenceData!$AW$8),"",ReferenceData!$AW$8),"")</f>
        <v/>
      </c>
      <c r="AX8" t="str">
        <f ca="1">IFERROR(IF(0=LEN(ReferenceData!$AX$8),"",ReferenceData!$AX$8),"")</f>
        <v/>
      </c>
      <c r="AY8" t="str">
        <f ca="1">IFERROR(IF(0=LEN(ReferenceData!$AY$8),"",ReferenceData!$AY$8),"")</f>
        <v/>
      </c>
      <c r="AZ8" t="str">
        <f ca="1">IFERROR(IF(0=LEN(ReferenceData!$AZ$8),"",ReferenceData!$AZ$8),"")</f>
        <v/>
      </c>
      <c r="BA8" t="str">
        <f ca="1">IFERROR(IF(0=LEN(ReferenceData!$BA$8),"",ReferenceData!$BA$8),"")</f>
        <v/>
      </c>
      <c r="BB8" t="str">
        <f ca="1">IFERROR(IF(0=LEN(ReferenceData!$BB$8),"",ReferenceData!$BB$8),"")</f>
        <v/>
      </c>
      <c r="BC8" t="str">
        <f ca="1">IFERROR(IF(0=LEN(ReferenceData!$BC$8),"",ReferenceData!$BC$8),"")</f>
        <v/>
      </c>
      <c r="BD8" t="str">
        <f ca="1">IFERROR(IF(0=LEN(ReferenceData!$BD$8),"",ReferenceData!$BD$8),"")</f>
        <v/>
      </c>
      <c r="BE8" t="str">
        <f ca="1">IFERROR(IF(0=LEN(ReferenceData!$BE$8),"",ReferenceData!$BE$8),"")</f>
        <v/>
      </c>
      <c r="BF8" t="str">
        <f ca="1">IFERROR(IF(0=LEN(ReferenceData!$BF$8),"",ReferenceData!$BF$8),"")</f>
        <v/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 t="str">
        <f ca="1">IFERROR(IF(0=LEN(ReferenceData!$BJ$8),"",ReferenceData!$BJ$8),"")</f>
        <v/>
      </c>
      <c r="BK8" t="str">
        <f ca="1">IFERROR(IF(0=LEN(ReferenceData!$BK$8),"",ReferenceData!$BK$8),"")</f>
        <v/>
      </c>
      <c r="BL8" t="str">
        <f ca="1">IFERROR(IF(0=LEN(ReferenceData!$BL$8),"",ReferenceData!$BL$8),"")</f>
        <v/>
      </c>
      <c r="BM8" t="str">
        <f ca="1">IFERROR(IF(0=LEN(ReferenceData!$BM$8),"",ReferenceData!$BM$8),"")</f>
        <v/>
      </c>
    </row>
    <row r="9" spans="1:65">
      <c r="A9" t="str">
        <f>IFERROR(IF(0=LEN(ReferenceData!$A$9),"",ReferenceData!$A$9),"")</f>
        <v xml:space="preserve">    Medical Properties Trust Inc</v>
      </c>
      <c r="B9" t="str">
        <f>IFERROR(IF(0=LEN(ReferenceData!$B$9),"",ReferenceData!$B$9),"")</f>
        <v>MPW US Equity</v>
      </c>
      <c r="C9" t="str">
        <f>IFERROR(IF(0=LEN(ReferenceData!$C$9),"",ReferenceData!$C$9),"")</f>
        <v>IS030</v>
      </c>
      <c r="D9" t="str">
        <f>IFERROR(IF(0=LEN(ReferenceData!$D$9),"",ReferenceData!$D$9),"")</f>
        <v>IS_RENT_INC</v>
      </c>
      <c r="E9" t="str">
        <f>IFERROR(IF(0=LEN(ReferenceData!$E$9),"",ReferenceData!$E$9),"")</f>
        <v>动态</v>
      </c>
      <c r="F9" t="str">
        <f ca="1">IFERROR(IF(0=LEN(ReferenceData!$F$9),"",ReferenceData!$F$9),"")</f>
        <v/>
      </c>
      <c r="G9">
        <f ca="1">IFERROR(IF(0=LEN(ReferenceData!$G$9),"",ReferenceData!$G$9),"")</f>
        <v>162.73699999999999</v>
      </c>
      <c r="H9">
        <f ca="1">IFERROR(IF(0=LEN(ReferenceData!$H$9),"",ReferenceData!$H$9),"")</f>
        <v>147.55000000000001</v>
      </c>
      <c r="I9">
        <f ca="1">IFERROR(IF(0=LEN(ReferenceData!$I$9),"",ReferenceData!$I$9),"")</f>
        <v>138.036</v>
      </c>
      <c r="J9">
        <f ca="1">IFERROR(IF(0=LEN(ReferenceData!$J$9),"",ReferenceData!$J$9),"")</f>
        <v>127.422</v>
      </c>
      <c r="K9">
        <f ca="1">IFERROR(IF(0=LEN(ReferenceData!$K$9),"",ReferenceData!$K$9),"")</f>
        <v>124.545</v>
      </c>
      <c r="L9">
        <f ca="1">IFERROR(IF(0=LEN(ReferenceData!$L$9),"",ReferenceData!$L$9),"")</f>
        <v>106.806</v>
      </c>
      <c r="M9">
        <f ca="1">IFERROR(IF(0=LEN(ReferenceData!$M$9),"",ReferenceData!$M$9),"")</f>
        <v>100.063</v>
      </c>
      <c r="N9">
        <f ca="1">IFERROR(IF(0=LEN(ReferenceData!$N$9),"",ReferenceData!$N$9),"")</f>
        <v>101.229</v>
      </c>
      <c r="O9">
        <f ca="1">IFERROR(IF(0=LEN(ReferenceData!$O$9),"",ReferenceData!$O$9),"")</f>
        <v>97.284999999999997</v>
      </c>
      <c r="P9">
        <f ca="1">IFERROR(IF(0=LEN(ReferenceData!$P$9),"",ReferenceData!$P$9),"")</f>
        <v>90.072999999999993</v>
      </c>
      <c r="Q9">
        <f ca="1">IFERROR(IF(0=LEN(ReferenceData!$Q$9),"",ReferenceData!$Q$9),"")</f>
        <v>71.953000000000003</v>
      </c>
      <c r="R9">
        <f ca="1">IFERROR(IF(0=LEN(ReferenceData!$R$9),"",ReferenceData!$R$9),"")</f>
        <v>70.382999999999996</v>
      </c>
      <c r="S9">
        <f ca="1">IFERROR(IF(0=LEN(ReferenceData!$S$9),"",ReferenceData!$S$9),"")</f>
        <v>65.292316999999997</v>
      </c>
      <c r="T9">
        <f ca="1">IFERROR(IF(0=LEN(ReferenceData!$T$9),"",ReferenceData!$T$9),"")</f>
        <v>65.653000000000006</v>
      </c>
      <c r="U9">
        <f ca="1">IFERROR(IF(0=LEN(ReferenceData!$U$9),"",ReferenceData!$U$9),"")</f>
        <v>61.369</v>
      </c>
      <c r="V9">
        <f ca="1">IFERROR(IF(0=LEN(ReferenceData!$V$9),"",ReferenceData!$V$9),"")</f>
        <v>57.32</v>
      </c>
      <c r="W9">
        <f ca="1">IFERROR(IF(0=LEN(ReferenceData!$W$9),"",ReferenceData!$W$9),"")</f>
        <v>52.540143</v>
      </c>
      <c r="X9">
        <f ca="1">IFERROR(IF(0=LEN(ReferenceData!$X$9),"",ReferenceData!$X$9),"")</f>
        <v>45.725999999999999</v>
      </c>
      <c r="Y9">
        <f ca="1">IFERROR(IF(0=LEN(ReferenceData!$Y$9),"",ReferenceData!$Y$9),"")</f>
        <v>43.030999999999999</v>
      </c>
      <c r="Z9">
        <f ca="1">IFERROR(IF(0=LEN(ReferenceData!$Z$9),"",ReferenceData!$Z$9),"")</f>
        <v>42.905999999999999</v>
      </c>
      <c r="AA9">
        <f ca="1">IFERROR(IF(0=LEN(ReferenceData!$AA$9),"",ReferenceData!$AA$9),"")</f>
        <v>41.476888000000002</v>
      </c>
      <c r="AB9">
        <f ca="1">IFERROR(IF(0=LEN(ReferenceData!$AB$9),"",ReferenceData!$AB$9),"")</f>
        <v>38.816000000000003</v>
      </c>
      <c r="AC9">
        <f ca="1">IFERROR(IF(0=LEN(ReferenceData!$AC$9),"",ReferenceData!$AC$9),"")</f>
        <v>37.390999999999998</v>
      </c>
      <c r="AD9">
        <f ca="1">IFERROR(IF(0=LEN(ReferenceData!$AD$9),"",ReferenceData!$AD$9),"")</f>
        <v>33.345999999999997</v>
      </c>
      <c r="AE9">
        <f ca="1">IFERROR(IF(0=LEN(ReferenceData!$AE$9),"",ReferenceData!$AE$9),"")</f>
        <v>28.760605999999999</v>
      </c>
      <c r="AF9">
        <f ca="1">IFERROR(IF(0=LEN(ReferenceData!$AF$9),"",ReferenceData!$AF$9),"")</f>
        <v>29.402999999999999</v>
      </c>
      <c r="AG9">
        <f ca="1">IFERROR(IF(0=LEN(ReferenceData!$AG$9),"",ReferenceData!$AG$9),"")</f>
        <v>29.687000000000001</v>
      </c>
      <c r="AH9">
        <f ca="1">IFERROR(IF(0=LEN(ReferenceData!$AH$9),"",ReferenceData!$AH$9),"")</f>
        <v>29.065000000000001</v>
      </c>
      <c r="AI9">
        <f ca="1">IFERROR(IF(0=LEN(ReferenceData!$AI$9),"",ReferenceData!$AI$9),"")</f>
        <v>24.283479</v>
      </c>
      <c r="AJ9">
        <f ca="1">IFERROR(IF(0=LEN(ReferenceData!$AJ$9),"",ReferenceData!$AJ$9),"")</f>
        <v>22.347999999999999</v>
      </c>
      <c r="AK9">
        <f ca="1">IFERROR(IF(0=LEN(ReferenceData!$AK$9),"",ReferenceData!$AK$9),"")</f>
        <v>24.094000000000001</v>
      </c>
      <c r="AL9">
        <f ca="1">IFERROR(IF(0=LEN(ReferenceData!$AL$9),"",ReferenceData!$AL$9),"")</f>
        <v>23.059000000000001</v>
      </c>
      <c r="AM9">
        <f ca="1">IFERROR(IF(0=LEN(ReferenceData!$AM$9),"",ReferenceData!$AM$9),"")</f>
        <v>22.755607999999999</v>
      </c>
      <c r="AN9">
        <f ca="1">IFERROR(IF(0=LEN(ReferenceData!$AN$9),"",ReferenceData!$AN$9),"")</f>
        <v>24.126000000000001</v>
      </c>
      <c r="AO9">
        <f ca="1">IFERROR(IF(0=LEN(ReferenceData!$AO$9),"",ReferenceData!$AO$9),"")</f>
        <v>22.172000000000001</v>
      </c>
      <c r="AP9">
        <f ca="1">IFERROR(IF(0=LEN(ReferenceData!$AP$9),"",ReferenceData!$AP$9),"")</f>
        <v>24.55</v>
      </c>
      <c r="AQ9">
        <f ca="1">IFERROR(IF(0=LEN(ReferenceData!$AQ$9),"",ReferenceData!$AQ$9),"")</f>
        <v>21.993607999999998</v>
      </c>
      <c r="AR9">
        <f ca="1">IFERROR(IF(0=LEN(ReferenceData!$AR$9),"",ReferenceData!$AR$9),"")</f>
        <v>25.099</v>
      </c>
      <c r="AS9">
        <f ca="1">IFERROR(IF(0=LEN(ReferenceData!$AS$9),"",ReferenceData!$AS$9),"")</f>
        <v>23.626000000000001</v>
      </c>
      <c r="AT9">
        <f ca="1">IFERROR(IF(0=LEN(ReferenceData!$AT$9),"",ReferenceData!$AT$9),"")</f>
        <v>16.631</v>
      </c>
      <c r="AU9">
        <f ca="1">IFERROR(IF(0=LEN(ReferenceData!$AU$9),"",ReferenceData!$AU$9),"")</f>
        <v>16.145446</v>
      </c>
      <c r="AV9">
        <f ca="1">IFERROR(IF(0=LEN(ReferenceData!$AV$9),"",ReferenceData!$AV$9),"")</f>
        <v>14.610569</v>
      </c>
      <c r="AW9">
        <f ca="1">IFERROR(IF(0=LEN(ReferenceData!$AW$9),"",ReferenceData!$AW$9),"")</f>
        <v>11.486802000000001</v>
      </c>
      <c r="AX9">
        <f ca="1">IFERROR(IF(0=LEN(ReferenceData!$AX$9),"",ReferenceData!$AX$9),"")</f>
        <v>9.3125289999999996</v>
      </c>
      <c r="AY9">
        <f ca="1">IFERROR(IF(0=LEN(ReferenceData!$AY$9),"",ReferenceData!$AY$9),"")</f>
        <v>11.919684</v>
      </c>
      <c r="AZ9">
        <f ca="1">IFERROR(IF(0=LEN(ReferenceData!$AZ$9),"",ReferenceData!$AZ$9),"")</f>
        <v>9.3046919999999993</v>
      </c>
      <c r="BA9">
        <f ca="1">IFERROR(IF(0=LEN(ReferenceData!$BA$9),"",ReferenceData!$BA$9),"")</f>
        <v>8.5566209999999998</v>
      </c>
      <c r="BB9">
        <f ca="1">IFERROR(IF(0=LEN(ReferenceData!$BB$9),"",ReferenceData!$BB$9),"")</f>
        <v>8.2655259999999995</v>
      </c>
      <c r="BC9">
        <f ca="1">IFERROR(IF(0=LEN(ReferenceData!$BC$9),"",ReferenceData!$BC$9),"")</f>
        <v>7.2680939999999996</v>
      </c>
      <c r="BD9">
        <f ca="1">IFERROR(IF(0=LEN(ReferenceData!$BD$9),"",ReferenceData!$BD$9),"")</f>
        <v>6.9712730000000001</v>
      </c>
      <c r="BE9">
        <f ca="1">IFERROR(IF(0=LEN(ReferenceData!$BE$9),"",ReferenceData!$BE$9),"")</f>
        <v>6.12462616</v>
      </c>
      <c r="BF9">
        <f ca="1">IFERROR(IF(0=LEN(ReferenceData!$BF$9),"",ReferenceData!$BF$9),"")</f>
        <v>5.2680001259999996</v>
      </c>
      <c r="BG9" t="str">
        <f ca="1">IFERROR(IF(0=LEN(ReferenceData!$BG$9),"",ReferenceData!$BG$9),"")</f>
        <v/>
      </c>
      <c r="BH9" t="str">
        <f ca="1">IFERROR(IF(0=LEN(ReferenceData!$BH$9),"",ReferenceData!$BH$9),"")</f>
        <v/>
      </c>
      <c r="BI9" t="str">
        <f ca="1">IFERROR(IF(0=LEN(ReferenceData!$BI$9),"",ReferenceData!$BI$9),"")</f>
        <v/>
      </c>
      <c r="BJ9" t="str">
        <f ca="1">IFERROR(IF(0=LEN(ReferenceData!$BJ$9),"",ReferenceData!$BJ$9),"")</f>
        <v/>
      </c>
      <c r="BK9" t="str">
        <f ca="1">IFERROR(IF(0=LEN(ReferenceData!$BK$9),"",ReferenceData!$BK$9),"")</f>
        <v/>
      </c>
      <c r="BL9" t="str">
        <f ca="1">IFERROR(IF(0=LEN(ReferenceData!$BL$9),"",ReferenceData!$BL$9),"")</f>
        <v/>
      </c>
      <c r="BM9" t="str">
        <f ca="1">IFERROR(IF(0=LEN(ReferenceData!$BM$9),"",ReferenceData!$BM$9),"")</f>
        <v/>
      </c>
    </row>
    <row r="10" spans="1:65">
      <c r="A10" t="str">
        <f>IFERROR(IF(0=LEN(ReferenceData!$A$10),"",ReferenceData!$A$10),"")</f>
        <v xml:space="preserve">    Omega Healthcare Investors Inc</v>
      </c>
      <c r="B10" t="str">
        <f>IFERROR(IF(0=LEN(ReferenceData!$B$10),"",ReferenceData!$B$10),"")</f>
        <v>OHI US Equity</v>
      </c>
      <c r="C10" t="str">
        <f>IFERROR(IF(0=LEN(ReferenceData!$C$10),"",ReferenceData!$C$10),"")</f>
        <v>IS030</v>
      </c>
      <c r="D10" t="str">
        <f>IFERROR(IF(0=LEN(ReferenceData!$D$10),"",ReferenceData!$D$10),"")</f>
        <v>IS_RENT_INC</v>
      </c>
      <c r="E10" t="str">
        <f>IFERROR(IF(0=LEN(ReferenceData!$E$10),"",ReferenceData!$E$10),"")</f>
        <v>动态</v>
      </c>
      <c r="F10" t="str">
        <f ca="1">IFERROR(IF(0=LEN(ReferenceData!$F$10),"",ReferenceData!$F$10),"")</f>
        <v/>
      </c>
      <c r="G10">
        <f ca="1">IFERROR(IF(0=LEN(ReferenceData!$G$10),"",ReferenceData!$G$10),"")</f>
        <v>195.19300000000001</v>
      </c>
      <c r="H10">
        <f ca="1">IFERROR(IF(0=LEN(ReferenceData!$H$10),"",ReferenceData!$H$10),"")</f>
        <v>194.67699999999999</v>
      </c>
      <c r="I10">
        <f ca="1">IFERROR(IF(0=LEN(ReferenceData!$I$10),"",ReferenceData!$I$10),"")</f>
        <v>209.459</v>
      </c>
      <c r="J10">
        <f ca="1">IFERROR(IF(0=LEN(ReferenceData!$J$10),"",ReferenceData!$J$10),"")</f>
        <v>208.18299999999999</v>
      </c>
      <c r="K10">
        <f ca="1">IFERROR(IF(0=LEN(ReferenceData!$K$10),"",ReferenceData!$K$10),"")</f>
        <v>210.61500000000001</v>
      </c>
      <c r="L10">
        <f ca="1">IFERROR(IF(0=LEN(ReferenceData!$L$10),"",ReferenceData!$L$10),"")</f>
        <v>201.44800000000001</v>
      </c>
      <c r="M10">
        <f ca="1">IFERROR(IF(0=LEN(ReferenceData!$M$10),"",ReferenceData!$M$10),"")</f>
        <v>201.97499999999999</v>
      </c>
      <c r="N10">
        <f ca="1">IFERROR(IF(0=LEN(ReferenceData!$N$10),"",ReferenceData!$N$10),"")</f>
        <v>192.14500000000001</v>
      </c>
      <c r="O10">
        <f ca="1">IFERROR(IF(0=LEN(ReferenceData!$O$10),"",ReferenceData!$O$10),"")</f>
        <v>190.64599999999999</v>
      </c>
      <c r="P10">
        <f ca="1">IFERROR(IF(0=LEN(ReferenceData!$P$10),"",ReferenceData!$P$10),"")</f>
        <v>181.839</v>
      </c>
      <c r="Q10">
        <f ca="1">IFERROR(IF(0=LEN(ReferenceData!$Q$10),"",ReferenceData!$Q$10),"")</f>
        <v>178.13200000000001</v>
      </c>
      <c r="R10">
        <f ca="1">IFERROR(IF(0=LEN(ReferenceData!$R$10),"",ReferenceData!$R$10),"")</f>
        <v>115.31</v>
      </c>
      <c r="S10">
        <f ca="1">IFERROR(IF(0=LEN(ReferenceData!$S$10),"",ReferenceData!$S$10),"")</f>
        <v>113.02500000000001</v>
      </c>
      <c r="T10">
        <f ca="1">IFERROR(IF(0=LEN(ReferenceData!$T$10),"",ReferenceData!$T$10),"")</f>
        <v>111.747</v>
      </c>
      <c r="U10">
        <f ca="1">IFERROR(IF(0=LEN(ReferenceData!$U$10),"",ReferenceData!$U$10),"")</f>
        <v>110.38800000000001</v>
      </c>
      <c r="V10">
        <f ca="1">IFERROR(IF(0=LEN(ReferenceData!$V$10),"",ReferenceData!$V$10),"")</f>
        <v>110.002</v>
      </c>
      <c r="W10">
        <f ca="1">IFERROR(IF(0=LEN(ReferenceData!$W$10),"",ReferenceData!$W$10),"")</f>
        <v>100.32299999999999</v>
      </c>
      <c r="X10">
        <f ca="1">IFERROR(IF(0=LEN(ReferenceData!$X$10),"",ReferenceData!$X$10),"")</f>
        <v>93.837000000000003</v>
      </c>
      <c r="Y10">
        <f ca="1">IFERROR(IF(0=LEN(ReferenceData!$Y$10),"",ReferenceData!$Y$10),"")</f>
        <v>93.069000000000003</v>
      </c>
      <c r="Z10">
        <f ca="1">IFERROR(IF(0=LEN(ReferenceData!$Z$10),"",ReferenceData!$Z$10),"")</f>
        <v>93.108999999999995</v>
      </c>
      <c r="AA10">
        <f ca="1">IFERROR(IF(0=LEN(ReferenceData!$AA$10),"",ReferenceData!$AA$10),"")</f>
        <v>85.218999999999994</v>
      </c>
      <c r="AB10">
        <f ca="1">IFERROR(IF(0=LEN(ReferenceData!$AB$10),"",ReferenceData!$AB$10),"")</f>
        <v>78.17</v>
      </c>
      <c r="AC10">
        <f ca="1">IFERROR(IF(0=LEN(ReferenceData!$AC$10),"",ReferenceData!$AC$10),"")</f>
        <v>75.227999999999994</v>
      </c>
      <c r="AD10">
        <f ca="1">IFERROR(IF(0=LEN(ReferenceData!$AD$10),"",ReferenceData!$AD$10),"")</f>
        <v>75.974999999999994</v>
      </c>
      <c r="AE10">
        <f ca="1">IFERROR(IF(0=LEN(ReferenceData!$AE$10),"",ReferenceData!$AE$10),"")</f>
        <v>70.070999999999998</v>
      </c>
      <c r="AF10">
        <f ca="1">IFERROR(IF(0=LEN(ReferenceData!$AF$10),"",ReferenceData!$AF$10),"")</f>
        <v>68.622</v>
      </c>
      <c r="AG10">
        <f ca="1">IFERROR(IF(0=LEN(ReferenceData!$AG$10),"",ReferenceData!$AG$10),"")</f>
        <v>68.486999999999995</v>
      </c>
      <c r="AH10">
        <f ca="1">IFERROR(IF(0=LEN(ReferenceData!$AH$10),"",ReferenceData!$AH$10),"")</f>
        <v>66.337000000000003</v>
      </c>
      <c r="AI10">
        <f ca="1">IFERROR(IF(0=LEN(ReferenceData!$AI$10),"",ReferenceData!$AI$10),"")</f>
        <v>67.744</v>
      </c>
      <c r="AJ10">
        <f ca="1">IFERROR(IF(0=LEN(ReferenceData!$AJ$10),"",ReferenceData!$AJ$10),"")</f>
        <v>66.299000000000007</v>
      </c>
      <c r="AK10">
        <f ca="1">IFERROR(IF(0=LEN(ReferenceData!$AK$10),"",ReferenceData!$AK$10),"")</f>
        <v>51.52</v>
      </c>
      <c r="AL10">
        <f ca="1">IFERROR(IF(0=LEN(ReferenceData!$AL$10),"",ReferenceData!$AL$10),"")</f>
        <v>47.209000000000003</v>
      </c>
      <c r="AM10">
        <f ca="1">IFERROR(IF(0=LEN(ReferenceData!$AM$10),"",ReferenceData!$AM$10),"")</f>
        <v>40.841999999999999</v>
      </c>
      <c r="AN10">
        <f ca="1">IFERROR(IF(0=LEN(ReferenceData!$AN$10),"",ReferenceData!$AN$10),"")</f>
        <v>41.225999999999999</v>
      </c>
      <c r="AO10">
        <f ca="1">IFERROR(IF(0=LEN(ReferenceData!$AO$10),"",ReferenceData!$AO$10),"")</f>
        <v>41.225000000000001</v>
      </c>
      <c r="AP10">
        <f ca="1">IFERROR(IF(0=LEN(ReferenceData!$AP$10),"",ReferenceData!$AP$10),"")</f>
        <v>41.174999999999997</v>
      </c>
      <c r="AQ10">
        <f ca="1">IFERROR(IF(0=LEN(ReferenceData!$AQ$10),"",ReferenceData!$AQ$10),"")</f>
        <v>40.713000000000001</v>
      </c>
      <c r="AR10">
        <f ca="1">IFERROR(IF(0=LEN(ReferenceData!$AR$10),"",ReferenceData!$AR$10),"")</f>
        <v>37.265000000000001</v>
      </c>
      <c r="AS10">
        <f ca="1">IFERROR(IF(0=LEN(ReferenceData!$AS$10),"",ReferenceData!$AS$10),"")</f>
        <v>39.774000000000001</v>
      </c>
      <c r="AT10">
        <f ca="1">IFERROR(IF(0=LEN(ReferenceData!$AT$10),"",ReferenceData!$AT$10),"")</f>
        <v>38.012999999999998</v>
      </c>
      <c r="AU10">
        <f ca="1">IFERROR(IF(0=LEN(ReferenceData!$AU$10),"",ReferenceData!$AU$10),"")</f>
        <v>37.969000000000001</v>
      </c>
      <c r="AV10">
        <f ca="1">IFERROR(IF(0=LEN(ReferenceData!$AV$10),"",ReferenceData!$AV$10),"")</f>
        <v>37.113</v>
      </c>
      <c r="AW10">
        <f ca="1">IFERROR(IF(0=LEN(ReferenceData!$AW$10),"",ReferenceData!$AW$10),"")</f>
        <v>36.146999999999998</v>
      </c>
      <c r="AX10">
        <f ca="1">IFERROR(IF(0=LEN(ReferenceData!$AX$10),"",ReferenceData!$AX$10),"")</f>
        <v>40.832000000000001</v>
      </c>
      <c r="AY10">
        <f ca="1">IFERROR(IF(0=LEN(ReferenceData!$AY$10),"",ReferenceData!$AY$10),"")</f>
        <v>34.247999999999998</v>
      </c>
      <c r="AZ10">
        <f ca="1">IFERROR(IF(0=LEN(ReferenceData!$AZ$10),"",ReferenceData!$AZ$10),"")</f>
        <v>33.015999999999998</v>
      </c>
      <c r="BA10">
        <f ca="1">IFERROR(IF(0=LEN(ReferenceData!$BA$10),"",ReferenceData!$BA$10),"")</f>
        <v>29.88</v>
      </c>
      <c r="BB10">
        <f ca="1">IFERROR(IF(0=LEN(ReferenceData!$BB$10),"",ReferenceData!$BB$10),"")</f>
        <v>29.837</v>
      </c>
      <c r="BC10">
        <f ca="1">IFERROR(IF(0=LEN(ReferenceData!$BC$10),"",ReferenceData!$BC$10),"")</f>
        <v>26.318999999999999</v>
      </c>
      <c r="BD10">
        <f ca="1">IFERROR(IF(0=LEN(ReferenceData!$BD$10),"",ReferenceData!$BD$10),"")</f>
        <v>24.858000000000001</v>
      </c>
      <c r="BE10">
        <f ca="1">IFERROR(IF(0=LEN(ReferenceData!$BE$10),"",ReferenceData!$BE$10),"")</f>
        <v>22.513999999999999</v>
      </c>
      <c r="BF10">
        <f ca="1">IFERROR(IF(0=LEN(ReferenceData!$BF$10),"",ReferenceData!$BF$10),"")</f>
        <v>21.748000000000001</v>
      </c>
      <c r="BG10">
        <f ca="1">IFERROR(IF(0=LEN(ReferenceData!$BG$10),"",ReferenceData!$BG$10),"")</f>
        <v>14.473000000000001</v>
      </c>
      <c r="BH10">
        <f ca="1">IFERROR(IF(0=LEN(ReferenceData!$BH$10),"",ReferenceData!$BH$10),"")</f>
        <v>18.572000500000001</v>
      </c>
      <c r="BI10">
        <f ca="1">IFERROR(IF(0=LEN(ReferenceData!$BI$10),"",ReferenceData!$BI$10),"")</f>
        <v>18.170000080000001</v>
      </c>
      <c r="BJ10">
        <f ca="1">IFERROR(IF(0=LEN(ReferenceData!$BJ$10),"",ReferenceData!$BJ$10),"")</f>
        <v>17.122999190000002</v>
      </c>
      <c r="BK10">
        <f ca="1">IFERROR(IF(0=LEN(ReferenceData!$BK$10),"",ReferenceData!$BK$10),"")</f>
        <v>16.535999</v>
      </c>
      <c r="BL10">
        <f ca="1">IFERROR(IF(0=LEN(ReferenceData!$BL$10),"",ReferenceData!$BL$10),"")</f>
        <v>16.523000719999999</v>
      </c>
      <c r="BM10">
        <f ca="1">IFERROR(IF(0=LEN(ReferenceData!$BM$10),"",ReferenceData!$BM$10),"")</f>
        <v>16.152999879999999</v>
      </c>
    </row>
    <row r="11" spans="1:65">
      <c r="A11" t="str">
        <f>IFERROR(IF(0=LEN(ReferenceData!$A$11),"",ReferenceData!$A$11),"")</f>
        <v xml:space="preserve">    Sabra Health Care REIT Inc</v>
      </c>
      <c r="B11" t="str">
        <f>IFERROR(IF(0=LEN(ReferenceData!$B$11),"",ReferenceData!$B$11),"")</f>
        <v>SBRA US Equity</v>
      </c>
      <c r="C11" t="str">
        <f>IFERROR(IF(0=LEN(ReferenceData!$C$11),"",ReferenceData!$C$11),"")</f>
        <v>IS030</v>
      </c>
      <c r="D11" t="str">
        <f>IFERROR(IF(0=LEN(ReferenceData!$D$11),"",ReferenceData!$D$11),"")</f>
        <v>IS_RENT_INC</v>
      </c>
      <c r="E11" t="str">
        <f>IFERROR(IF(0=LEN(ReferenceData!$E$11),"",ReferenceData!$E$11),"")</f>
        <v>动态</v>
      </c>
      <c r="F11" t="str">
        <f ca="1">IFERROR(IF(0=LEN(ReferenceData!$F$11),"",ReferenceData!$F$11),"")</f>
        <v/>
      </c>
      <c r="G11">
        <f ca="1">IFERROR(IF(0=LEN(ReferenceData!$G$11),"",ReferenceData!$G$11),"")</f>
        <v>159.50800000000001</v>
      </c>
      <c r="H11">
        <f ca="1">IFERROR(IF(0=LEN(ReferenceData!$H$11),"",ReferenceData!$H$11),"")</f>
        <v>107.699</v>
      </c>
      <c r="I11">
        <f ca="1">IFERROR(IF(0=LEN(ReferenceData!$I$11),"",ReferenceData!$I$11),"")</f>
        <v>62.709000000000003</v>
      </c>
      <c r="J11">
        <f ca="1">IFERROR(IF(0=LEN(ReferenceData!$J$11),"",ReferenceData!$J$11),"")</f>
        <v>60.704999999999998</v>
      </c>
      <c r="K11">
        <f ca="1">IFERROR(IF(0=LEN(ReferenceData!$K$11),"",ReferenceData!$K$11),"")</f>
        <v>59.81</v>
      </c>
      <c r="L11">
        <f ca="1">IFERROR(IF(0=LEN(ReferenceData!$L$11),"",ReferenceData!$L$11),"")</f>
        <v>58.77</v>
      </c>
      <c r="M11">
        <f ca="1">IFERROR(IF(0=LEN(ReferenceData!$M$11),"",ReferenceData!$M$11),"")</f>
        <v>57.256</v>
      </c>
      <c r="N11">
        <f ca="1">IFERROR(IF(0=LEN(ReferenceData!$N$11),"",ReferenceData!$N$11),"")</f>
        <v>57.226999999999997</v>
      </c>
      <c r="O11">
        <f ca="1">IFERROR(IF(0=LEN(ReferenceData!$O$11),"",ReferenceData!$O$11),"")</f>
        <v>58.862000000000002</v>
      </c>
      <c r="P11">
        <f ca="1">IFERROR(IF(0=LEN(ReferenceData!$P$11),"",ReferenceData!$P$11),"")</f>
        <v>53.173000000000002</v>
      </c>
      <c r="Q11">
        <f ca="1">IFERROR(IF(0=LEN(ReferenceData!$Q$11),"",ReferenceData!$Q$11),"")</f>
        <v>49.896000000000001</v>
      </c>
      <c r="R11">
        <f ca="1">IFERROR(IF(0=LEN(ReferenceData!$R$11),"",ReferenceData!$R$11),"")</f>
        <v>49.505000000000003</v>
      </c>
      <c r="S11">
        <f ca="1">IFERROR(IF(0=LEN(ReferenceData!$S$11),"",ReferenceData!$S$11),"")</f>
        <v>49.74</v>
      </c>
      <c r="T11">
        <f ca="1">IFERROR(IF(0=LEN(ReferenceData!$T$11),"",ReferenceData!$T$11),"")</f>
        <v>38.164999999999999</v>
      </c>
      <c r="U11">
        <f ca="1">IFERROR(IF(0=LEN(ReferenceData!$U$11),"",ReferenceData!$U$11),"")</f>
        <v>37.484999999999999</v>
      </c>
      <c r="V11">
        <f ca="1">IFERROR(IF(0=LEN(ReferenceData!$V$11),"",ReferenceData!$V$11),"")</f>
        <v>36.093000000000004</v>
      </c>
      <c r="W11">
        <f ca="1">IFERROR(IF(0=LEN(ReferenceData!$W$11),"",ReferenceData!$W$11),"")</f>
        <v>34.295999999999999</v>
      </c>
      <c r="X11">
        <f ca="1">IFERROR(IF(0=LEN(ReferenceData!$X$11),"",ReferenceData!$X$11),"")</f>
        <v>31.699000000000002</v>
      </c>
      <c r="Y11">
        <f ca="1">IFERROR(IF(0=LEN(ReferenceData!$Y$11),"",ReferenceData!$Y$11),"")</f>
        <v>31.518000000000001</v>
      </c>
      <c r="Z11">
        <f ca="1">IFERROR(IF(0=LEN(ReferenceData!$Z$11),"",ReferenceData!$Z$11),"")</f>
        <v>31.475000000000001</v>
      </c>
      <c r="AA11">
        <f ca="1">IFERROR(IF(0=LEN(ReferenceData!$AA$11),"",ReferenceData!$AA$11),"")</f>
        <v>27.838000000000001</v>
      </c>
      <c r="AB11">
        <f ca="1">IFERROR(IF(0=LEN(ReferenceData!$AB$11),"",ReferenceData!$AB$11),"")</f>
        <v>25.42</v>
      </c>
      <c r="AC11">
        <f ca="1">IFERROR(IF(0=LEN(ReferenceData!$AC$11),"",ReferenceData!$AC$11),"")</f>
        <v>24.82</v>
      </c>
      <c r="AD11">
        <f ca="1">IFERROR(IF(0=LEN(ReferenceData!$AD$11),"",ReferenceData!$AD$11),"")</f>
        <v>23.663</v>
      </c>
      <c r="AE11">
        <f ca="1">IFERROR(IF(0=LEN(ReferenceData!$AE$11),"",ReferenceData!$AE$11),"")</f>
        <v>23.195</v>
      </c>
      <c r="AF11">
        <f ca="1">IFERROR(IF(0=LEN(ReferenceData!$AF$11),"",ReferenceData!$AF$11),"")</f>
        <v>21.294</v>
      </c>
      <c r="AG11">
        <f ca="1">IFERROR(IF(0=LEN(ReferenceData!$AG$11),"",ReferenceData!$AG$11),"")</f>
        <v>18.628</v>
      </c>
      <c r="AH11">
        <f ca="1">IFERROR(IF(0=LEN(ReferenceData!$AH$11),"",ReferenceData!$AH$11),"")</f>
        <v>17.561</v>
      </c>
      <c r="AI11" t="str">
        <f ca="1">IFERROR(IF(0=LEN(ReferenceData!$AI$11),"",ReferenceData!$AI$11),"")</f>
        <v/>
      </c>
      <c r="AJ11" t="str">
        <f ca="1">IFERROR(IF(0=LEN(ReferenceData!$AJ$11),"",ReferenceData!$AJ$11),"")</f>
        <v/>
      </c>
      <c r="AK11" t="str">
        <f ca="1">IFERROR(IF(0=LEN(ReferenceData!$AK$11),"",ReferenceData!$AK$11),"")</f>
        <v/>
      </c>
      <c r="AL11" t="str">
        <f ca="1">IFERROR(IF(0=LEN(ReferenceData!$AL$11),"",ReferenceData!$AL$11),"")</f>
        <v/>
      </c>
      <c r="AM11" t="str">
        <f ca="1">IFERROR(IF(0=LEN(ReferenceData!$AM$11),"",ReferenceData!$AM$11),"")</f>
        <v/>
      </c>
      <c r="AN11" t="str">
        <f ca="1">IFERROR(IF(0=LEN(ReferenceData!$AN$11),"",ReferenceData!$AN$11),"")</f>
        <v/>
      </c>
      <c r="AO11" t="str">
        <f ca="1">IFERROR(IF(0=LEN(ReferenceData!$AO$11),"",ReferenceData!$AO$11),"")</f>
        <v/>
      </c>
      <c r="AP11" t="str">
        <f ca="1">IFERROR(IF(0=LEN(ReferenceData!$AP$11),"",ReferenceData!$AP$11),"")</f>
        <v/>
      </c>
      <c r="AQ11" t="str">
        <f ca="1">IFERROR(IF(0=LEN(ReferenceData!$AQ$11),"",ReferenceData!$AQ$11),"")</f>
        <v/>
      </c>
      <c r="AR11" t="str">
        <f ca="1">IFERROR(IF(0=LEN(ReferenceData!$AR$11),"",ReferenceData!$AR$11),"")</f>
        <v/>
      </c>
      <c r="AS11" t="str">
        <f ca="1">IFERROR(IF(0=LEN(ReferenceData!$AS$11),"",ReferenceData!$AS$11),"")</f>
        <v/>
      </c>
      <c r="AT11" t="str">
        <f ca="1">IFERROR(IF(0=LEN(ReferenceData!$AT$11),"",ReferenceData!$AT$11),"")</f>
        <v/>
      </c>
      <c r="AU11" t="str">
        <f ca="1">IFERROR(IF(0=LEN(ReferenceData!$AU$11),"",ReferenceData!$AU$11),"")</f>
        <v/>
      </c>
      <c r="AV11" t="str">
        <f ca="1">IFERROR(IF(0=LEN(ReferenceData!$AV$11),"",ReferenceData!$AV$11),"")</f>
        <v/>
      </c>
      <c r="AW11" t="str">
        <f ca="1">IFERROR(IF(0=LEN(ReferenceData!$AW$11),"",ReferenceData!$AW$11),"")</f>
        <v/>
      </c>
      <c r="AX11" t="str">
        <f ca="1">IFERROR(IF(0=LEN(ReferenceData!$AX$11),"",ReferenceData!$AX$11),"")</f>
        <v/>
      </c>
      <c r="AY11" t="str">
        <f ca="1">IFERROR(IF(0=LEN(ReferenceData!$AY$11),"",ReferenceData!$AY$11),"")</f>
        <v/>
      </c>
      <c r="AZ11" t="str">
        <f ca="1">IFERROR(IF(0=LEN(ReferenceData!$AZ$11),"",ReferenceData!$AZ$11),"")</f>
        <v/>
      </c>
      <c r="BA11" t="str">
        <f ca="1">IFERROR(IF(0=LEN(ReferenceData!$BA$11),"",ReferenceData!$BA$11),"")</f>
        <v/>
      </c>
      <c r="BB11" t="str">
        <f ca="1">IFERROR(IF(0=LEN(ReferenceData!$BB$11),"",ReferenceData!$BB$11),"")</f>
        <v/>
      </c>
      <c r="BC11" t="str">
        <f ca="1">IFERROR(IF(0=LEN(ReferenceData!$BC$11),"",ReferenceData!$BC$11),"")</f>
        <v/>
      </c>
      <c r="BD11" t="str">
        <f ca="1">IFERROR(IF(0=LEN(ReferenceData!$BD$11),"",ReferenceData!$BD$11),"")</f>
        <v/>
      </c>
      <c r="BE11" t="str">
        <f ca="1">IFERROR(IF(0=LEN(ReferenceData!$BE$11),"",ReferenceData!$BE$11),"")</f>
        <v/>
      </c>
      <c r="BF11" t="str">
        <f ca="1">IFERROR(IF(0=LEN(ReferenceData!$BF$11),"",ReferenceData!$BF$11),"")</f>
        <v/>
      </c>
      <c r="BG11" t="str">
        <f ca="1">IFERROR(IF(0=LEN(ReferenceData!$BG$11),"",ReferenceData!$BG$11),"")</f>
        <v/>
      </c>
      <c r="BH11" t="str">
        <f ca="1">IFERROR(IF(0=LEN(ReferenceData!$BH$11),"",ReferenceData!$BH$11),"")</f>
        <v/>
      </c>
      <c r="BI11" t="str">
        <f ca="1">IFERROR(IF(0=LEN(ReferenceData!$BI$11),"",ReferenceData!$BI$11),"")</f>
        <v/>
      </c>
      <c r="BJ11" t="str">
        <f ca="1">IFERROR(IF(0=LEN(ReferenceData!$BJ$11),"",ReferenceData!$BJ$11),"")</f>
        <v/>
      </c>
      <c r="BK11" t="str">
        <f ca="1">IFERROR(IF(0=LEN(ReferenceData!$BK$11),"",ReferenceData!$BK$11),"")</f>
        <v/>
      </c>
      <c r="BL11" t="str">
        <f ca="1">IFERROR(IF(0=LEN(ReferenceData!$BL$11),"",ReferenceData!$BL$11),"")</f>
        <v/>
      </c>
      <c r="BM11" t="str">
        <f ca="1">IFERROR(IF(0=LEN(ReferenceData!$BM$11),"",ReferenceData!$BM$11),"")</f>
        <v/>
      </c>
    </row>
    <row r="12" spans="1:65">
      <c r="A12" t="str">
        <f>IFERROR(IF(0=LEN(ReferenceData!$A$12),"",ReferenceData!$A$12),"")</f>
        <v xml:space="preserve">    Senior Housing Properties Trus</v>
      </c>
      <c r="B12" t="str">
        <f>IFERROR(IF(0=LEN(ReferenceData!$B$12),"",ReferenceData!$B$12),"")</f>
        <v>SNH US Equity</v>
      </c>
      <c r="C12" t="str">
        <f>IFERROR(IF(0=LEN(ReferenceData!$C$12),"",ReferenceData!$C$12),"")</f>
        <v>IS030</v>
      </c>
      <c r="D12" t="str">
        <f>IFERROR(IF(0=LEN(ReferenceData!$D$12),"",ReferenceData!$D$12),"")</f>
        <v>IS_RENT_INC</v>
      </c>
      <c r="E12" t="str">
        <f>IFERROR(IF(0=LEN(ReferenceData!$E$12),"",ReferenceData!$E$12),"")</f>
        <v>动态</v>
      </c>
      <c r="F12" t="str">
        <f ca="1">IFERROR(IF(0=LEN(ReferenceData!$F$12),"",ReferenceData!$F$12),"")</f>
        <v/>
      </c>
      <c r="G12">
        <f ca="1">IFERROR(IF(0=LEN(ReferenceData!$G$12),"",ReferenceData!$G$12),"")</f>
        <v>179.58500000000001</v>
      </c>
      <c r="H12">
        <f ca="1">IFERROR(IF(0=LEN(ReferenceData!$H$12),"",ReferenceData!$H$12),"")</f>
        <v>168.34800000000001</v>
      </c>
      <c r="I12">
        <f ca="1">IFERROR(IF(0=LEN(ReferenceData!$I$12),"",ReferenceData!$I$12),"")</f>
        <v>166.64699999999999</v>
      </c>
      <c r="J12">
        <f ca="1">IFERROR(IF(0=LEN(ReferenceData!$J$12),"",ReferenceData!$J$12),"")</f>
        <v>166.44300000000001</v>
      </c>
      <c r="K12">
        <f ca="1">IFERROR(IF(0=LEN(ReferenceData!$K$12),"",ReferenceData!$K$12),"")</f>
        <v>175.27699999999999</v>
      </c>
      <c r="L12">
        <f ca="1">IFERROR(IF(0=LEN(ReferenceData!$L$12),"",ReferenceData!$L$12),"")</f>
        <v>165.50299999999999</v>
      </c>
      <c r="M12">
        <f ca="1">IFERROR(IF(0=LEN(ReferenceData!$M$12),"",ReferenceData!$M$12),"")</f>
        <v>163.99700000000001</v>
      </c>
      <c r="N12">
        <f ca="1">IFERROR(IF(0=LEN(ReferenceData!$N$12),"",ReferenceData!$N$12),"")</f>
        <v>161.42099999999999</v>
      </c>
      <c r="O12">
        <f ca="1">IFERROR(IF(0=LEN(ReferenceData!$O$12),"",ReferenceData!$O$12),"")</f>
        <v>170.70599999999999</v>
      </c>
      <c r="P12">
        <f ca="1">IFERROR(IF(0=LEN(ReferenceData!$P$12),"",ReferenceData!$P$12),"")</f>
        <v>158.863</v>
      </c>
      <c r="Q12">
        <f ca="1">IFERROR(IF(0=LEN(ReferenceData!$Q$12),"",ReferenceData!$Q$12),"")</f>
        <v>155.54599999999999</v>
      </c>
      <c r="R12">
        <f ca="1">IFERROR(IF(0=LEN(ReferenceData!$R$12),"",ReferenceData!$R$12),"")</f>
        <v>145.78399999999999</v>
      </c>
      <c r="S12">
        <f ca="1">IFERROR(IF(0=LEN(ReferenceData!$S$12),"",ReferenceData!$S$12),"")</f>
        <v>149.364</v>
      </c>
      <c r="T12">
        <f ca="1">IFERROR(IF(0=LEN(ReferenceData!$T$12),"",ReferenceData!$T$12),"")</f>
        <v>137.614</v>
      </c>
      <c r="U12">
        <f ca="1">IFERROR(IF(0=LEN(ReferenceData!$U$12),"",ReferenceData!$U$12),"")</f>
        <v>127.669</v>
      </c>
      <c r="V12">
        <f ca="1">IFERROR(IF(0=LEN(ReferenceData!$V$12),"",ReferenceData!$V$12),"")</f>
        <v>112.05500000000001</v>
      </c>
      <c r="W12">
        <f ca="1">IFERROR(IF(0=LEN(ReferenceData!$W$12),"",ReferenceData!$W$12),"")</f>
        <v>122.91200000000001</v>
      </c>
      <c r="X12">
        <f ca="1">IFERROR(IF(0=LEN(ReferenceData!$X$12),"",ReferenceData!$X$12),"")</f>
        <v>112.319</v>
      </c>
      <c r="Y12">
        <f ca="1">IFERROR(IF(0=LEN(ReferenceData!$Y$12),"",ReferenceData!$Y$12),"")</f>
        <v>112.297</v>
      </c>
      <c r="Z12">
        <f ca="1">IFERROR(IF(0=LEN(ReferenceData!$Z$12),"",ReferenceData!$Z$12),"")</f>
        <v>111.852</v>
      </c>
      <c r="AA12">
        <f ca="1">IFERROR(IF(0=LEN(ReferenceData!$AA$12),"",ReferenceData!$AA$12),"")</f>
        <v>124.039</v>
      </c>
      <c r="AB12">
        <f ca="1">IFERROR(IF(0=LEN(ReferenceData!$AB$12),"",ReferenceData!$AB$12),"")</f>
        <v>113.756</v>
      </c>
      <c r="AC12">
        <f ca="1">IFERROR(IF(0=LEN(ReferenceData!$AC$12),"",ReferenceData!$AC$12),"")</f>
        <v>108.407</v>
      </c>
      <c r="AD12">
        <f ca="1">IFERROR(IF(0=LEN(ReferenceData!$AD$12),"",ReferenceData!$AD$12),"")</f>
        <v>109.505</v>
      </c>
      <c r="AE12">
        <f ca="1">IFERROR(IF(0=LEN(ReferenceData!$AE$12),"",ReferenceData!$AE$12),"")</f>
        <v>120.327</v>
      </c>
      <c r="AF12">
        <f ca="1">IFERROR(IF(0=LEN(ReferenceData!$AF$12),"",ReferenceData!$AF$12),"")</f>
        <v>113.7</v>
      </c>
      <c r="AG12">
        <f ca="1">IFERROR(IF(0=LEN(ReferenceData!$AG$12),"",ReferenceData!$AG$12),"")</f>
        <v>100.318</v>
      </c>
      <c r="AH12">
        <f ca="1">IFERROR(IF(0=LEN(ReferenceData!$AH$12),"",ReferenceData!$AH$12),"")</f>
        <v>98.552000000000007</v>
      </c>
      <c r="AI12">
        <f ca="1">IFERROR(IF(0=LEN(ReferenceData!$AI$12),"",ReferenceData!$AI$12),"")</f>
        <v>97.363</v>
      </c>
      <c r="AJ12">
        <f ca="1">IFERROR(IF(0=LEN(ReferenceData!$AJ$12),"",ReferenceData!$AJ$12),"")</f>
        <v>80.960999999999999</v>
      </c>
      <c r="AK12">
        <f ca="1">IFERROR(IF(0=LEN(ReferenceData!$AK$12),"",ReferenceData!$AK$12),"")</f>
        <v>80.765000000000001</v>
      </c>
      <c r="AL12">
        <f ca="1">IFERROR(IF(0=LEN(ReferenceData!$AL$12),"",ReferenceData!$AL$12),"")</f>
        <v>80.447000000000003</v>
      </c>
      <c r="AM12">
        <f ca="1">IFERROR(IF(0=LEN(ReferenceData!$AM$12),"",ReferenceData!$AM$12),"")</f>
        <v>86.992000000000004</v>
      </c>
      <c r="AN12">
        <f ca="1">IFERROR(IF(0=LEN(ReferenceData!$AN$12),"",ReferenceData!$AN$12),"")</f>
        <v>72.010000000000005</v>
      </c>
      <c r="AO12">
        <f ca="1">IFERROR(IF(0=LEN(ReferenceData!$AO$12),"",ReferenceData!$AO$12),"")</f>
        <v>69.399000000000001</v>
      </c>
      <c r="AP12">
        <f ca="1">IFERROR(IF(0=LEN(ReferenceData!$AP$12),"",ReferenceData!$AP$12),"")</f>
        <v>68.376999999999995</v>
      </c>
      <c r="AQ12">
        <f ca="1">IFERROR(IF(0=LEN(ReferenceData!$AQ$12),"",ReferenceData!$AQ$12),"")</f>
        <v>72.619</v>
      </c>
      <c r="AR12">
        <f ca="1">IFERROR(IF(0=LEN(ReferenceData!$AR$12),"",ReferenceData!$AR$12),"")</f>
        <v>58.896999999999998</v>
      </c>
      <c r="AS12">
        <f ca="1">IFERROR(IF(0=LEN(ReferenceData!$AS$12),"",ReferenceData!$AS$12),"")</f>
        <v>52.707999999999998</v>
      </c>
      <c r="AT12">
        <f ca="1">IFERROR(IF(0=LEN(ReferenceData!$AT$12),"",ReferenceData!$AT$12),"")</f>
        <v>48.982999999999997</v>
      </c>
      <c r="AU12">
        <f ca="1">IFERROR(IF(0=LEN(ReferenceData!$AU$12),"",ReferenceData!$AU$12),"")</f>
        <v>52.591000000000001</v>
      </c>
      <c r="AV12">
        <f ca="1">IFERROR(IF(0=LEN(ReferenceData!$AV$12),"",ReferenceData!$AV$12),"")</f>
        <v>44.652999999999999</v>
      </c>
      <c r="AW12">
        <f ca="1">IFERROR(IF(0=LEN(ReferenceData!$AW$12),"",ReferenceData!$AW$12),"")</f>
        <v>44.405999999999999</v>
      </c>
      <c r="AX12">
        <f ca="1">IFERROR(IF(0=LEN(ReferenceData!$AX$12),"",ReferenceData!$AX$12),"")</f>
        <v>44.301000000000002</v>
      </c>
      <c r="AY12">
        <f ca="1">IFERROR(IF(0=LEN(ReferenceData!$AY$12),"",ReferenceData!$AY$12),"")</f>
        <v>54.645000000000003</v>
      </c>
      <c r="AZ12">
        <f ca="1">IFERROR(IF(0=LEN(ReferenceData!$AZ$12),"",ReferenceData!$AZ$12),"")</f>
        <v>41.982999999999997</v>
      </c>
      <c r="BA12">
        <f ca="1">IFERROR(IF(0=LEN(ReferenceData!$BA$12),"",ReferenceData!$BA$12),"")</f>
        <v>40.920999999999999</v>
      </c>
      <c r="BB12">
        <f ca="1">IFERROR(IF(0=LEN(ReferenceData!$BB$12),"",ReferenceData!$BB$12),"")</f>
        <v>40.823</v>
      </c>
      <c r="BC12">
        <f ca="1">IFERROR(IF(0=LEN(ReferenceData!$BC$12),"",ReferenceData!$BC$12),"")</f>
        <v>43.777000000000001</v>
      </c>
      <c r="BD12">
        <f ca="1">IFERROR(IF(0=LEN(ReferenceData!$BD$12),"",ReferenceData!$BD$12),"")</f>
        <v>39.506000520000001</v>
      </c>
      <c r="BE12">
        <f ca="1">IFERROR(IF(0=LEN(ReferenceData!$BE$12),"",ReferenceData!$BE$12),"")</f>
        <v>39.094001769999998</v>
      </c>
      <c r="BF12">
        <f ca="1">IFERROR(IF(0=LEN(ReferenceData!$BF$12),"",ReferenceData!$BF$12),"")</f>
        <v>38.888000490000003</v>
      </c>
      <c r="BG12">
        <f ca="1">IFERROR(IF(0=LEN(ReferenceData!$BG$12),"",ReferenceData!$BG$12),"")</f>
        <v>40.286000000000001</v>
      </c>
      <c r="BH12">
        <f ca="1">IFERROR(IF(0=LEN(ReferenceData!$BH$12),"",ReferenceData!$BH$12),"")</f>
        <v>35.42599869</v>
      </c>
      <c r="BI12">
        <f ca="1">IFERROR(IF(0=LEN(ReferenceData!$BI$12),"",ReferenceData!$BI$12),"")</f>
        <v>35.188999180000003</v>
      </c>
      <c r="BJ12">
        <f ca="1">IFERROR(IF(0=LEN(ReferenceData!$BJ$12),"",ReferenceData!$BJ$12),"")</f>
        <v>34.828998570000003</v>
      </c>
      <c r="BK12">
        <f ca="1">IFERROR(IF(0=LEN(ReferenceData!$BK$12),"",ReferenceData!$BK$12),"")</f>
        <v>35.541000369999999</v>
      </c>
      <c r="BL12">
        <f ca="1">IFERROR(IF(0=LEN(ReferenceData!$BL$12),"",ReferenceData!$BL$12),"")</f>
        <v>31.805</v>
      </c>
      <c r="BM12">
        <f ca="1">IFERROR(IF(0=LEN(ReferenceData!$BM$12),"",ReferenceData!$BM$12),"")</f>
        <v>31.568000000000001</v>
      </c>
    </row>
    <row r="13" spans="1:65">
      <c r="A13" t="str">
        <f>IFERROR(IF(0=LEN(ReferenceData!$A$13),"",ReferenceData!$A$13),"")</f>
        <v xml:space="preserve">    Ventas Inc</v>
      </c>
      <c r="B13" t="str">
        <f>IFERROR(IF(0=LEN(ReferenceData!$B$13),"",ReferenceData!$B$13),"")</f>
        <v>VTR US Equity</v>
      </c>
      <c r="C13" t="str">
        <f>IFERROR(IF(0=LEN(ReferenceData!$C$13),"",ReferenceData!$C$13),"")</f>
        <v>IS030</v>
      </c>
      <c r="D13" t="str">
        <f>IFERROR(IF(0=LEN(ReferenceData!$D$13),"",ReferenceData!$D$13),"")</f>
        <v>IS_RENT_INC</v>
      </c>
      <c r="E13" t="str">
        <f>IFERROR(IF(0=LEN(ReferenceData!$E$13),"",ReferenceData!$E$13),"")</f>
        <v>动态</v>
      </c>
      <c r="F13" t="str">
        <f ca="1">IFERROR(IF(0=LEN(ReferenceData!$F$13),"",ReferenceData!$F$13),"")</f>
        <v/>
      </c>
      <c r="G13">
        <f ca="1">IFERROR(IF(0=LEN(ReferenceData!$G$13),"",ReferenceData!$G$13),"")</f>
        <v>205.17599999999999</v>
      </c>
      <c r="H13">
        <f ca="1">IFERROR(IF(0=LEN(ReferenceData!$H$13),"",ReferenceData!$H$13),"")</f>
        <v>212.37</v>
      </c>
      <c r="I13">
        <f ca="1">IFERROR(IF(0=LEN(ReferenceData!$I$13),"",ReferenceData!$I$13),"")</f>
        <v>213.25800000000001</v>
      </c>
      <c r="J13">
        <f ca="1">IFERROR(IF(0=LEN(ReferenceData!$J$13),"",ReferenceData!$J$13),"")</f>
        <v>209.327</v>
      </c>
      <c r="K13">
        <f ca="1">IFERROR(IF(0=LEN(ReferenceData!$K$13),"",ReferenceData!$K$13),"")</f>
        <v>210.804</v>
      </c>
      <c r="L13">
        <f ca="1">IFERROR(IF(0=LEN(ReferenceData!$L$13),"",ReferenceData!$L$13),"")</f>
        <v>210.42400000000001</v>
      </c>
      <c r="M13">
        <f ca="1">IFERROR(IF(0=LEN(ReferenceData!$M$13),"",ReferenceData!$M$13),"")</f>
        <v>210.119</v>
      </c>
      <c r="N13">
        <f ca="1">IFERROR(IF(0=LEN(ReferenceData!$N$13),"",ReferenceData!$N$13),"")</f>
        <v>214.48699999999999</v>
      </c>
      <c r="O13">
        <f ca="1">IFERROR(IF(0=LEN(ReferenceData!$O$13),"",ReferenceData!$O$13),"")</f>
        <v>208.21</v>
      </c>
      <c r="P13">
        <f ca="1">IFERROR(IF(0=LEN(ReferenceData!$P$13),"",ReferenceData!$P$13),"")</f>
        <v>201.02799999999999</v>
      </c>
      <c r="Q13">
        <f ca="1">IFERROR(IF(0=LEN(ReferenceData!$Q$13),"",ReferenceData!$Q$13),"")</f>
        <v>182.006</v>
      </c>
      <c r="R13">
        <f ca="1">IFERROR(IF(0=LEN(ReferenceData!$R$13),"",ReferenceData!$R$13),"")</f>
        <v>188.55699999999999</v>
      </c>
      <c r="S13">
        <f ca="1">IFERROR(IF(0=LEN(ReferenceData!$S$13),"",ReferenceData!$S$13),"")</f>
        <v>174.5</v>
      </c>
      <c r="T13">
        <f ca="1">IFERROR(IF(0=LEN(ReferenceData!$T$13),"",ReferenceData!$T$13),"")</f>
        <v>170.87299999999999</v>
      </c>
      <c r="U13">
        <f ca="1">IFERROR(IF(0=LEN(ReferenceData!$U$13),"",ReferenceData!$U$13),"")</f>
        <v>242.726</v>
      </c>
      <c r="V13">
        <f ca="1">IFERROR(IF(0=LEN(ReferenceData!$V$13),"",ReferenceData!$V$13),"")</f>
        <v>237.846</v>
      </c>
      <c r="W13">
        <f ca="1">IFERROR(IF(0=LEN(ReferenceData!$W$13),"",ReferenceData!$W$13),"")</f>
        <v>232.87299999999999</v>
      </c>
      <c r="X13">
        <f ca="1">IFERROR(IF(0=LEN(ReferenceData!$X$13),"",ReferenceData!$X$13),"")</f>
        <v>218.69800000000001</v>
      </c>
      <c r="Y13">
        <f ca="1">IFERROR(IF(0=LEN(ReferenceData!$Y$13),"",ReferenceData!$Y$13),"")</f>
        <v>213.17099999999999</v>
      </c>
      <c r="Z13">
        <f ca="1">IFERROR(IF(0=LEN(ReferenceData!$Z$13),"",ReferenceData!$Z$13),"")</f>
        <v>212.53399999999999</v>
      </c>
      <c r="AA13">
        <f ca="1">IFERROR(IF(0=LEN(ReferenceData!$AA$13),"",ReferenceData!$AA$13),"")</f>
        <v>206.18799999999999</v>
      </c>
      <c r="AB13">
        <f ca="1">IFERROR(IF(0=LEN(ReferenceData!$AB$13),"",ReferenceData!$AB$13),"")</f>
        <v>207.37200000000001</v>
      </c>
      <c r="AC13">
        <f ca="1">IFERROR(IF(0=LEN(ReferenceData!$AC$13),"",ReferenceData!$AC$13),"")</f>
        <v>204.56100000000001</v>
      </c>
      <c r="AD13">
        <f ca="1">IFERROR(IF(0=LEN(ReferenceData!$AD$13),"",ReferenceData!$AD$13),"")</f>
        <v>203.57499999999999</v>
      </c>
      <c r="AE13">
        <f ca="1">IFERROR(IF(0=LEN(ReferenceData!$AE$13),"",ReferenceData!$AE$13),"")</f>
        <v>204.16900000000001</v>
      </c>
      <c r="AF13">
        <f ca="1">IFERROR(IF(0=LEN(ReferenceData!$AF$13),"",ReferenceData!$AF$13),"")</f>
        <v>203.209</v>
      </c>
      <c r="AG13">
        <f ca="1">IFERROR(IF(0=LEN(ReferenceData!$AG$13),"",ReferenceData!$AG$13),"")</f>
        <v>116.15</v>
      </c>
      <c r="AH13">
        <f ca="1">IFERROR(IF(0=LEN(ReferenceData!$AH$13),"",ReferenceData!$AH$13),"")</f>
        <v>116.574</v>
      </c>
      <c r="AI13">
        <f ca="1">IFERROR(IF(0=LEN(ReferenceData!$AI$13),"",ReferenceData!$AI$13),"")</f>
        <v>116.17100000000001</v>
      </c>
      <c r="AJ13">
        <f ca="1">IFERROR(IF(0=LEN(ReferenceData!$AJ$13),"",ReferenceData!$AJ$13),"")</f>
        <v>117.90600000000001</v>
      </c>
      <c r="AK13">
        <f ca="1">IFERROR(IF(0=LEN(ReferenceData!$AK$13),"",ReferenceData!$AK$13),"")</f>
        <v>117.386</v>
      </c>
      <c r="AL13">
        <f ca="1">IFERROR(IF(0=LEN(ReferenceData!$AL$13),"",ReferenceData!$AL$13),"")</f>
        <v>116.333</v>
      </c>
      <c r="AM13">
        <f ca="1">IFERROR(IF(0=LEN(ReferenceData!$AM$13),"",ReferenceData!$AM$13),"")</f>
        <v>126.063</v>
      </c>
      <c r="AN13">
        <f ca="1">IFERROR(IF(0=LEN(ReferenceData!$AN$13),"",ReferenceData!$AN$13),"")</f>
        <v>115.752</v>
      </c>
      <c r="AO13">
        <f ca="1">IFERROR(IF(0=LEN(ReferenceData!$AO$13),"",ReferenceData!$AO$13),"")</f>
        <v>124.61199999999999</v>
      </c>
      <c r="AP13">
        <f ca="1">IFERROR(IF(0=LEN(ReferenceData!$AP$13),"",ReferenceData!$AP$13),"")</f>
        <v>122.398</v>
      </c>
      <c r="AQ13">
        <f ca="1">IFERROR(IF(0=LEN(ReferenceData!$AQ$13),"",ReferenceData!$AQ$13),"")</f>
        <v>122.673</v>
      </c>
      <c r="AR13">
        <f ca="1">IFERROR(IF(0=LEN(ReferenceData!$AR$13),"",ReferenceData!$AR$13),"")</f>
        <v>121.172</v>
      </c>
      <c r="AS13">
        <f ca="1">IFERROR(IF(0=LEN(ReferenceData!$AS$13),"",ReferenceData!$AS$13),"")</f>
        <v>119.441</v>
      </c>
      <c r="AT13">
        <f ca="1">IFERROR(IF(0=LEN(ReferenceData!$AT$13),"",ReferenceData!$AT$13),"")</f>
        <v>119.661</v>
      </c>
      <c r="AU13">
        <f ca="1">IFERROR(IF(0=LEN(ReferenceData!$AU$13),"",ReferenceData!$AU$13),"")</f>
        <v>119.83499999999999</v>
      </c>
      <c r="AV13">
        <f ca="1">IFERROR(IF(0=LEN(ReferenceData!$AV$13),"",ReferenceData!$AV$13),"")</f>
        <v>118.36499999999999</v>
      </c>
      <c r="AW13">
        <f ca="1">IFERROR(IF(0=LEN(ReferenceData!$AW$13),"",ReferenceData!$AW$13),"")</f>
        <v>118.252</v>
      </c>
      <c r="AX13">
        <f ca="1">IFERROR(IF(0=LEN(ReferenceData!$AX$13),"",ReferenceData!$AX$13),"")</f>
        <v>116.345</v>
      </c>
      <c r="AY13">
        <f ca="1">IFERROR(IF(0=LEN(ReferenceData!$AY$13),"",ReferenceData!$AY$13),"")</f>
        <v>109.91800000000001</v>
      </c>
      <c r="AZ13">
        <f ca="1">IFERROR(IF(0=LEN(ReferenceData!$AZ$13),"",ReferenceData!$AZ$13),"")</f>
        <v>104.00423000000001</v>
      </c>
      <c r="BA13">
        <f ca="1">IFERROR(IF(0=LEN(ReferenceData!$BA$13),"",ReferenceData!$BA$13),"")</f>
        <v>95.525000000000006</v>
      </c>
      <c r="BB13">
        <f ca="1">IFERROR(IF(0=LEN(ReferenceData!$BB$13),"",ReferenceData!$BB$13),"")</f>
        <v>96.504999999999995</v>
      </c>
      <c r="BC13">
        <f ca="1">IFERROR(IF(0=LEN(ReferenceData!$BC$13),"",ReferenceData!$BC$13),"")</f>
        <v>96.274000000000001</v>
      </c>
      <c r="BD13">
        <f ca="1">IFERROR(IF(0=LEN(ReferenceData!$BD$13),"",ReferenceData!$BD$13),"")</f>
        <v>93.569000000000003</v>
      </c>
      <c r="BE13">
        <f ca="1">IFERROR(IF(0=LEN(ReferenceData!$BE$13),"",ReferenceData!$BE$13),"")</f>
        <v>72.34</v>
      </c>
      <c r="BF13">
        <f ca="1">IFERROR(IF(0=LEN(ReferenceData!$BF$13),"",ReferenceData!$BF$13),"")</f>
        <v>62.738999999999997</v>
      </c>
      <c r="BG13">
        <f ca="1">IFERROR(IF(0=LEN(ReferenceData!$BG$13),"",ReferenceData!$BG$13),"")</f>
        <v>61.326999999999998</v>
      </c>
      <c r="BH13">
        <f ca="1">IFERROR(IF(0=LEN(ReferenceData!$BH$13),"",ReferenceData!$BH$13),"")</f>
        <v>60.31</v>
      </c>
      <c r="BI13">
        <f ca="1">IFERROR(IF(0=LEN(ReferenceData!$BI$13),"",ReferenceData!$BI$13),"")</f>
        <v>58.71</v>
      </c>
      <c r="BJ13">
        <f ca="1">IFERROR(IF(0=LEN(ReferenceData!$BJ$13),"",ReferenceData!$BJ$13),"")</f>
        <v>53.24</v>
      </c>
      <c r="BK13">
        <f ca="1">IFERROR(IF(0=LEN(ReferenceData!$BK$13),"",ReferenceData!$BK$13),"")</f>
        <v>49.07400131</v>
      </c>
      <c r="BL13">
        <f ca="1">IFERROR(IF(0=LEN(ReferenceData!$BL$13),"",ReferenceData!$BL$13),"")</f>
        <v>49.354999540000001</v>
      </c>
      <c r="BM13">
        <f ca="1">IFERROR(IF(0=LEN(ReferenceData!$BM$13),"",ReferenceData!$BM$13),"")</f>
        <v>46.704999999999998</v>
      </c>
    </row>
    <row r="14" spans="1:65">
      <c r="A14" t="str">
        <f>IFERROR(IF(0=LEN(ReferenceData!$A$14),"",ReferenceData!$A$14),"")</f>
        <v xml:space="preserve">    Welltower Inc</v>
      </c>
      <c r="B14" t="str">
        <f>IFERROR(IF(0=LEN(ReferenceData!$B$14),"",ReferenceData!$B$14),"")</f>
        <v>HCN US Equity</v>
      </c>
      <c r="C14" t="str">
        <f>IFERROR(IF(0=LEN(ReferenceData!$C$14),"",ReferenceData!$C$14),"")</f>
        <v>IS030</v>
      </c>
      <c r="D14" t="str">
        <f>IFERROR(IF(0=LEN(ReferenceData!$D$14),"",ReferenceData!$D$14),"")</f>
        <v>IS_RENT_INC</v>
      </c>
      <c r="E14" t="str">
        <f>IFERROR(IF(0=LEN(ReferenceData!$E$14),"",ReferenceData!$E$14),"")</f>
        <v>动态</v>
      </c>
      <c r="F14" t="str">
        <f ca="1">IFERROR(IF(0=LEN(ReferenceData!$F$14),"",ReferenceData!$F$14),"")</f>
        <v/>
      </c>
      <c r="G14">
        <f ca="1">IFERROR(IF(0=LEN(ReferenceData!$G$14),"",ReferenceData!$G$14),"")</f>
        <v>1089.915</v>
      </c>
      <c r="H14">
        <f ca="1">IFERROR(IF(0=LEN(ReferenceData!$H$14),"",ReferenceData!$H$14),"")</f>
        <v>1065.26</v>
      </c>
      <c r="I14">
        <f ca="1">IFERROR(IF(0=LEN(ReferenceData!$I$14),"",ReferenceData!$I$14),"")</f>
        <v>1032.6389999999999</v>
      </c>
      <c r="J14">
        <f ca="1">IFERROR(IF(0=LEN(ReferenceData!$J$14),"",ReferenceData!$J$14),"")</f>
        <v>1037.4780000000001</v>
      </c>
      <c r="K14">
        <f ca="1">IFERROR(IF(0=LEN(ReferenceData!$K$14),"",ReferenceData!$K$14),"")</f>
        <v>1046.7170000000001</v>
      </c>
      <c r="L14">
        <f ca="1">IFERROR(IF(0=LEN(ReferenceData!$L$14),"",ReferenceData!$L$14),"")</f>
        <v>1051.1690000000001</v>
      </c>
      <c r="M14">
        <f ca="1">IFERROR(IF(0=LEN(ReferenceData!$M$14),"",ReferenceData!$M$14),"")</f>
        <v>1037.848</v>
      </c>
      <c r="N14">
        <f ca="1">IFERROR(IF(0=LEN(ReferenceData!$N$14),"",ReferenceData!$N$14),"")</f>
        <v>1017.812</v>
      </c>
      <c r="O14">
        <f ca="1">IFERROR(IF(0=LEN(ReferenceData!$O$14),"",ReferenceData!$O$14),"")</f>
        <v>998.15899999999999</v>
      </c>
      <c r="P14">
        <f ca="1">IFERROR(IF(0=LEN(ReferenceData!$P$14),"",ReferenceData!$P$14),"")</f>
        <v>954.54499999999996</v>
      </c>
      <c r="Q14">
        <f ca="1">IFERROR(IF(0=LEN(ReferenceData!$Q$14),"",ReferenceData!$Q$14),"")</f>
        <v>932.17899999999997</v>
      </c>
      <c r="R14">
        <f ca="1">IFERROR(IF(0=LEN(ReferenceData!$R$14),"",ReferenceData!$R$14),"")</f>
        <v>872.09699999999998</v>
      </c>
      <c r="S14">
        <f ca="1">IFERROR(IF(0=LEN(ReferenceData!$S$14),"",ReferenceData!$S$14),"")</f>
        <v>853.23699999999997</v>
      </c>
      <c r="T14">
        <f ca="1">IFERROR(IF(0=LEN(ReferenceData!$T$14),"",ReferenceData!$T$14),"")</f>
        <v>836.56</v>
      </c>
      <c r="U14">
        <f ca="1">IFERROR(IF(0=LEN(ReferenceData!$U$14),"",ReferenceData!$U$14),"")</f>
        <v>815.48599999999999</v>
      </c>
      <c r="V14">
        <f ca="1">IFERROR(IF(0=LEN(ReferenceData!$V$14),"",ReferenceData!$V$14),"")</f>
        <v>792.72</v>
      </c>
      <c r="W14">
        <f ca="1">IFERROR(IF(0=LEN(ReferenceData!$W$14),"",ReferenceData!$W$14),"")</f>
        <v>779.34100000000001</v>
      </c>
      <c r="X14">
        <f ca="1">IFERROR(IF(0=LEN(ReferenceData!$X$14),"",ReferenceData!$X$14),"")</f>
        <v>774.63900000000001</v>
      </c>
      <c r="Y14">
        <f ca="1">IFERROR(IF(0=LEN(ReferenceData!$Y$14),"",ReferenceData!$Y$14),"")</f>
        <v>669.86800000000005</v>
      </c>
      <c r="Z14">
        <f ca="1">IFERROR(IF(0=LEN(ReferenceData!$Z$14),"",ReferenceData!$Z$14),"")</f>
        <v>619.96699999999998</v>
      </c>
      <c r="AA14">
        <f ca="1">IFERROR(IF(0=LEN(ReferenceData!$AA$14),"",ReferenceData!$AA$14),"")</f>
        <v>481.26299999999998</v>
      </c>
      <c r="AB14">
        <f ca="1">IFERROR(IF(0=LEN(ReferenceData!$AB$14),"",ReferenceData!$AB$14),"")</f>
        <v>452.38299999999998</v>
      </c>
      <c r="AC14">
        <f ca="1">IFERROR(IF(0=LEN(ReferenceData!$AC$14),"",ReferenceData!$AC$14),"")</f>
        <v>429.358</v>
      </c>
      <c r="AD14">
        <f ca="1">IFERROR(IF(0=LEN(ReferenceData!$AD$14),"",ReferenceData!$AD$14),"")</f>
        <v>408.16899999999998</v>
      </c>
      <c r="AE14">
        <f ca="1">IFERROR(IF(0=LEN(ReferenceData!$AE$14),"",ReferenceData!$AE$14),"")</f>
        <v>374.61099999999999</v>
      </c>
      <c r="AF14">
        <f ca="1">IFERROR(IF(0=LEN(ReferenceData!$AF$14),"",ReferenceData!$AF$14),"")</f>
        <v>361.06299999999999</v>
      </c>
      <c r="AG14">
        <f ca="1">IFERROR(IF(0=LEN(ReferenceData!$AG$14),"",ReferenceData!$AG$14),"")</f>
        <v>351.39499999999998</v>
      </c>
      <c r="AH14">
        <f ca="1">IFERROR(IF(0=LEN(ReferenceData!$AH$14),"",ReferenceData!$AH$14),"")</f>
        <v>231.22300000000001</v>
      </c>
      <c r="AI14">
        <f ca="1">IFERROR(IF(0=LEN(ReferenceData!$AI$14),"",ReferenceData!$AI$14),"")</f>
        <v>181.56100000000001</v>
      </c>
      <c r="AJ14">
        <f ca="1">IFERROR(IF(0=LEN(ReferenceData!$AJ$14),"",ReferenceData!$AJ$14),"")</f>
        <v>157.733</v>
      </c>
      <c r="AK14">
        <f ca="1">IFERROR(IF(0=LEN(ReferenceData!$AK$14),"",ReferenceData!$AK$14),"")</f>
        <v>141.76400000000001</v>
      </c>
      <c r="AL14">
        <f ca="1">IFERROR(IF(0=LEN(ReferenceData!$AL$14),"",ReferenceData!$AL$14),"")</f>
        <v>135.333</v>
      </c>
      <c r="AM14">
        <f ca="1">IFERROR(IF(0=LEN(ReferenceData!$AM$14),"",ReferenceData!$AM$14),"")</f>
        <v>129.57900000000001</v>
      </c>
      <c r="AN14">
        <f ca="1">IFERROR(IF(0=LEN(ReferenceData!$AN$14),"",ReferenceData!$AN$14),"")</f>
        <v>128.52699999999999</v>
      </c>
      <c r="AO14">
        <f ca="1">IFERROR(IF(0=LEN(ReferenceData!$AO$14),"",ReferenceData!$AO$14),"")</f>
        <v>127.64400000000001</v>
      </c>
      <c r="AP14">
        <f ca="1">IFERROR(IF(0=LEN(ReferenceData!$AP$14),"",ReferenceData!$AP$14),"")</f>
        <v>127.40900000000001</v>
      </c>
      <c r="AQ14">
        <f ca="1">IFERROR(IF(0=LEN(ReferenceData!$AQ$14),"",ReferenceData!$AQ$14),"")</f>
        <v>115.488</v>
      </c>
      <c r="AR14">
        <f ca="1">IFERROR(IF(0=LEN(ReferenceData!$AR$14),"",ReferenceData!$AR$14),"")</f>
        <v>126.384</v>
      </c>
      <c r="AS14">
        <f ca="1">IFERROR(IF(0=LEN(ReferenceData!$AS$14),"",ReferenceData!$AS$14),"")</f>
        <v>118.125</v>
      </c>
      <c r="AT14">
        <f ca="1">IFERROR(IF(0=LEN(ReferenceData!$AT$14),"",ReferenceData!$AT$14),"")</f>
        <v>115.825</v>
      </c>
      <c r="AU14">
        <f ca="1">IFERROR(IF(0=LEN(ReferenceData!$AU$14),"",ReferenceData!$AU$14),"")</f>
        <v>111.036</v>
      </c>
      <c r="AV14">
        <f ca="1">IFERROR(IF(0=LEN(ReferenceData!$AV$14),"",ReferenceData!$AV$14),"")</f>
        <v>111.599</v>
      </c>
      <c r="AW14">
        <f ca="1">IFERROR(IF(0=LEN(ReferenceData!$AW$14),"",ReferenceData!$AW$14),"")</f>
        <v>105.023</v>
      </c>
      <c r="AX14">
        <f ca="1">IFERROR(IF(0=LEN(ReferenceData!$AX$14),"",ReferenceData!$AX$14),"")</f>
        <v>103.496</v>
      </c>
      <c r="AY14">
        <f ca="1">IFERROR(IF(0=LEN(ReferenceData!$AY$14),"",ReferenceData!$AY$14),"")</f>
        <v>81.260999999999996</v>
      </c>
      <c r="AZ14">
        <f ca="1">IFERROR(IF(0=LEN(ReferenceData!$AZ$14),"",ReferenceData!$AZ$14),"")</f>
        <v>73.328000000000003</v>
      </c>
      <c r="BA14">
        <f ca="1">IFERROR(IF(0=LEN(ReferenceData!$BA$14),"",ReferenceData!$BA$14),"")</f>
        <v>71.757000000000005</v>
      </c>
      <c r="BB14">
        <f ca="1">IFERROR(IF(0=LEN(ReferenceData!$BB$14),"",ReferenceData!$BB$14),"")</f>
        <v>71.38</v>
      </c>
      <c r="BC14">
        <f ca="1">IFERROR(IF(0=LEN(ReferenceData!$BC$14),"",ReferenceData!$BC$14),"")</f>
        <v>65.463999999999999</v>
      </c>
      <c r="BD14">
        <f ca="1">IFERROR(IF(0=LEN(ReferenceData!$BD$14),"",ReferenceData!$BD$14),"")</f>
        <v>64.516000000000005</v>
      </c>
      <c r="BE14">
        <f ca="1">IFERROR(IF(0=LEN(ReferenceData!$BE$14),"",ReferenceData!$BE$14),"")</f>
        <v>59.576999999999998</v>
      </c>
      <c r="BF14">
        <f ca="1">IFERROR(IF(0=LEN(ReferenceData!$BF$14),"",ReferenceData!$BF$14),"")</f>
        <v>58.792999999999999</v>
      </c>
      <c r="BG14">
        <f ca="1">IFERROR(IF(0=LEN(ReferenceData!$BG$14),"",ReferenceData!$BG$14),"")</f>
        <v>48.898000000000003</v>
      </c>
      <c r="BH14">
        <f ca="1">IFERROR(IF(0=LEN(ReferenceData!$BH$14),"",ReferenceData!$BH$14),"")</f>
        <v>57.475999999999999</v>
      </c>
      <c r="BI14">
        <f ca="1">IFERROR(IF(0=LEN(ReferenceData!$BI$14),"",ReferenceData!$BI$14),"")</f>
        <v>52.845999999999997</v>
      </c>
      <c r="BJ14">
        <f ca="1">IFERROR(IF(0=LEN(ReferenceData!$BJ$14),"",ReferenceData!$BJ$14),"")</f>
        <v>54.534999999999997</v>
      </c>
      <c r="BK14">
        <f ca="1">IFERROR(IF(0=LEN(ReferenceData!$BK$14),"",ReferenceData!$BK$14),"")</f>
        <v>54.748001000000002</v>
      </c>
      <c r="BL14">
        <f ca="1">IFERROR(IF(0=LEN(ReferenceData!$BL$14),"",ReferenceData!$BL$14),"")</f>
        <v>42.417000000000002</v>
      </c>
      <c r="BM14">
        <f ca="1">IFERROR(IF(0=LEN(ReferenceData!$BM$14),"",ReferenceData!$BM$14),"")</f>
        <v>38.988999999999997</v>
      </c>
    </row>
    <row r="15" spans="1:65">
      <c r="A15" t="str">
        <f>IFERROR(IF(0=LEN(ReferenceData!$A$15),"",ReferenceData!$A$15),"")</f>
        <v>其他租赁收入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Median</v>
      </c>
      <c r="F15" t="str">
        <f ca="1">IFERROR(IF(0=LEN(ReferenceData!$F$15),"",ReferenceData!$F$15),"")</f>
        <v/>
      </c>
      <c r="G15">
        <f ca="1">IFERROR(IF(0=LEN(ReferenceData!$G$15),"",ReferenceData!$G$15),"")</f>
        <v>314.65949999999998</v>
      </c>
      <c r="H15">
        <f ca="1">IFERROR(IF(0=LEN(ReferenceData!$H$15),"",ReferenceData!$H$15),"")</f>
        <v>310.70499999999998</v>
      </c>
      <c r="I15">
        <f ca="1">IFERROR(IF(0=LEN(ReferenceData!$I$15),"",ReferenceData!$I$15),"")</f>
        <v>307.37099999999998</v>
      </c>
      <c r="J15">
        <f ca="1">IFERROR(IF(0=LEN(ReferenceData!$J$15),"",ReferenceData!$J$15),"")</f>
        <v>323.67750000000001</v>
      </c>
      <c r="K15">
        <f ca="1">IFERROR(IF(0=LEN(ReferenceData!$K$15),"",ReferenceData!$K$15),"")</f>
        <v>337.59500000000003</v>
      </c>
      <c r="L15">
        <f ca="1">IFERROR(IF(0=LEN(ReferenceData!$L$15),"",ReferenceData!$L$15),"")</f>
        <v>320.92849999999999</v>
      </c>
      <c r="M15">
        <f ca="1">IFERROR(IF(0=LEN(ReferenceData!$M$15),"",ReferenceData!$M$15),"")</f>
        <v>316.82749999999999</v>
      </c>
      <c r="N15">
        <f ca="1">IFERROR(IF(0=LEN(ReferenceData!$N$15),"",ReferenceData!$N$15),"")</f>
        <v>314.66449999999998</v>
      </c>
      <c r="O15">
        <f ca="1">IFERROR(IF(0=LEN(ReferenceData!$O$15),"",ReferenceData!$O$15),"")</f>
        <v>311.75249999999994</v>
      </c>
      <c r="P15">
        <f ca="1">IFERROR(IF(0=LEN(ReferenceData!$P$15),"",ReferenceData!$P$15),"")</f>
        <v>379.94200000000001</v>
      </c>
      <c r="Q15">
        <f ca="1">IFERROR(IF(0=LEN(ReferenceData!$Q$15),"",ReferenceData!$Q$15),"")</f>
        <v>345.779</v>
      </c>
      <c r="R15">
        <f ca="1">IFERROR(IF(0=LEN(ReferenceData!$R$15),"",ReferenceData!$R$15),"")</f>
        <v>345.39049999999997</v>
      </c>
      <c r="S15">
        <f ca="1">IFERROR(IF(0=LEN(ReferenceData!$S$15),"",ReferenceData!$S$15),"")</f>
        <v>345.88499999999999</v>
      </c>
      <c r="T15">
        <f ca="1">IFERROR(IF(0=LEN(ReferenceData!$T$15),"",ReferenceData!$T$15),"")</f>
        <v>343.53449999999998</v>
      </c>
      <c r="U15">
        <f ca="1">IFERROR(IF(0=LEN(ReferenceData!$U$15),"",ReferenceData!$U$15),"")</f>
        <v>313.31100000000004</v>
      </c>
      <c r="V15">
        <f ca="1">IFERROR(IF(0=LEN(ReferenceData!$V$15),"",ReferenceData!$V$15),"")</f>
        <v>308.99149999999997</v>
      </c>
      <c r="W15">
        <f ca="1">IFERROR(IF(0=LEN(ReferenceData!$W$15),"",ReferenceData!$W$15),"")</f>
        <v>306.30900000000003</v>
      </c>
      <c r="X15">
        <f ca="1">IFERROR(IF(0=LEN(ReferenceData!$X$15),"",ReferenceData!$X$15),"")</f>
        <v>296.87349999999998</v>
      </c>
      <c r="Y15">
        <f ca="1">IFERROR(IF(0=LEN(ReferenceData!$Y$15),"",ReferenceData!$Y$15),"")</f>
        <v>293.471</v>
      </c>
      <c r="Z15">
        <f ca="1">IFERROR(IF(0=LEN(ReferenceData!$Z$15),"",ReferenceData!$Z$15),"")</f>
        <v>292.84049999999996</v>
      </c>
      <c r="AA15">
        <f ca="1">IFERROR(IF(0=LEN(ReferenceData!$AA$15),"",ReferenceData!$AA$15),"")</f>
        <v>288.666</v>
      </c>
      <c r="AB15">
        <f ca="1">IFERROR(IF(0=LEN(ReferenceData!$AB$15),"",ReferenceData!$AB$15),"")</f>
        <v>270.05950000000001</v>
      </c>
      <c r="AC15">
        <f ca="1">IFERROR(IF(0=LEN(ReferenceData!$AC$15),"",ReferenceData!$AC$15),"")</f>
        <v>269.73849999999999</v>
      </c>
      <c r="AD15">
        <f ca="1">IFERROR(IF(0=LEN(ReferenceData!$AD$15),"",ReferenceData!$AD$15),"")</f>
        <v>266.53300000000002</v>
      </c>
      <c r="AE15">
        <f ca="1">IFERROR(IF(0=LEN(ReferenceData!$AE$15),"",ReferenceData!$AE$15),"")</f>
        <v>269.64400000000001</v>
      </c>
      <c r="AF15">
        <f ca="1">IFERROR(IF(0=LEN(ReferenceData!$AF$15),"",ReferenceData!$AF$15),"")</f>
        <v>259.31599999999997</v>
      </c>
      <c r="AG15">
        <f ca="1">IFERROR(IF(0=LEN(ReferenceData!$AG$15),"",ReferenceData!$AG$15),"")</f>
        <v>256.95100000000002</v>
      </c>
      <c r="AH15">
        <f ca="1">IFERROR(IF(0=LEN(ReferenceData!$AH$15),"",ReferenceData!$AH$15),"")</f>
        <v>187.61700000000002</v>
      </c>
      <c r="AI15">
        <f ca="1">IFERROR(IF(0=LEN(ReferenceData!$AI$15),"",ReferenceData!$AI$15),"")</f>
        <v>182.78550000000001</v>
      </c>
      <c r="AJ15">
        <f ca="1">IFERROR(IF(0=LEN(ReferenceData!$AJ$15),"",ReferenceData!$AJ$15),"")</f>
        <v>172.77550000000002</v>
      </c>
      <c r="AK15">
        <f ca="1">IFERROR(IF(0=LEN(ReferenceData!$AK$15),"",ReferenceData!$AK$15),"")</f>
        <v>165.9375</v>
      </c>
      <c r="AL15">
        <f ca="1">IFERROR(IF(0=LEN(ReferenceData!$AL$15),"",ReferenceData!$AL$15),"")</f>
        <v>162.67099999999999</v>
      </c>
      <c r="AM15">
        <f ca="1">IFERROR(IF(0=LEN(ReferenceData!$AM$15),"",ReferenceData!$AM$15),"")</f>
        <v>161.57</v>
      </c>
      <c r="AN15">
        <f ca="1">IFERROR(IF(0=LEN(ReferenceData!$AN$15),"",ReferenceData!$AN$15),"")</f>
        <v>158.88049999999998</v>
      </c>
      <c r="AO15">
        <f ca="1">IFERROR(IF(0=LEN(ReferenceData!$AO$15),"",ReferenceData!$AO$15),"")</f>
        <v>165.24349999999998</v>
      </c>
      <c r="AP15">
        <f ca="1">IFERROR(IF(0=LEN(ReferenceData!$AP$15),"",ReferenceData!$AP$15),"")</f>
        <v>164.58100000000002</v>
      </c>
      <c r="AQ15" t="str">
        <f ca="1">IFERROR(IF(0=LEN(ReferenceData!$AQ$15),"",ReferenceData!$AQ$15),"")</f>
        <v/>
      </c>
      <c r="AR15" t="str">
        <f ca="1">IFERROR(IF(0=LEN(ReferenceData!$AR$15),"",ReferenceData!$AR$15),"")</f>
        <v/>
      </c>
      <c r="AS15" t="str">
        <f ca="1">IFERROR(IF(0=LEN(ReferenceData!$AS$15),"",ReferenceData!$AS$15),"")</f>
        <v/>
      </c>
      <c r="AT15" t="str">
        <f ca="1">IFERROR(IF(0=LEN(ReferenceData!$AT$15),"",ReferenceData!$AT$15),"")</f>
        <v/>
      </c>
      <c r="AU15" t="str">
        <f ca="1">IFERROR(IF(0=LEN(ReferenceData!$AU$15),"",ReferenceData!$AU$15),"")</f>
        <v/>
      </c>
      <c r="AV15" t="str">
        <f ca="1">IFERROR(IF(0=LEN(ReferenceData!$AV$15),"",ReferenceData!$AV$15),"")</f>
        <v/>
      </c>
      <c r="AW15" t="str">
        <f ca="1">IFERROR(IF(0=LEN(ReferenceData!$AW$15),"",ReferenceData!$AW$15),"")</f>
        <v/>
      </c>
      <c r="AX15" t="str">
        <f ca="1">IFERROR(IF(0=LEN(ReferenceData!$AX$15),"",ReferenceData!$AX$15),"")</f>
        <v/>
      </c>
      <c r="AY15" t="str">
        <f ca="1">IFERROR(IF(0=LEN(ReferenceData!$AY$15),"",ReferenceData!$AY$15),"")</f>
        <v/>
      </c>
      <c r="AZ15" t="str">
        <f ca="1">IFERROR(IF(0=LEN(ReferenceData!$AZ$15),"",ReferenceData!$AZ$15),"")</f>
        <v/>
      </c>
      <c r="BA15" t="str">
        <f ca="1">IFERROR(IF(0=LEN(ReferenceData!$BA$15),"",ReferenceData!$BA$15),"")</f>
        <v/>
      </c>
      <c r="BB15" t="str">
        <f ca="1">IFERROR(IF(0=LEN(ReferenceData!$BB$15),"",ReferenceData!$BB$15),"")</f>
        <v/>
      </c>
      <c r="BC15" t="str">
        <f ca="1">IFERROR(IF(0=LEN(ReferenceData!$BC$15),"",ReferenceData!$BC$15),"")</f>
        <v/>
      </c>
      <c r="BD15" t="str">
        <f ca="1">IFERROR(IF(0=LEN(ReferenceData!$BD$15),"",ReferenceData!$BD$15),"")</f>
        <v/>
      </c>
      <c r="BE15" t="str">
        <f ca="1">IFERROR(IF(0=LEN(ReferenceData!$BE$15),"",ReferenceData!$BE$15),"")</f>
        <v/>
      </c>
      <c r="BF15" t="str">
        <f ca="1">IFERROR(IF(0=LEN(ReferenceData!$BF$15),"",ReferenceData!$BF$15),"")</f>
        <v/>
      </c>
      <c r="BG15" t="str">
        <f ca="1">IFERROR(IF(0=LEN(ReferenceData!$BG$15),"",ReferenceData!$BG$15),"")</f>
        <v/>
      </c>
      <c r="BH15" t="str">
        <f ca="1">IFERROR(IF(0=LEN(ReferenceData!$BH$15),"",ReferenceData!$BH$15),"")</f>
        <v/>
      </c>
      <c r="BI15" t="str">
        <f ca="1">IFERROR(IF(0=LEN(ReferenceData!$BI$15),"",ReferenceData!$BI$15),"")</f>
        <v/>
      </c>
      <c r="BJ15" t="str">
        <f ca="1">IFERROR(IF(0=LEN(ReferenceData!$BJ$15),"",ReferenceData!$BJ$15),"")</f>
        <v/>
      </c>
      <c r="BK15" t="str">
        <f ca="1">IFERROR(IF(0=LEN(ReferenceData!$BK$15),"",ReferenceData!$BK$15),"")</f>
        <v/>
      </c>
      <c r="BL15" t="str">
        <f ca="1">IFERROR(IF(0=LEN(ReferenceData!$BL$15),"",ReferenceData!$BL$15),"")</f>
        <v/>
      </c>
      <c r="BM15" t="str">
        <f ca="1">IFERROR(IF(0=LEN(ReferenceData!$BM$15),"",ReferenceData!$BM$15),"")</f>
        <v/>
      </c>
    </row>
    <row r="16" spans="1:65">
      <c r="A16" t="str">
        <f>IFERROR(IF(0=LEN(ReferenceData!$A$16),"",ReferenceData!$A$16),"")</f>
        <v xml:space="preserve">    Alexandria Real Estate Equitie</v>
      </c>
      <c r="B16" t="str">
        <f>IFERROR(IF(0=LEN(ReferenceData!$B$16),"",ReferenceData!$B$16),"")</f>
        <v>ARE US Equity</v>
      </c>
      <c r="C16" t="str">
        <f>IFERROR(IF(0=LEN(ReferenceData!$C$16),"",ReferenceData!$C$16),"")</f>
        <v>IM275</v>
      </c>
      <c r="D16" t="str">
        <f>IFERROR(IF(0=LEN(ReferenceData!$D$16),"",ReferenceData!$D$16),"")</f>
        <v>IS_OTHER_RENTAL_INCOME</v>
      </c>
      <c r="E16" t="str">
        <f>IFERROR(IF(0=LEN(ReferenceData!$E$16),"",ReferenceData!$E$16),"")</f>
        <v>动态</v>
      </c>
      <c r="F16" t="str">
        <f ca="1">IFERROR(IF(0=LEN(ReferenceData!$F$16),"",ReferenceData!$F$16),"")</f>
        <v/>
      </c>
      <c r="G16">
        <f ca="1">IFERROR(IF(0=LEN(ReferenceData!$G$16),"",ReferenceData!$G$16),"")</f>
        <v>228.02500000000001</v>
      </c>
      <c r="H16">
        <f ca="1">IFERROR(IF(0=LEN(ReferenceData!$H$16),"",ReferenceData!$H$16),"")</f>
        <v>216.02099999999999</v>
      </c>
      <c r="I16">
        <f ca="1">IFERROR(IF(0=LEN(ReferenceData!$I$16),"",ReferenceData!$I$16),"")</f>
        <v>211.94200000000001</v>
      </c>
      <c r="J16">
        <f ca="1">IFERROR(IF(0=LEN(ReferenceData!$J$16),"",ReferenceData!$J$16),"")</f>
        <v>207.19300000000001</v>
      </c>
      <c r="K16">
        <f ca="1">IFERROR(IF(0=LEN(ReferenceData!$K$16),"",ReferenceData!$K$16),"")</f>
        <v>187.315</v>
      </c>
      <c r="L16">
        <f ca="1">IFERROR(IF(0=LEN(ReferenceData!$L$16),"",ReferenceData!$L$16),"")</f>
        <v>166.59100000000001</v>
      </c>
      <c r="M16">
        <f ca="1">IFERROR(IF(0=LEN(ReferenceData!$M$16),"",ReferenceData!$M$16),"")</f>
        <v>161.63800000000001</v>
      </c>
      <c r="N16">
        <f ca="1">IFERROR(IF(0=LEN(ReferenceData!$N$16),"",ReferenceData!$N$16),"")</f>
        <v>158.27600000000001</v>
      </c>
      <c r="O16">
        <f ca="1">IFERROR(IF(0=LEN(ReferenceData!$O$16),"",ReferenceData!$O$16),"")</f>
        <v>158.1</v>
      </c>
      <c r="P16">
        <f ca="1">IFERROR(IF(0=LEN(ReferenceData!$P$16),"",ReferenceData!$P$16),"")</f>
        <v>155.31100000000001</v>
      </c>
      <c r="Q16">
        <f ca="1">IFERROR(IF(0=LEN(ReferenceData!$Q$16),"",ReferenceData!$Q$16),"")</f>
        <v>151.80500000000001</v>
      </c>
      <c r="R16">
        <f ca="1">IFERROR(IF(0=LEN(ReferenceData!$R$16),"",ReferenceData!$R$16),"")</f>
        <v>143.608</v>
      </c>
      <c r="S16">
        <f ca="1">IFERROR(IF(0=LEN(ReferenceData!$S$16),"",ReferenceData!$S$16),"")</f>
        <v>140.87299999999999</v>
      </c>
      <c r="T16">
        <f ca="1">IFERROR(IF(0=LEN(ReferenceData!$T$16),"",ReferenceData!$T$16),"")</f>
        <v>137.71799999999999</v>
      </c>
      <c r="U16">
        <f ca="1">IFERROR(IF(0=LEN(ReferenceData!$U$16),"",ReferenceData!$U$16),"")</f>
        <v>134.99199999999999</v>
      </c>
      <c r="V16">
        <f ca="1">IFERROR(IF(0=LEN(ReferenceData!$V$16),"",ReferenceData!$V$16),"")</f>
        <v>130.57</v>
      </c>
      <c r="W16">
        <f ca="1">IFERROR(IF(0=LEN(ReferenceData!$W$16),"",ReferenceData!$W$16),"")</f>
        <v>125.693</v>
      </c>
      <c r="X16">
        <f ca="1">IFERROR(IF(0=LEN(ReferenceData!$X$16),"",ReferenceData!$X$16),"")</f>
        <v>116.05200000000001</v>
      </c>
      <c r="Y16">
        <f ca="1">IFERROR(IF(0=LEN(ReferenceData!$Y$16),"",ReferenceData!$Y$16),"")</f>
        <v>114.49299999999999</v>
      </c>
      <c r="Z16">
        <f ca="1">IFERROR(IF(0=LEN(ReferenceData!$Z$16),"",ReferenceData!$Z$16),"")</f>
        <v>111.526</v>
      </c>
      <c r="AA16">
        <f ca="1">IFERROR(IF(0=LEN(ReferenceData!$AA$16),"",ReferenceData!$AA$16),"")</f>
        <v>111.798</v>
      </c>
      <c r="AB16">
        <f ca="1">IFERROR(IF(0=LEN(ReferenceData!$AB$16),"",ReferenceData!$AB$16),"")</f>
        <v>106.21599999999999</v>
      </c>
      <c r="AC16">
        <f ca="1">IFERROR(IF(0=LEN(ReferenceData!$AC$16),"",ReferenceData!$AC$16),"")</f>
        <v>104.32899999999999</v>
      </c>
      <c r="AD16">
        <f ca="1">IFERROR(IF(0=LEN(ReferenceData!$AD$16),"",ReferenceData!$AD$16),"")</f>
        <v>101.20099999999999</v>
      </c>
      <c r="AE16">
        <f ca="1">IFERROR(IF(0=LEN(ReferenceData!$AE$16),"",ReferenceData!$AE$16),"")</f>
        <v>104.634</v>
      </c>
      <c r="AF16">
        <f ca="1">IFERROR(IF(0=LEN(ReferenceData!$AF$16),"",ReferenceData!$AF$16),"")</f>
        <v>102.35299999999999</v>
      </c>
      <c r="AG16">
        <f ca="1">IFERROR(IF(0=LEN(ReferenceData!$AG$16),"",ReferenceData!$AG$16),"")</f>
        <v>109.248</v>
      </c>
      <c r="AH16">
        <f ca="1">IFERROR(IF(0=LEN(ReferenceData!$AH$16),"",ReferenceData!$AH$16),"")</f>
        <v>106.253</v>
      </c>
      <c r="AI16">
        <f ca="1">IFERROR(IF(0=LEN(ReferenceData!$AI$16),"",ReferenceData!$AI$16),"")</f>
        <v>99.531000000000006</v>
      </c>
      <c r="AJ16">
        <f ca="1">IFERROR(IF(0=LEN(ReferenceData!$AJ$16),"",ReferenceData!$AJ$16),"")</f>
        <v>89.566999999999993</v>
      </c>
      <c r="AK16">
        <f ca="1">IFERROR(IF(0=LEN(ReferenceData!$AK$16),"",ReferenceData!$AK$16),"")</f>
        <v>89.512</v>
      </c>
      <c r="AL16">
        <f ca="1">IFERROR(IF(0=LEN(ReferenceData!$AL$16),"",ReferenceData!$AL$16),"")</f>
        <v>88.856999999999999</v>
      </c>
      <c r="AM16">
        <f ca="1">IFERROR(IF(0=LEN(ReferenceData!$AM$16),"",ReferenceData!$AM$16),"")</f>
        <v>88.629000000000005</v>
      </c>
      <c r="AN16">
        <f ca="1">IFERROR(IF(0=LEN(ReferenceData!$AN$16),"",ReferenceData!$AN$16),"")</f>
        <v>88.418999999999997</v>
      </c>
      <c r="AO16">
        <f ca="1">IFERROR(IF(0=LEN(ReferenceData!$AO$16),"",ReferenceData!$AO$16),"")</f>
        <v>87.460999999999999</v>
      </c>
      <c r="AP16">
        <f ca="1">IFERROR(IF(0=LEN(ReferenceData!$AP$16),"",ReferenceData!$AP$16),"")</f>
        <v>104.011</v>
      </c>
      <c r="AQ16" t="str">
        <f ca="1">IFERROR(IF(0=LEN(ReferenceData!$AQ$16),"",ReferenceData!$AQ$16),"")</f>
        <v/>
      </c>
      <c r="AR16" t="str">
        <f ca="1">IFERROR(IF(0=LEN(ReferenceData!$AR$16),"",ReferenceData!$AR$16),"")</f>
        <v/>
      </c>
      <c r="AS16" t="str">
        <f ca="1">IFERROR(IF(0=LEN(ReferenceData!$AS$16),"",ReferenceData!$AS$16),"")</f>
        <v/>
      </c>
      <c r="AT16" t="str">
        <f ca="1">IFERROR(IF(0=LEN(ReferenceData!$AT$16),"",ReferenceData!$AT$16),"")</f>
        <v/>
      </c>
      <c r="AU16" t="str">
        <f ca="1">IFERROR(IF(0=LEN(ReferenceData!$AU$16),"",ReferenceData!$AU$16),"")</f>
        <v/>
      </c>
      <c r="AV16" t="str">
        <f ca="1">IFERROR(IF(0=LEN(ReferenceData!$AV$16),"",ReferenceData!$AV$16),"")</f>
        <v/>
      </c>
      <c r="AW16" t="str">
        <f ca="1">IFERROR(IF(0=LEN(ReferenceData!$AW$16),"",ReferenceData!$AW$16),"")</f>
        <v/>
      </c>
      <c r="AX16" t="str">
        <f ca="1">IFERROR(IF(0=LEN(ReferenceData!$AX$16),"",ReferenceData!$AX$16),"")</f>
        <v/>
      </c>
      <c r="AY16" t="str">
        <f ca="1">IFERROR(IF(0=LEN(ReferenceData!$AY$16),"",ReferenceData!$AY$16),"")</f>
        <v/>
      </c>
      <c r="AZ16" t="str">
        <f ca="1">IFERROR(IF(0=LEN(ReferenceData!$AZ$16),"",ReferenceData!$AZ$16),"")</f>
        <v/>
      </c>
      <c r="BA16" t="str">
        <f ca="1">IFERROR(IF(0=LEN(ReferenceData!$BA$16),"",ReferenceData!$BA$16),"")</f>
        <v/>
      </c>
      <c r="BB16" t="str">
        <f ca="1">IFERROR(IF(0=LEN(ReferenceData!$BB$16),"",ReferenceData!$BB$16),"")</f>
        <v/>
      </c>
      <c r="BC16" t="str">
        <f ca="1">IFERROR(IF(0=LEN(ReferenceData!$BC$16),"",ReferenceData!$BC$16),"")</f>
        <v/>
      </c>
      <c r="BD16" t="str">
        <f ca="1">IFERROR(IF(0=LEN(ReferenceData!$BD$16),"",ReferenceData!$BD$16),"")</f>
        <v/>
      </c>
      <c r="BE16" t="str">
        <f ca="1">IFERROR(IF(0=LEN(ReferenceData!$BE$16),"",ReferenceData!$BE$16),"")</f>
        <v/>
      </c>
      <c r="BF16" t="str">
        <f ca="1">IFERROR(IF(0=LEN(ReferenceData!$BF$16),"",ReferenceData!$BF$16),"")</f>
        <v/>
      </c>
      <c r="BG16" t="str">
        <f ca="1">IFERROR(IF(0=LEN(ReferenceData!$BG$16),"",ReferenceData!$BG$16),"")</f>
        <v/>
      </c>
      <c r="BH16" t="str">
        <f ca="1">IFERROR(IF(0=LEN(ReferenceData!$BH$16),"",ReferenceData!$BH$16),"")</f>
        <v/>
      </c>
      <c r="BI16" t="str">
        <f ca="1">IFERROR(IF(0=LEN(ReferenceData!$BI$16),"",ReferenceData!$BI$16),"")</f>
        <v/>
      </c>
      <c r="BJ16" t="str">
        <f ca="1">IFERROR(IF(0=LEN(ReferenceData!$BJ$16),"",ReferenceData!$BJ$16),"")</f>
        <v/>
      </c>
      <c r="BK16" t="str">
        <f ca="1">IFERROR(IF(0=LEN(ReferenceData!$BK$16),"",ReferenceData!$BK$16),"")</f>
        <v/>
      </c>
      <c r="BL16" t="str">
        <f ca="1">IFERROR(IF(0=LEN(ReferenceData!$BL$16),"",ReferenceData!$BL$16),"")</f>
        <v/>
      </c>
      <c r="BM16" t="str">
        <f ca="1">IFERROR(IF(0=LEN(ReferenceData!$BM$16),"",ReferenceData!$BM$16),"")</f>
        <v/>
      </c>
    </row>
    <row r="17" spans="1:65">
      <c r="A17" t="str">
        <f>IFERROR(IF(0=LEN(ReferenceData!$A$17),"",ReferenceData!$A$17),"")</f>
        <v xml:space="preserve">    Care Capital Properties Inc</v>
      </c>
      <c r="B17" t="str">
        <f>IFERROR(IF(0=LEN(ReferenceData!$B$17),"",ReferenceData!$B$17),"")</f>
        <v>CCP US Equity</v>
      </c>
      <c r="C17" t="str">
        <f>IFERROR(IF(0=LEN(ReferenceData!$C$17),"",ReferenceData!$C$17),"")</f>
        <v>IM275</v>
      </c>
      <c r="D17" t="str">
        <f>IFERROR(IF(0=LEN(ReferenceData!$D$17),"",ReferenceData!$D$17),"")</f>
        <v>IS_OTHER_RENTAL_INCOME</v>
      </c>
      <c r="E17" t="str">
        <f>IFERROR(IF(0=LEN(ReferenceData!$E$17),"",ReferenceData!$E$17),"")</f>
        <v>动态</v>
      </c>
      <c r="F17" t="str">
        <f ca="1">IFERROR(IF(0=LEN(ReferenceData!$F$17),"",ReferenceData!$F$17),"")</f>
        <v/>
      </c>
      <c r="G17" t="str">
        <f ca="1">IFERROR(IF(0=LEN(ReferenceData!$G$17),"",ReferenceData!$G$17),"")</f>
        <v/>
      </c>
      <c r="H17" t="str">
        <f ca="1">IFERROR(IF(0=LEN(ReferenceData!$H$17),"",ReferenceData!$H$17),"")</f>
        <v/>
      </c>
      <c r="I17" t="str">
        <f ca="1">IFERROR(IF(0=LEN(ReferenceData!$I$17),"",ReferenceData!$I$17),"")</f>
        <v/>
      </c>
      <c r="J17" t="str">
        <f ca="1">IFERROR(IF(0=LEN(ReferenceData!$J$17),"",ReferenceData!$J$17),"")</f>
        <v/>
      </c>
      <c r="K17" t="str">
        <f ca="1">IFERROR(IF(0=LEN(ReferenceData!$K$17),"",ReferenceData!$K$17),"")</f>
        <v/>
      </c>
      <c r="L17" t="str">
        <f ca="1">IFERROR(IF(0=LEN(ReferenceData!$L$17),"",ReferenceData!$L$17),"")</f>
        <v/>
      </c>
      <c r="M17" t="str">
        <f ca="1">IFERROR(IF(0=LEN(ReferenceData!$M$17),"",ReferenceData!$M$17),"")</f>
        <v/>
      </c>
      <c r="N17" t="str">
        <f ca="1">IFERROR(IF(0=LEN(ReferenceData!$N$17),"",ReferenceData!$N$17),"")</f>
        <v/>
      </c>
      <c r="O17" t="str">
        <f ca="1">IFERROR(IF(0=LEN(ReferenceData!$O$17),"",ReferenceData!$O$17),"")</f>
        <v/>
      </c>
      <c r="P17" t="str">
        <f ca="1">IFERROR(IF(0=LEN(ReferenceData!$P$17),"",ReferenceData!$P$17),"")</f>
        <v/>
      </c>
      <c r="Q17" t="str">
        <f ca="1">IFERROR(IF(0=LEN(ReferenceData!$Q$17),"",ReferenceData!$Q$17),"")</f>
        <v/>
      </c>
      <c r="R17" t="str">
        <f ca="1">IFERROR(IF(0=LEN(ReferenceData!$R$17),"",ReferenceData!$R$17),"")</f>
        <v/>
      </c>
      <c r="S17" t="str">
        <f ca="1">IFERROR(IF(0=LEN(ReferenceData!$S$17),"",ReferenceData!$S$17),"")</f>
        <v/>
      </c>
      <c r="T17" t="str">
        <f ca="1">IFERROR(IF(0=LEN(ReferenceData!$T$17),"",ReferenceData!$T$17),"")</f>
        <v/>
      </c>
      <c r="U17" t="str">
        <f ca="1">IFERROR(IF(0=LEN(ReferenceData!$U$17),"",ReferenceData!$U$17),"")</f>
        <v/>
      </c>
      <c r="V17" t="str">
        <f ca="1">IFERROR(IF(0=LEN(ReferenceData!$V$17),"",ReferenceData!$V$17),"")</f>
        <v/>
      </c>
      <c r="W17" t="str">
        <f ca="1">IFERROR(IF(0=LEN(ReferenceData!$W$17),"",ReferenceData!$W$17),"")</f>
        <v/>
      </c>
      <c r="X17" t="str">
        <f ca="1">IFERROR(IF(0=LEN(ReferenceData!$X$17),"",ReferenceData!$X$17),"")</f>
        <v/>
      </c>
      <c r="Y17" t="str">
        <f ca="1">IFERROR(IF(0=LEN(ReferenceData!$Y$17),"",ReferenceData!$Y$17),"")</f>
        <v/>
      </c>
      <c r="Z17" t="str">
        <f ca="1">IFERROR(IF(0=LEN(ReferenceData!$Z$17),"",ReferenceData!$Z$17),"")</f>
        <v/>
      </c>
      <c r="AA17" t="str">
        <f ca="1">IFERROR(IF(0=LEN(ReferenceData!$AA$17),"",ReferenceData!$AA$17),"")</f>
        <v/>
      </c>
      <c r="AB17" t="str">
        <f ca="1">IFERROR(IF(0=LEN(ReferenceData!$AB$17),"",ReferenceData!$AB$17),"")</f>
        <v/>
      </c>
      <c r="AC17" t="str">
        <f ca="1">IFERROR(IF(0=LEN(ReferenceData!$AC$17),"",ReferenceData!$AC$17),"")</f>
        <v/>
      </c>
      <c r="AD17" t="str">
        <f ca="1">IFERROR(IF(0=LEN(ReferenceData!$AD$17),"",ReferenceData!$AD$17),"")</f>
        <v/>
      </c>
      <c r="AE17" t="str">
        <f ca="1">IFERROR(IF(0=LEN(ReferenceData!$AE$17),"",ReferenceData!$AE$17),"")</f>
        <v/>
      </c>
      <c r="AF17" t="str">
        <f ca="1">IFERROR(IF(0=LEN(ReferenceData!$AF$17),"",ReferenceData!$AF$17),"")</f>
        <v/>
      </c>
      <c r="AG17" t="str">
        <f ca="1">IFERROR(IF(0=LEN(ReferenceData!$AG$17),"",ReferenceData!$AG$17),"")</f>
        <v/>
      </c>
      <c r="AH17" t="str">
        <f ca="1">IFERROR(IF(0=LEN(ReferenceData!$AH$17),"",ReferenceData!$AH$17),"")</f>
        <v/>
      </c>
      <c r="AI17" t="str">
        <f ca="1">IFERROR(IF(0=LEN(ReferenceData!$AI$17),"",ReferenceData!$AI$17),"")</f>
        <v/>
      </c>
      <c r="AJ17" t="str">
        <f ca="1">IFERROR(IF(0=LEN(ReferenceData!$AJ$17),"",ReferenceData!$AJ$17),"")</f>
        <v/>
      </c>
      <c r="AK17" t="str">
        <f ca="1">IFERROR(IF(0=LEN(ReferenceData!$AK$17),"",ReferenceData!$AK$17),"")</f>
        <v/>
      </c>
      <c r="AL17" t="str">
        <f ca="1">IFERROR(IF(0=LEN(ReferenceData!$AL$17),"",ReferenceData!$AL$17),"")</f>
        <v/>
      </c>
      <c r="AM17" t="str">
        <f ca="1">IFERROR(IF(0=LEN(ReferenceData!$AM$17),"",ReferenceData!$AM$17),"")</f>
        <v/>
      </c>
      <c r="AN17" t="str">
        <f ca="1">IFERROR(IF(0=LEN(ReferenceData!$AN$17),"",ReferenceData!$AN$17),"")</f>
        <v/>
      </c>
      <c r="AO17" t="str">
        <f ca="1">IFERROR(IF(0=LEN(ReferenceData!$AO$17),"",ReferenceData!$AO$17),"")</f>
        <v/>
      </c>
      <c r="AP17" t="str">
        <f ca="1">IFERROR(IF(0=LEN(ReferenceData!$AP$17),"",ReferenceData!$AP$17),"")</f>
        <v/>
      </c>
      <c r="AQ17" t="str">
        <f ca="1">IFERROR(IF(0=LEN(ReferenceData!$AQ$17),"",ReferenceData!$AQ$17),"")</f>
        <v/>
      </c>
      <c r="AR17" t="str">
        <f ca="1">IFERROR(IF(0=LEN(ReferenceData!$AR$17),"",ReferenceData!$AR$17),"")</f>
        <v/>
      </c>
      <c r="AS17" t="str">
        <f ca="1">IFERROR(IF(0=LEN(ReferenceData!$AS$17),"",ReferenceData!$AS$17),"")</f>
        <v/>
      </c>
      <c r="AT17" t="str">
        <f ca="1">IFERROR(IF(0=LEN(ReferenceData!$AT$17),"",ReferenceData!$AT$17),"")</f>
        <v/>
      </c>
      <c r="AU17" t="str">
        <f ca="1">IFERROR(IF(0=LEN(ReferenceData!$AU$17),"",ReferenceData!$AU$17),"")</f>
        <v/>
      </c>
      <c r="AV17" t="str">
        <f ca="1">IFERROR(IF(0=LEN(ReferenceData!$AV$17),"",ReferenceData!$AV$17),"")</f>
        <v/>
      </c>
      <c r="AW17" t="str">
        <f ca="1">IFERROR(IF(0=LEN(ReferenceData!$AW$17),"",ReferenceData!$AW$17),"")</f>
        <v/>
      </c>
      <c r="AX17" t="str">
        <f ca="1">IFERROR(IF(0=LEN(ReferenceData!$AX$17),"",ReferenceData!$AX$17),"")</f>
        <v/>
      </c>
      <c r="AY17" t="str">
        <f ca="1">IFERROR(IF(0=LEN(ReferenceData!$AY$17),"",ReferenceData!$AY$17),"")</f>
        <v/>
      </c>
      <c r="AZ17" t="str">
        <f ca="1">IFERROR(IF(0=LEN(ReferenceData!$AZ$17),"",ReferenceData!$AZ$17),"")</f>
        <v/>
      </c>
      <c r="BA17" t="str">
        <f ca="1">IFERROR(IF(0=LEN(ReferenceData!$BA$17),"",ReferenceData!$BA$17),"")</f>
        <v/>
      </c>
      <c r="BB17" t="str">
        <f ca="1">IFERROR(IF(0=LEN(ReferenceData!$BB$17),"",ReferenceData!$BB$17),"")</f>
        <v/>
      </c>
      <c r="BC17" t="str">
        <f ca="1">IFERROR(IF(0=LEN(ReferenceData!$BC$17),"",ReferenceData!$BC$17),"")</f>
        <v/>
      </c>
      <c r="BD17" t="str">
        <f ca="1">IFERROR(IF(0=LEN(ReferenceData!$BD$17),"",ReferenceData!$BD$17),"")</f>
        <v/>
      </c>
      <c r="BE17" t="str">
        <f ca="1">IFERROR(IF(0=LEN(ReferenceData!$BE$17),"",ReferenceData!$BE$17),"")</f>
        <v/>
      </c>
      <c r="BF17" t="str">
        <f ca="1">IFERROR(IF(0=LEN(ReferenceData!$BF$17),"",ReferenceData!$BF$17),"")</f>
        <v/>
      </c>
      <c r="BG17" t="str">
        <f ca="1">IFERROR(IF(0=LEN(ReferenceData!$BG$17),"",ReferenceData!$BG$17),"")</f>
        <v/>
      </c>
      <c r="BH17" t="str">
        <f ca="1">IFERROR(IF(0=LEN(ReferenceData!$BH$17),"",ReferenceData!$BH$17),"")</f>
        <v/>
      </c>
      <c r="BI17" t="str">
        <f ca="1">IFERROR(IF(0=LEN(ReferenceData!$BI$17),"",ReferenceData!$BI$17),"")</f>
        <v/>
      </c>
      <c r="BJ17" t="str">
        <f ca="1">IFERROR(IF(0=LEN(ReferenceData!$BJ$17),"",ReferenceData!$BJ$17),"")</f>
        <v/>
      </c>
      <c r="BK17" t="str">
        <f ca="1">IFERROR(IF(0=LEN(ReferenceData!$BK$17),"",ReferenceData!$BK$17),"")</f>
        <v/>
      </c>
      <c r="BL17" t="str">
        <f ca="1">IFERROR(IF(0=LEN(ReferenceData!$BL$17),"",ReferenceData!$BL$17),"")</f>
        <v/>
      </c>
      <c r="BM17" t="str">
        <f ca="1">IFERROR(IF(0=LEN(ReferenceData!$BM$17),"",ReferenceData!$BM$17),"")</f>
        <v/>
      </c>
    </row>
    <row r="18" spans="1:65">
      <c r="A18" t="str">
        <f>IFERROR(IF(0=LEN(ReferenceData!$A$18),"",ReferenceData!$A$18),"")</f>
        <v xml:space="preserve">    HCP Inc</v>
      </c>
      <c r="B18" t="str">
        <f>IFERROR(IF(0=LEN(ReferenceData!$B$18),"",ReferenceData!$B$18),"")</f>
        <v>HCP US Equity</v>
      </c>
      <c r="C18" t="str">
        <f>IFERROR(IF(0=LEN(ReferenceData!$C$18),"",ReferenceData!$C$18),"")</f>
        <v>IM275</v>
      </c>
      <c r="D18" t="str">
        <f>IFERROR(IF(0=LEN(ReferenceData!$D$18),"",ReferenceData!$D$18),"")</f>
        <v>IS_OTHER_RENTAL_INCOME</v>
      </c>
      <c r="E18" t="str">
        <f>IFERROR(IF(0=LEN(ReferenceData!$E$18),"",ReferenceData!$E$18),"")</f>
        <v>动态</v>
      </c>
      <c r="F18" t="str">
        <f ca="1">IFERROR(IF(0=LEN(ReferenceData!$F$18),"",ReferenceData!$F$18),"")</f>
        <v/>
      </c>
      <c r="G18">
        <f ca="1">IFERROR(IF(0=LEN(ReferenceData!$G$18),"",ReferenceData!$G$18),"")</f>
        <v>401.29399999999998</v>
      </c>
      <c r="H18">
        <f ca="1">IFERROR(IF(0=LEN(ReferenceData!$H$18),"",ReferenceData!$H$18),"")</f>
        <v>405.38900000000001</v>
      </c>
      <c r="I18">
        <f ca="1">IFERROR(IF(0=LEN(ReferenceData!$I$18),"",ReferenceData!$I$18),"")</f>
        <v>402.8</v>
      </c>
      <c r="J18">
        <f ca="1">IFERROR(IF(0=LEN(ReferenceData!$J$18),"",ReferenceData!$J$18),"")</f>
        <v>440.16199999999998</v>
      </c>
      <c r="K18">
        <f ca="1">IFERROR(IF(0=LEN(ReferenceData!$K$18),"",ReferenceData!$K$18),"")</f>
        <v>487.875</v>
      </c>
      <c r="L18">
        <f ca="1">IFERROR(IF(0=LEN(ReferenceData!$L$18),"",ReferenceData!$L$18),"")</f>
        <v>475.26600000000002</v>
      </c>
      <c r="M18">
        <f ca="1">IFERROR(IF(0=LEN(ReferenceData!$M$18),"",ReferenceData!$M$18),"")</f>
        <v>472.017</v>
      </c>
      <c r="N18">
        <f ca="1">IFERROR(IF(0=LEN(ReferenceData!$N$18),"",ReferenceData!$N$18),"")</f>
        <v>471.053</v>
      </c>
      <c r="O18">
        <f ca="1">IFERROR(IF(0=LEN(ReferenceData!$O$18),"",ReferenceData!$O$18),"")</f>
        <v>465.40499999999997</v>
      </c>
      <c r="P18">
        <f ca="1">IFERROR(IF(0=LEN(ReferenceData!$P$18),"",ReferenceData!$P$18),"")</f>
        <v>604.57299999999998</v>
      </c>
      <c r="Q18">
        <f ca="1">IFERROR(IF(0=LEN(ReferenceData!$Q$18),"",ReferenceData!$Q$18),"")</f>
        <v>539.75300000000004</v>
      </c>
      <c r="R18">
        <f ca="1">IFERROR(IF(0=LEN(ReferenceData!$R$18),"",ReferenceData!$R$18),"")</f>
        <v>547.173</v>
      </c>
      <c r="S18">
        <f ca="1">IFERROR(IF(0=LEN(ReferenceData!$S$18),"",ReferenceData!$S$18),"")</f>
        <v>550.89700000000005</v>
      </c>
      <c r="T18">
        <f ca="1">IFERROR(IF(0=LEN(ReferenceData!$T$18),"",ReferenceData!$T$18),"")</f>
        <v>549.351</v>
      </c>
      <c r="U18">
        <f ca="1">IFERROR(IF(0=LEN(ReferenceData!$U$18),"",ReferenceData!$U$18),"")</f>
        <v>491.63</v>
      </c>
      <c r="V18">
        <f ca="1">IFERROR(IF(0=LEN(ReferenceData!$V$18),"",ReferenceData!$V$18),"")</f>
        <v>487.41300000000001</v>
      </c>
      <c r="W18">
        <f ca="1">IFERROR(IF(0=LEN(ReferenceData!$W$18),"",ReferenceData!$W$18),"")</f>
        <v>486.92500000000001</v>
      </c>
      <c r="X18">
        <f ca="1">IFERROR(IF(0=LEN(ReferenceData!$X$18),"",ReferenceData!$X$18),"")</f>
        <v>477.69499999999999</v>
      </c>
      <c r="Y18">
        <f ca="1">IFERROR(IF(0=LEN(ReferenceData!$Y$18),"",ReferenceData!$Y$18),"")</f>
        <v>472.44900000000001</v>
      </c>
      <c r="Z18">
        <f ca="1">IFERROR(IF(0=LEN(ReferenceData!$Z$18),"",ReferenceData!$Z$18),"")</f>
        <v>474.15499999999997</v>
      </c>
      <c r="AA18">
        <f ca="1">IFERROR(IF(0=LEN(ReferenceData!$AA$18),"",ReferenceData!$AA$18),"")</f>
        <v>465.53399999999999</v>
      </c>
      <c r="AB18">
        <f ca="1">IFERROR(IF(0=LEN(ReferenceData!$AB$18),"",ReferenceData!$AB$18),"")</f>
        <v>433.90300000000002</v>
      </c>
      <c r="AC18">
        <f ca="1">IFERROR(IF(0=LEN(ReferenceData!$AC$18),"",ReferenceData!$AC$18),"")</f>
        <v>435.14800000000002</v>
      </c>
      <c r="AD18">
        <f ca="1">IFERROR(IF(0=LEN(ReferenceData!$AD$18),"",ReferenceData!$AD$18),"")</f>
        <v>431.86500000000001</v>
      </c>
      <c r="AE18">
        <f ca="1">IFERROR(IF(0=LEN(ReferenceData!$AE$18),"",ReferenceData!$AE$18),"")</f>
        <v>434.654</v>
      </c>
      <c r="AF18">
        <f ca="1">IFERROR(IF(0=LEN(ReferenceData!$AF$18),"",ReferenceData!$AF$18),"")</f>
        <v>416.279</v>
      </c>
      <c r="AG18">
        <f ca="1">IFERROR(IF(0=LEN(ReferenceData!$AG$18),"",ReferenceData!$AG$18),"")</f>
        <v>404.654</v>
      </c>
      <c r="AH18">
        <f ca="1">IFERROR(IF(0=LEN(ReferenceData!$AH$18),"",ReferenceData!$AH$18),"")</f>
        <v>268.98099999999999</v>
      </c>
      <c r="AI18">
        <f ca="1">IFERROR(IF(0=LEN(ReferenceData!$AI$18),"",ReferenceData!$AI$18),"")</f>
        <v>266.04000000000002</v>
      </c>
      <c r="AJ18">
        <f ca="1">IFERROR(IF(0=LEN(ReferenceData!$AJ$18),"",ReferenceData!$AJ$18),"")</f>
        <v>255.98400000000001</v>
      </c>
      <c r="AK18">
        <f ca="1">IFERROR(IF(0=LEN(ReferenceData!$AK$18),"",ReferenceData!$AK$18),"")</f>
        <v>242.363</v>
      </c>
      <c r="AL18">
        <f ca="1">IFERROR(IF(0=LEN(ReferenceData!$AL$18),"",ReferenceData!$AL$18),"")</f>
        <v>236.48500000000001</v>
      </c>
      <c r="AM18">
        <f ca="1">IFERROR(IF(0=LEN(ReferenceData!$AM$18),"",ReferenceData!$AM$18),"")</f>
        <v>234.511</v>
      </c>
      <c r="AN18">
        <f ca="1">IFERROR(IF(0=LEN(ReferenceData!$AN$18),"",ReferenceData!$AN$18),"")</f>
        <v>229.34200000000001</v>
      </c>
      <c r="AO18">
        <f ca="1">IFERROR(IF(0=LEN(ReferenceData!$AO$18),"",ReferenceData!$AO$18),"")</f>
        <v>243.02600000000001</v>
      </c>
      <c r="AP18">
        <f ca="1">IFERROR(IF(0=LEN(ReferenceData!$AP$18),"",ReferenceData!$AP$18),"")</f>
        <v>225.15100000000001</v>
      </c>
      <c r="AQ18" t="str">
        <f ca="1">IFERROR(IF(0=LEN(ReferenceData!$AQ$18),"",ReferenceData!$AQ$18),"")</f>
        <v/>
      </c>
      <c r="AR18" t="str">
        <f ca="1">IFERROR(IF(0=LEN(ReferenceData!$AR$18),"",ReferenceData!$AR$18),"")</f>
        <v/>
      </c>
      <c r="AS18" t="str">
        <f ca="1">IFERROR(IF(0=LEN(ReferenceData!$AS$18),"",ReferenceData!$AS$18),"")</f>
        <v/>
      </c>
      <c r="AT18" t="str">
        <f ca="1">IFERROR(IF(0=LEN(ReferenceData!$AT$18),"",ReferenceData!$AT$18),"")</f>
        <v/>
      </c>
      <c r="AU18" t="str">
        <f ca="1">IFERROR(IF(0=LEN(ReferenceData!$AU$18),"",ReferenceData!$AU$18),"")</f>
        <v/>
      </c>
      <c r="AV18" t="str">
        <f ca="1">IFERROR(IF(0=LEN(ReferenceData!$AV$18),"",ReferenceData!$AV$18),"")</f>
        <v/>
      </c>
      <c r="AW18" t="str">
        <f ca="1">IFERROR(IF(0=LEN(ReferenceData!$AW$18),"",ReferenceData!$AW$18),"")</f>
        <v/>
      </c>
      <c r="AX18" t="str">
        <f ca="1">IFERROR(IF(0=LEN(ReferenceData!$AX$18),"",ReferenceData!$AX$18),"")</f>
        <v/>
      </c>
      <c r="AY18" t="str">
        <f ca="1">IFERROR(IF(0=LEN(ReferenceData!$AY$18),"",ReferenceData!$AY$18),"")</f>
        <v/>
      </c>
      <c r="AZ18" t="str">
        <f ca="1">IFERROR(IF(0=LEN(ReferenceData!$AZ$18),"",ReferenceData!$AZ$18),"")</f>
        <v/>
      </c>
      <c r="BA18" t="str">
        <f ca="1">IFERROR(IF(0=LEN(ReferenceData!$BA$18),"",ReferenceData!$BA$18),"")</f>
        <v/>
      </c>
      <c r="BB18" t="str">
        <f ca="1">IFERROR(IF(0=LEN(ReferenceData!$BB$18),"",ReferenceData!$BB$18),"")</f>
        <v/>
      </c>
      <c r="BC18" t="str">
        <f ca="1">IFERROR(IF(0=LEN(ReferenceData!$BC$18),"",ReferenceData!$BC$18),"")</f>
        <v/>
      </c>
      <c r="BD18" t="str">
        <f ca="1">IFERROR(IF(0=LEN(ReferenceData!$BD$18),"",ReferenceData!$BD$18),"")</f>
        <v/>
      </c>
      <c r="BE18" t="str">
        <f ca="1">IFERROR(IF(0=LEN(ReferenceData!$BE$18),"",ReferenceData!$BE$18),"")</f>
        <v/>
      </c>
      <c r="BF18" t="str">
        <f ca="1">IFERROR(IF(0=LEN(ReferenceData!$BF$18),"",ReferenceData!$BF$18),"")</f>
        <v/>
      </c>
      <c r="BG18" t="str">
        <f ca="1">IFERROR(IF(0=LEN(ReferenceData!$BG$18),"",ReferenceData!$BG$18),"")</f>
        <v/>
      </c>
      <c r="BH18" t="str">
        <f ca="1">IFERROR(IF(0=LEN(ReferenceData!$BH$18),"",ReferenceData!$BH$18),"")</f>
        <v/>
      </c>
      <c r="BI18" t="str">
        <f ca="1">IFERROR(IF(0=LEN(ReferenceData!$BI$18),"",ReferenceData!$BI$18),"")</f>
        <v/>
      </c>
      <c r="BJ18" t="str">
        <f ca="1">IFERROR(IF(0=LEN(ReferenceData!$BJ$18),"",ReferenceData!$BJ$18),"")</f>
        <v/>
      </c>
      <c r="BK18" t="str">
        <f ca="1">IFERROR(IF(0=LEN(ReferenceData!$BK$18),"",ReferenceData!$BK$18),"")</f>
        <v/>
      </c>
      <c r="BL18" t="str">
        <f ca="1">IFERROR(IF(0=LEN(ReferenceData!$BL$18),"",ReferenceData!$BL$18),"")</f>
        <v/>
      </c>
      <c r="BM18" t="str">
        <f ca="1">IFERROR(IF(0=LEN(ReferenceData!$BM$18),"",ReferenceData!$BM$18),"")</f>
        <v/>
      </c>
    </row>
    <row r="19" spans="1:65">
      <c r="A19" t="str">
        <f>IFERROR(IF(0=LEN(ReferenceData!$A$19),"",ReferenceData!$A$19),"")</f>
        <v xml:space="preserve">    Healthcare Realty Trust Inc</v>
      </c>
      <c r="B19" t="str">
        <f>IFERROR(IF(0=LEN(ReferenceData!$B$19),"",ReferenceData!$B$19),"")</f>
        <v>HR US Equity</v>
      </c>
      <c r="C19" t="str">
        <f>IFERROR(IF(0=LEN(ReferenceData!$C$19),"",ReferenceData!$C$19),"")</f>
        <v>IM275</v>
      </c>
      <c r="D19" t="str">
        <f>IFERROR(IF(0=LEN(ReferenceData!$D$19),"",ReferenceData!$D$19),"")</f>
        <v>IS_OTHER_RENTAL_INCOME</v>
      </c>
      <c r="E19" t="str">
        <f>IFERROR(IF(0=LEN(ReferenceData!$E$19),"",ReferenceData!$E$19),"")</f>
        <v>动态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  <c r="K19" t="str">
        <f ca="1">IFERROR(IF(0=LEN(ReferenceData!$K$19),"",ReferenceData!$K$19),"")</f>
        <v/>
      </c>
      <c r="L19" t="str">
        <f ca="1">IFERROR(IF(0=LEN(ReferenceData!$L$19),"",ReferenceData!$L$19),"")</f>
        <v/>
      </c>
      <c r="M19" t="str">
        <f ca="1">IFERROR(IF(0=LEN(ReferenceData!$M$19),"",ReferenceData!$M$19),"")</f>
        <v/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 t="str">
        <f ca="1">IFERROR(IF(0=LEN(ReferenceData!$P$19),"",ReferenceData!$P$19),"")</f>
        <v/>
      </c>
      <c r="Q19" t="str">
        <f ca="1">IFERROR(IF(0=LEN(ReferenceData!$Q$19),"",ReferenceData!$Q$19),"")</f>
        <v/>
      </c>
      <c r="R19" t="str">
        <f ca="1">IFERROR(IF(0=LEN(ReferenceData!$R$19),"",ReferenceData!$R$19),"")</f>
        <v/>
      </c>
      <c r="S19" t="str">
        <f ca="1">IFERROR(IF(0=LEN(ReferenceData!$S$19),"",ReferenceData!$S$19),"")</f>
        <v/>
      </c>
      <c r="T19" t="str">
        <f ca="1">IFERROR(IF(0=LEN(ReferenceData!$T$19),"",ReferenceData!$T$19),"")</f>
        <v/>
      </c>
      <c r="U19" t="str">
        <f ca="1">IFERROR(IF(0=LEN(ReferenceData!$U$19),"",ReferenceData!$U$19),"")</f>
        <v/>
      </c>
      <c r="V19" t="str">
        <f ca="1">IFERROR(IF(0=LEN(ReferenceData!$V$19),"",ReferenceData!$V$19),"")</f>
        <v/>
      </c>
      <c r="W19" t="str">
        <f ca="1">IFERROR(IF(0=LEN(ReferenceData!$W$19),"",ReferenceData!$W$19),"")</f>
        <v/>
      </c>
      <c r="X19" t="str">
        <f ca="1">IFERROR(IF(0=LEN(ReferenceData!$X$19),"",ReferenceData!$X$19),"")</f>
        <v/>
      </c>
      <c r="Y19" t="str">
        <f ca="1">IFERROR(IF(0=LEN(ReferenceData!$Y$19),"",ReferenceData!$Y$19),"")</f>
        <v/>
      </c>
      <c r="Z19" t="str">
        <f ca="1">IFERROR(IF(0=LEN(ReferenceData!$Z$19),"",ReferenceData!$Z$19),"")</f>
        <v/>
      </c>
      <c r="AA19" t="str">
        <f ca="1">IFERROR(IF(0=LEN(ReferenceData!$AA$19),"",ReferenceData!$AA$19),"")</f>
        <v/>
      </c>
      <c r="AB19" t="str">
        <f ca="1">IFERROR(IF(0=LEN(ReferenceData!$AB$19),"",ReferenceData!$AB$19),"")</f>
        <v/>
      </c>
      <c r="AC19" t="str">
        <f ca="1">IFERROR(IF(0=LEN(ReferenceData!$AC$19),"",ReferenceData!$AC$19),"")</f>
        <v/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  <c r="AM19" t="str">
        <f ca="1">IFERROR(IF(0=LEN(ReferenceData!$AM$19),"",ReferenceData!$AM$19),"")</f>
        <v/>
      </c>
      <c r="AN19" t="str">
        <f ca="1">IFERROR(IF(0=LEN(ReferenceData!$AN$19),"",ReferenceData!$AN$19),"")</f>
        <v/>
      </c>
      <c r="AO19" t="str">
        <f ca="1">IFERROR(IF(0=LEN(ReferenceData!$AO$19),"",ReferenceData!$AO$19),"")</f>
        <v/>
      </c>
      <c r="AP19" t="str">
        <f ca="1">IFERROR(IF(0=LEN(ReferenceData!$AP$19),"",ReferenceData!$AP$19),"")</f>
        <v/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  <c r="BM19" t="str">
        <f ca="1">IFERROR(IF(0=LEN(ReferenceData!$BM$19),"",ReferenceData!$BM$19),"")</f>
        <v/>
      </c>
    </row>
    <row r="20" spans="1:65">
      <c r="A20" t="str">
        <f>IFERROR(IF(0=LEN(ReferenceData!$A$20),"",ReferenceData!$A$20),"")</f>
        <v xml:space="preserve">    Healthcare Trust of America In</v>
      </c>
      <c r="B20" t="str">
        <f>IFERROR(IF(0=LEN(ReferenceData!$B$20),"",ReferenceData!$B$20),"")</f>
        <v>HTA US Equity</v>
      </c>
      <c r="C20" t="str">
        <f>IFERROR(IF(0=LEN(ReferenceData!$C$20),"",ReferenceData!$C$20),"")</f>
        <v>IM275</v>
      </c>
      <c r="D20" t="str">
        <f>IFERROR(IF(0=LEN(ReferenceData!$D$20),"",ReferenceData!$D$20),"")</f>
        <v>IS_OTHER_RENTAL_INCOME</v>
      </c>
      <c r="E20" t="str">
        <f>IFERROR(IF(0=LEN(ReferenceData!$E$20),"",ReferenceData!$E$20),"")</f>
        <v>动态</v>
      </c>
      <c r="F20" t="str">
        <f ca="1">IFERROR(IF(0=LEN(ReferenceData!$F$20),"",ReferenceData!$F$20),"")</f>
        <v/>
      </c>
      <c r="G20" t="str">
        <f ca="1">IFERROR(IF(0=LEN(ReferenceData!$G$20),"",ReferenceData!$G$20),"")</f>
        <v/>
      </c>
      <c r="H20" t="str">
        <f ca="1">IFERROR(IF(0=LEN(ReferenceData!$H$20),"",ReferenceData!$H$20),"")</f>
        <v/>
      </c>
      <c r="I20" t="str">
        <f ca="1">IFERROR(IF(0=LEN(ReferenceData!$I$20),"",ReferenceData!$I$20),"")</f>
        <v/>
      </c>
      <c r="J20" t="str">
        <f ca="1">IFERROR(IF(0=LEN(ReferenceData!$J$20),"",ReferenceData!$J$20),"")</f>
        <v/>
      </c>
      <c r="K20" t="str">
        <f ca="1">IFERROR(IF(0=LEN(ReferenceData!$K$20),"",ReferenceData!$K$20),"")</f>
        <v/>
      </c>
      <c r="L20" t="str">
        <f ca="1">IFERROR(IF(0=LEN(ReferenceData!$L$20),"",ReferenceData!$L$20),"")</f>
        <v/>
      </c>
      <c r="M20" t="str">
        <f ca="1">IFERROR(IF(0=LEN(ReferenceData!$M$20),"",ReferenceData!$M$20),"")</f>
        <v/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 t="str">
        <f ca="1">IFERROR(IF(0=LEN(ReferenceData!$P$20),"",ReferenceData!$P$20),"")</f>
        <v/>
      </c>
      <c r="Q20" t="str">
        <f ca="1">IFERROR(IF(0=LEN(ReferenceData!$Q$20),"",ReferenceData!$Q$20),"")</f>
        <v/>
      </c>
      <c r="R20" t="str">
        <f ca="1">IFERROR(IF(0=LEN(ReferenceData!$R$20),"",ReferenceData!$R$20),"")</f>
        <v/>
      </c>
      <c r="S20" t="str">
        <f ca="1">IFERROR(IF(0=LEN(ReferenceData!$S$20),"",ReferenceData!$S$20),"")</f>
        <v/>
      </c>
      <c r="T20" t="str">
        <f ca="1">IFERROR(IF(0=LEN(ReferenceData!$T$20),"",ReferenceData!$T$20),"")</f>
        <v/>
      </c>
      <c r="U20" t="str">
        <f ca="1">IFERROR(IF(0=LEN(ReferenceData!$U$20),"",ReferenceData!$U$20),"")</f>
        <v/>
      </c>
      <c r="V20" t="str">
        <f ca="1">IFERROR(IF(0=LEN(ReferenceData!$V$20),"",ReferenceData!$V$20),"")</f>
        <v/>
      </c>
      <c r="W20" t="str">
        <f ca="1">IFERROR(IF(0=LEN(ReferenceData!$W$20),"",ReferenceData!$W$20),"")</f>
        <v/>
      </c>
      <c r="X20" t="str">
        <f ca="1">IFERROR(IF(0=LEN(ReferenceData!$X$20),"",ReferenceData!$X$20),"")</f>
        <v/>
      </c>
      <c r="Y20" t="str">
        <f ca="1">IFERROR(IF(0=LEN(ReferenceData!$Y$20),"",ReferenceData!$Y$20),"")</f>
        <v/>
      </c>
      <c r="Z20" t="str">
        <f ca="1">IFERROR(IF(0=LEN(ReferenceData!$Z$20),"",ReferenceData!$Z$20),"")</f>
        <v/>
      </c>
      <c r="AA20" t="str">
        <f ca="1">IFERROR(IF(0=LEN(ReferenceData!$AA$20),"",ReferenceData!$AA$20),"")</f>
        <v/>
      </c>
      <c r="AB20" t="str">
        <f ca="1">IFERROR(IF(0=LEN(ReferenceData!$AB$20),"",ReferenceData!$AB$20),"")</f>
        <v/>
      </c>
      <c r="AC20" t="str">
        <f ca="1">IFERROR(IF(0=LEN(ReferenceData!$AC$20),"",ReferenceData!$AC$20),"")</f>
        <v/>
      </c>
      <c r="AD20" t="str">
        <f ca="1">IFERROR(IF(0=LEN(ReferenceData!$AD$20),"",ReferenceData!$AD$20),"")</f>
        <v/>
      </c>
      <c r="AE20" t="str">
        <f ca="1">IFERROR(IF(0=LEN(ReferenceData!$AE$20),"",ReferenceData!$AE$20),"")</f>
        <v/>
      </c>
      <c r="AF20" t="str">
        <f ca="1">IFERROR(IF(0=LEN(ReferenceData!$AF$20),"",ReferenceData!$AF$20),"")</f>
        <v/>
      </c>
      <c r="AG20" t="str">
        <f ca="1">IFERROR(IF(0=LEN(ReferenceData!$AG$20),"",ReferenceData!$AG$20),"")</f>
        <v/>
      </c>
      <c r="AH20" t="str">
        <f ca="1">IFERROR(IF(0=LEN(ReferenceData!$AH$20),"",ReferenceData!$AH$20),"")</f>
        <v/>
      </c>
      <c r="AI20" t="str">
        <f ca="1">IFERROR(IF(0=LEN(ReferenceData!$AI$20),"",ReferenceData!$AI$20),"")</f>
        <v/>
      </c>
      <c r="AJ20" t="str">
        <f ca="1">IFERROR(IF(0=LEN(ReferenceData!$AJ$20),"",ReferenceData!$AJ$20),"")</f>
        <v/>
      </c>
      <c r="AK20" t="str">
        <f ca="1">IFERROR(IF(0=LEN(ReferenceData!$AK$20),"",ReferenceData!$AK$20),"")</f>
        <v/>
      </c>
      <c r="AL20" t="str">
        <f ca="1">IFERROR(IF(0=LEN(ReferenceData!$AL$20),"",ReferenceData!$AL$20),"")</f>
        <v/>
      </c>
      <c r="AM20" t="str">
        <f ca="1">IFERROR(IF(0=LEN(ReferenceData!$AM$20),"",ReferenceData!$AM$20),"")</f>
        <v/>
      </c>
      <c r="AN20" t="str">
        <f ca="1">IFERROR(IF(0=LEN(ReferenceData!$AN$20),"",ReferenceData!$AN$20),"")</f>
        <v/>
      </c>
      <c r="AO20" t="str">
        <f ca="1">IFERROR(IF(0=LEN(ReferenceData!$AO$20),"",ReferenceData!$AO$20),"")</f>
        <v/>
      </c>
      <c r="AP20" t="str">
        <f ca="1">IFERROR(IF(0=LEN(ReferenceData!$AP$20),"",ReferenceData!$AP$20),"")</f>
        <v/>
      </c>
      <c r="AQ20" t="str">
        <f ca="1">IFERROR(IF(0=LEN(ReferenceData!$AQ$20),"",ReferenceData!$AQ$20),"")</f>
        <v/>
      </c>
      <c r="AR20" t="str">
        <f ca="1">IFERROR(IF(0=LEN(ReferenceData!$AR$20),"",ReferenceData!$AR$20),"")</f>
        <v/>
      </c>
      <c r="AS20" t="str">
        <f ca="1">IFERROR(IF(0=LEN(ReferenceData!$AS$20),"",ReferenceData!$AS$20),"")</f>
        <v/>
      </c>
      <c r="AT20" t="str">
        <f ca="1">IFERROR(IF(0=LEN(ReferenceData!$AT$20),"",ReferenceData!$AT$20),"")</f>
        <v/>
      </c>
      <c r="AU20" t="str">
        <f ca="1">IFERROR(IF(0=LEN(ReferenceData!$AU$20),"",ReferenceData!$AU$20),"")</f>
        <v/>
      </c>
      <c r="AV20" t="str">
        <f ca="1">IFERROR(IF(0=LEN(ReferenceData!$AV$20),"",ReferenceData!$AV$20),"")</f>
        <v/>
      </c>
      <c r="AW20" t="str">
        <f ca="1">IFERROR(IF(0=LEN(ReferenceData!$AW$20),"",ReferenceData!$AW$20),"")</f>
        <v/>
      </c>
      <c r="AX20" t="str">
        <f ca="1">IFERROR(IF(0=LEN(ReferenceData!$AX$20),"",ReferenceData!$AX$20),"")</f>
        <v/>
      </c>
      <c r="AY20" t="str">
        <f ca="1">IFERROR(IF(0=LEN(ReferenceData!$AY$20),"",ReferenceData!$AY$20),"")</f>
        <v/>
      </c>
      <c r="AZ20" t="str">
        <f ca="1">IFERROR(IF(0=LEN(ReferenceData!$AZ$20),"",ReferenceData!$AZ$20),"")</f>
        <v/>
      </c>
      <c r="BA20" t="str">
        <f ca="1">IFERROR(IF(0=LEN(ReferenceData!$BA$20),"",ReferenceData!$BA$20),"")</f>
        <v/>
      </c>
      <c r="BB20" t="str">
        <f ca="1">IFERROR(IF(0=LEN(ReferenceData!$BB$20),"",ReferenceData!$BB$20),"")</f>
        <v/>
      </c>
      <c r="BC20" t="str">
        <f ca="1">IFERROR(IF(0=LEN(ReferenceData!$BC$20),"",ReferenceData!$BC$20),"")</f>
        <v/>
      </c>
      <c r="BD20" t="str">
        <f ca="1">IFERROR(IF(0=LEN(ReferenceData!$BD$20),"",ReferenceData!$BD$20),"")</f>
        <v/>
      </c>
      <c r="BE20" t="str">
        <f ca="1">IFERROR(IF(0=LEN(ReferenceData!$BE$20),"",ReferenceData!$BE$20),"")</f>
        <v/>
      </c>
      <c r="BF20" t="str">
        <f ca="1">IFERROR(IF(0=LEN(ReferenceData!$BF$20),"",ReferenceData!$BF$20),"")</f>
        <v/>
      </c>
      <c r="BG20" t="str">
        <f ca="1">IFERROR(IF(0=LEN(ReferenceData!$BG$20),"",ReferenceData!$BG$20),"")</f>
        <v/>
      </c>
      <c r="BH20" t="str">
        <f ca="1">IFERROR(IF(0=LEN(ReferenceData!$BH$20),"",ReferenceData!$BH$20),"")</f>
        <v/>
      </c>
      <c r="BI20" t="str">
        <f ca="1">IFERROR(IF(0=LEN(ReferenceData!$BI$20),"",ReferenceData!$BI$20),"")</f>
        <v/>
      </c>
      <c r="BJ20" t="str">
        <f ca="1">IFERROR(IF(0=LEN(ReferenceData!$BJ$20),"",ReferenceData!$BJ$20),"")</f>
        <v/>
      </c>
      <c r="BK20" t="str">
        <f ca="1">IFERROR(IF(0=LEN(ReferenceData!$BK$20),"",ReferenceData!$BK$20),"")</f>
        <v/>
      </c>
      <c r="BL20" t="str">
        <f ca="1">IFERROR(IF(0=LEN(ReferenceData!$BL$20),"",ReferenceData!$BL$20),"")</f>
        <v/>
      </c>
      <c r="BM20" t="str">
        <f ca="1">IFERROR(IF(0=LEN(ReferenceData!$BM$20),"",ReferenceData!$BM$20),"")</f>
        <v/>
      </c>
    </row>
    <row r="21" spans="1:65">
      <c r="A21" t="str">
        <f>IFERROR(IF(0=LEN(ReferenceData!$A$21),"",ReferenceData!$A$21),"")</f>
        <v xml:space="preserve">    Medical Properties Trust Inc</v>
      </c>
      <c r="B21" t="str">
        <f>IFERROR(IF(0=LEN(ReferenceData!$B$21),"",ReferenceData!$B$21),"")</f>
        <v>MPW US Equity</v>
      </c>
      <c r="C21" t="str">
        <f>IFERROR(IF(0=LEN(ReferenceData!$C$21),"",ReferenceData!$C$21),"")</f>
        <v>IM275</v>
      </c>
      <c r="D21" t="str">
        <f>IFERROR(IF(0=LEN(ReferenceData!$D$21),"",ReferenceData!$D$21),"")</f>
        <v>IS_OTHER_RENTAL_INCOME</v>
      </c>
      <c r="E21" t="str">
        <f>IFERROR(IF(0=LEN(ReferenceData!$E$21),"",ReferenceData!$E$21),"")</f>
        <v>动态</v>
      </c>
      <c r="F21" t="str">
        <f ca="1">IFERROR(IF(0=LEN(ReferenceData!$F$21),"",ReferenceData!$F$21),"")</f>
        <v/>
      </c>
      <c r="G21" t="str">
        <f ca="1">IFERROR(IF(0=LEN(ReferenceData!$G$21),"",ReferenceData!$G$21),"")</f>
        <v/>
      </c>
      <c r="H21" t="str">
        <f ca="1">IFERROR(IF(0=LEN(ReferenceData!$H$21),"",ReferenceData!$H$21),"")</f>
        <v/>
      </c>
      <c r="I21" t="str">
        <f ca="1">IFERROR(IF(0=LEN(ReferenceData!$I$21),"",ReferenceData!$I$21),"")</f>
        <v/>
      </c>
      <c r="J21" t="str">
        <f ca="1">IFERROR(IF(0=LEN(ReferenceData!$J$21),"",ReferenceData!$J$21),"")</f>
        <v/>
      </c>
      <c r="K21" t="str">
        <f ca="1">IFERROR(IF(0=LEN(ReferenceData!$K$21),"",ReferenceData!$K$21),"")</f>
        <v/>
      </c>
      <c r="L21" t="str">
        <f ca="1">IFERROR(IF(0=LEN(ReferenceData!$L$21),"",ReferenceData!$L$21),"")</f>
        <v/>
      </c>
      <c r="M21" t="str">
        <f ca="1">IFERROR(IF(0=LEN(ReferenceData!$M$21),"",ReferenceData!$M$21),"")</f>
        <v/>
      </c>
      <c r="N21" t="str">
        <f ca="1">IFERROR(IF(0=LEN(ReferenceData!$N$21),"",ReferenceData!$N$21),"")</f>
        <v/>
      </c>
      <c r="O21" t="str">
        <f ca="1">IFERROR(IF(0=LEN(ReferenceData!$O$21),"",ReferenceData!$O$21),"")</f>
        <v/>
      </c>
      <c r="P21" t="str">
        <f ca="1">IFERROR(IF(0=LEN(ReferenceData!$P$21),"",ReferenceData!$P$21),"")</f>
        <v/>
      </c>
      <c r="Q21" t="str">
        <f ca="1">IFERROR(IF(0=LEN(ReferenceData!$Q$21),"",ReferenceData!$Q$21),"")</f>
        <v/>
      </c>
      <c r="R21" t="str">
        <f ca="1">IFERROR(IF(0=LEN(ReferenceData!$R$21),"",ReferenceData!$R$21),"")</f>
        <v/>
      </c>
      <c r="S21" t="str">
        <f ca="1">IFERROR(IF(0=LEN(ReferenceData!$S$21),"",ReferenceData!$S$21),"")</f>
        <v/>
      </c>
      <c r="T21" t="str">
        <f ca="1">IFERROR(IF(0=LEN(ReferenceData!$T$21),"",ReferenceData!$T$21),"")</f>
        <v/>
      </c>
      <c r="U21" t="str">
        <f ca="1">IFERROR(IF(0=LEN(ReferenceData!$U$21),"",ReferenceData!$U$21),"")</f>
        <v/>
      </c>
      <c r="V21" t="str">
        <f ca="1">IFERROR(IF(0=LEN(ReferenceData!$V$21),"",ReferenceData!$V$21),"")</f>
        <v/>
      </c>
      <c r="W21" t="str">
        <f ca="1">IFERROR(IF(0=LEN(ReferenceData!$W$21),"",ReferenceData!$W$21),"")</f>
        <v/>
      </c>
      <c r="X21" t="str">
        <f ca="1">IFERROR(IF(0=LEN(ReferenceData!$X$21),"",ReferenceData!$X$21),"")</f>
        <v/>
      </c>
      <c r="Y21" t="str">
        <f ca="1">IFERROR(IF(0=LEN(ReferenceData!$Y$21),"",ReferenceData!$Y$21),"")</f>
        <v/>
      </c>
      <c r="Z21" t="str">
        <f ca="1">IFERROR(IF(0=LEN(ReferenceData!$Z$21),"",ReferenceData!$Z$21),"")</f>
        <v/>
      </c>
      <c r="AA21" t="str">
        <f ca="1">IFERROR(IF(0=LEN(ReferenceData!$AA$21),"",ReferenceData!$AA$21),"")</f>
        <v/>
      </c>
      <c r="AB21" t="str">
        <f ca="1">IFERROR(IF(0=LEN(ReferenceData!$AB$21),"",ReferenceData!$AB$21),"")</f>
        <v/>
      </c>
      <c r="AC21" t="str">
        <f ca="1">IFERROR(IF(0=LEN(ReferenceData!$AC$21),"",ReferenceData!$AC$21),"")</f>
        <v/>
      </c>
      <c r="AD21" t="str">
        <f ca="1">IFERROR(IF(0=LEN(ReferenceData!$AD$21),"",ReferenceData!$AD$21),"")</f>
        <v/>
      </c>
      <c r="AE21" t="str">
        <f ca="1">IFERROR(IF(0=LEN(ReferenceData!$AE$21),"",ReferenceData!$AE$21),"")</f>
        <v/>
      </c>
      <c r="AF21" t="str">
        <f ca="1">IFERROR(IF(0=LEN(ReferenceData!$AF$21),"",ReferenceData!$AF$21),"")</f>
        <v/>
      </c>
      <c r="AG21" t="str">
        <f ca="1">IFERROR(IF(0=LEN(ReferenceData!$AG$21),"",ReferenceData!$AG$21),"")</f>
        <v/>
      </c>
      <c r="AH21" t="str">
        <f ca="1">IFERROR(IF(0=LEN(ReferenceData!$AH$21),"",ReferenceData!$AH$21),"")</f>
        <v/>
      </c>
      <c r="AI21" t="str">
        <f ca="1">IFERROR(IF(0=LEN(ReferenceData!$AI$21),"",ReferenceData!$AI$21),"")</f>
        <v/>
      </c>
      <c r="AJ21" t="str">
        <f ca="1">IFERROR(IF(0=LEN(ReferenceData!$AJ$21),"",ReferenceData!$AJ$21),"")</f>
        <v/>
      </c>
      <c r="AK21" t="str">
        <f ca="1">IFERROR(IF(0=LEN(ReferenceData!$AK$21),"",ReferenceData!$AK$21),"")</f>
        <v/>
      </c>
      <c r="AL21" t="str">
        <f ca="1">IFERROR(IF(0=LEN(ReferenceData!$AL$21),"",ReferenceData!$AL$21),"")</f>
        <v/>
      </c>
      <c r="AM21" t="str">
        <f ca="1">IFERROR(IF(0=LEN(ReferenceData!$AM$21),"",ReferenceData!$AM$21),"")</f>
        <v/>
      </c>
      <c r="AN21" t="str">
        <f ca="1">IFERROR(IF(0=LEN(ReferenceData!$AN$21),"",ReferenceData!$AN$21),"")</f>
        <v/>
      </c>
      <c r="AO21" t="str">
        <f ca="1">IFERROR(IF(0=LEN(ReferenceData!$AO$21),"",ReferenceData!$AO$21),"")</f>
        <v/>
      </c>
      <c r="AP21" t="str">
        <f ca="1">IFERROR(IF(0=LEN(ReferenceData!$AP$21),"",ReferenceData!$AP$21),"")</f>
        <v/>
      </c>
      <c r="AQ21" t="str">
        <f ca="1">IFERROR(IF(0=LEN(ReferenceData!$AQ$21),"",ReferenceData!$AQ$21),"")</f>
        <v/>
      </c>
      <c r="AR21" t="str">
        <f ca="1">IFERROR(IF(0=LEN(ReferenceData!$AR$21),"",ReferenceData!$AR$21),"")</f>
        <v/>
      </c>
      <c r="AS21" t="str">
        <f ca="1">IFERROR(IF(0=LEN(ReferenceData!$AS$21),"",ReferenceData!$AS$21),"")</f>
        <v/>
      </c>
      <c r="AT21" t="str">
        <f ca="1">IFERROR(IF(0=LEN(ReferenceData!$AT$21),"",ReferenceData!$AT$21),"")</f>
        <v/>
      </c>
      <c r="AU21" t="str">
        <f ca="1">IFERROR(IF(0=LEN(ReferenceData!$AU$21),"",ReferenceData!$AU$21),"")</f>
        <v/>
      </c>
      <c r="AV21" t="str">
        <f ca="1">IFERROR(IF(0=LEN(ReferenceData!$AV$21),"",ReferenceData!$AV$21),"")</f>
        <v/>
      </c>
      <c r="AW21" t="str">
        <f ca="1">IFERROR(IF(0=LEN(ReferenceData!$AW$21),"",ReferenceData!$AW$21),"")</f>
        <v/>
      </c>
      <c r="AX21" t="str">
        <f ca="1">IFERROR(IF(0=LEN(ReferenceData!$AX$21),"",ReferenceData!$AX$21),"")</f>
        <v/>
      </c>
      <c r="AY21" t="str">
        <f ca="1">IFERROR(IF(0=LEN(ReferenceData!$AY$21),"",ReferenceData!$AY$21),"")</f>
        <v/>
      </c>
      <c r="AZ21" t="str">
        <f ca="1">IFERROR(IF(0=LEN(ReferenceData!$AZ$21),"",ReferenceData!$AZ$21),"")</f>
        <v/>
      </c>
      <c r="BA21" t="str">
        <f ca="1">IFERROR(IF(0=LEN(ReferenceData!$BA$21),"",ReferenceData!$BA$21),"")</f>
        <v/>
      </c>
      <c r="BB21" t="str">
        <f ca="1">IFERROR(IF(0=LEN(ReferenceData!$BB$21),"",ReferenceData!$BB$21),"")</f>
        <v/>
      </c>
      <c r="BC21" t="str">
        <f ca="1">IFERROR(IF(0=LEN(ReferenceData!$BC$21),"",ReferenceData!$BC$21),"")</f>
        <v/>
      </c>
      <c r="BD21" t="str">
        <f ca="1">IFERROR(IF(0=LEN(ReferenceData!$BD$21),"",ReferenceData!$BD$21),"")</f>
        <v/>
      </c>
      <c r="BE21" t="str">
        <f ca="1">IFERROR(IF(0=LEN(ReferenceData!$BE$21),"",ReferenceData!$BE$21),"")</f>
        <v/>
      </c>
      <c r="BF21" t="str">
        <f ca="1">IFERROR(IF(0=LEN(ReferenceData!$BF$21),"",ReferenceData!$BF$21),"")</f>
        <v/>
      </c>
      <c r="BG21" t="str">
        <f ca="1">IFERROR(IF(0=LEN(ReferenceData!$BG$21),"",ReferenceData!$BG$21),"")</f>
        <v/>
      </c>
      <c r="BH21" t="str">
        <f ca="1">IFERROR(IF(0=LEN(ReferenceData!$BH$21),"",ReferenceData!$BH$21),"")</f>
        <v/>
      </c>
      <c r="BI21" t="str">
        <f ca="1">IFERROR(IF(0=LEN(ReferenceData!$BI$21),"",ReferenceData!$BI$21),"")</f>
        <v/>
      </c>
      <c r="BJ21" t="str">
        <f ca="1">IFERROR(IF(0=LEN(ReferenceData!$BJ$21),"",ReferenceData!$BJ$21),"")</f>
        <v/>
      </c>
      <c r="BK21" t="str">
        <f ca="1">IFERROR(IF(0=LEN(ReferenceData!$BK$21),"",ReferenceData!$BK$21),"")</f>
        <v/>
      </c>
      <c r="BL21" t="str">
        <f ca="1">IFERROR(IF(0=LEN(ReferenceData!$BL$21),"",ReferenceData!$BL$21),"")</f>
        <v/>
      </c>
      <c r="BM21" t="str">
        <f ca="1">IFERROR(IF(0=LEN(ReferenceData!$BM$21),"",ReferenceData!$BM$21),"")</f>
        <v/>
      </c>
    </row>
    <row r="22" spans="1:65">
      <c r="A22" t="str">
        <f>IFERROR(IF(0=LEN(ReferenceData!$A$22),"",ReferenceData!$A$22),"")</f>
        <v xml:space="preserve">    Omega Healthcare Investors Inc</v>
      </c>
      <c r="B22" t="str">
        <f>IFERROR(IF(0=LEN(ReferenceData!$B$22),"",ReferenceData!$B$22),"")</f>
        <v>OHI US Equity</v>
      </c>
      <c r="C22" t="str">
        <f>IFERROR(IF(0=LEN(ReferenceData!$C$22),"",ReferenceData!$C$22),"")</f>
        <v>IM275</v>
      </c>
      <c r="D22" t="str">
        <f>IFERROR(IF(0=LEN(ReferenceData!$D$22),"",ReferenceData!$D$22),"")</f>
        <v>IS_OTHER_RENTAL_INCOME</v>
      </c>
      <c r="E22" t="str">
        <f>IFERROR(IF(0=LEN(ReferenceData!$E$22),"",ReferenceData!$E$22),"")</f>
        <v>动态</v>
      </c>
      <c r="F22" t="str">
        <f ca="1">IFERROR(IF(0=LEN(ReferenceData!$F$22),"",ReferenceData!$F$22),"")</f>
        <v/>
      </c>
      <c r="G22" t="str">
        <f ca="1">IFERROR(IF(0=LEN(ReferenceData!$G$22),"",ReferenceData!$G$22),"")</f>
        <v/>
      </c>
      <c r="H22" t="str">
        <f ca="1">IFERROR(IF(0=LEN(ReferenceData!$H$22),"",ReferenceData!$H$22),"")</f>
        <v/>
      </c>
      <c r="I22" t="str">
        <f ca="1">IFERROR(IF(0=LEN(ReferenceData!$I$22),"",ReferenceData!$I$22),"")</f>
        <v/>
      </c>
      <c r="J22" t="str">
        <f ca="1">IFERROR(IF(0=LEN(ReferenceData!$J$22),"",ReferenceData!$J$22),"")</f>
        <v/>
      </c>
      <c r="K22" t="str">
        <f ca="1">IFERROR(IF(0=LEN(ReferenceData!$K$22),"",ReferenceData!$K$22),"")</f>
        <v/>
      </c>
      <c r="L22" t="str">
        <f ca="1">IFERROR(IF(0=LEN(ReferenceData!$L$22),"",ReferenceData!$L$22),"")</f>
        <v/>
      </c>
      <c r="M22" t="str">
        <f ca="1">IFERROR(IF(0=LEN(ReferenceData!$M$22),"",ReferenceData!$M$22),"")</f>
        <v/>
      </c>
      <c r="N22" t="str">
        <f ca="1">IFERROR(IF(0=LEN(ReferenceData!$N$22),"",ReferenceData!$N$22),"")</f>
        <v/>
      </c>
      <c r="O22" t="str">
        <f ca="1">IFERROR(IF(0=LEN(ReferenceData!$O$22),"",ReferenceData!$O$22),"")</f>
        <v/>
      </c>
      <c r="P22" t="str">
        <f ca="1">IFERROR(IF(0=LEN(ReferenceData!$P$22),"",ReferenceData!$P$22),"")</f>
        <v/>
      </c>
      <c r="Q22" t="str">
        <f ca="1">IFERROR(IF(0=LEN(ReferenceData!$Q$22),"",ReferenceData!$Q$22),"")</f>
        <v/>
      </c>
      <c r="R22" t="str">
        <f ca="1">IFERROR(IF(0=LEN(ReferenceData!$R$22),"",ReferenceData!$R$22),"")</f>
        <v/>
      </c>
      <c r="S22" t="str">
        <f ca="1">IFERROR(IF(0=LEN(ReferenceData!$S$22),"",ReferenceData!$S$22),"")</f>
        <v/>
      </c>
      <c r="T22" t="str">
        <f ca="1">IFERROR(IF(0=LEN(ReferenceData!$T$22),"",ReferenceData!$T$22),"")</f>
        <v/>
      </c>
      <c r="U22" t="str">
        <f ca="1">IFERROR(IF(0=LEN(ReferenceData!$U$22),"",ReferenceData!$U$22),"")</f>
        <v/>
      </c>
      <c r="V22" t="str">
        <f ca="1">IFERROR(IF(0=LEN(ReferenceData!$V$22),"",ReferenceData!$V$22),"")</f>
        <v/>
      </c>
      <c r="W22" t="str">
        <f ca="1">IFERROR(IF(0=LEN(ReferenceData!$W$22),"",ReferenceData!$W$22),"")</f>
        <v/>
      </c>
      <c r="X22" t="str">
        <f ca="1">IFERROR(IF(0=LEN(ReferenceData!$X$22),"",ReferenceData!$X$22),"")</f>
        <v/>
      </c>
      <c r="Y22" t="str">
        <f ca="1">IFERROR(IF(0=LEN(ReferenceData!$Y$22),"",ReferenceData!$Y$22),"")</f>
        <v/>
      </c>
      <c r="Z22" t="str">
        <f ca="1">IFERROR(IF(0=LEN(ReferenceData!$Z$22),"",ReferenceData!$Z$22),"")</f>
        <v/>
      </c>
      <c r="AA22" t="str">
        <f ca="1">IFERROR(IF(0=LEN(ReferenceData!$AA$22),"",ReferenceData!$AA$22),"")</f>
        <v/>
      </c>
      <c r="AB22" t="str">
        <f ca="1">IFERROR(IF(0=LEN(ReferenceData!$AB$22),"",ReferenceData!$AB$22),"")</f>
        <v/>
      </c>
      <c r="AC22" t="str">
        <f ca="1">IFERROR(IF(0=LEN(ReferenceData!$AC$22),"",ReferenceData!$AC$22),"")</f>
        <v/>
      </c>
      <c r="AD22" t="str">
        <f ca="1">IFERROR(IF(0=LEN(ReferenceData!$AD$22),"",ReferenceData!$AD$22),"")</f>
        <v/>
      </c>
      <c r="AE22" t="str">
        <f ca="1">IFERROR(IF(0=LEN(ReferenceData!$AE$22),"",ReferenceData!$AE$22),"")</f>
        <v/>
      </c>
      <c r="AF22" t="str">
        <f ca="1">IFERROR(IF(0=LEN(ReferenceData!$AF$22),"",ReferenceData!$AF$22),"")</f>
        <v/>
      </c>
      <c r="AG22" t="str">
        <f ca="1">IFERROR(IF(0=LEN(ReferenceData!$AG$22),"",ReferenceData!$AG$22),"")</f>
        <v/>
      </c>
      <c r="AH22" t="str">
        <f ca="1">IFERROR(IF(0=LEN(ReferenceData!$AH$22),"",ReferenceData!$AH$22),"")</f>
        <v/>
      </c>
      <c r="AI22" t="str">
        <f ca="1">IFERROR(IF(0=LEN(ReferenceData!$AI$22),"",ReferenceData!$AI$22),"")</f>
        <v/>
      </c>
      <c r="AJ22" t="str">
        <f ca="1">IFERROR(IF(0=LEN(ReferenceData!$AJ$22),"",ReferenceData!$AJ$22),"")</f>
        <v/>
      </c>
      <c r="AK22" t="str">
        <f ca="1">IFERROR(IF(0=LEN(ReferenceData!$AK$22),"",ReferenceData!$AK$22),"")</f>
        <v/>
      </c>
      <c r="AL22" t="str">
        <f ca="1">IFERROR(IF(0=LEN(ReferenceData!$AL$22),"",ReferenceData!$AL$22),"")</f>
        <v/>
      </c>
      <c r="AM22" t="str">
        <f ca="1">IFERROR(IF(0=LEN(ReferenceData!$AM$22),"",ReferenceData!$AM$22),"")</f>
        <v/>
      </c>
      <c r="AN22" t="str">
        <f ca="1">IFERROR(IF(0=LEN(ReferenceData!$AN$22),"",ReferenceData!$AN$22),"")</f>
        <v/>
      </c>
      <c r="AO22" t="str">
        <f ca="1">IFERROR(IF(0=LEN(ReferenceData!$AO$22),"",ReferenceData!$AO$22),"")</f>
        <v/>
      </c>
      <c r="AP22" t="str">
        <f ca="1">IFERROR(IF(0=LEN(ReferenceData!$AP$22),"",ReferenceData!$AP$22),"")</f>
        <v/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  <c r="AT22" t="str">
        <f ca="1">IFERROR(IF(0=LEN(ReferenceData!$AT$22),"",ReferenceData!$AT$22),"")</f>
        <v/>
      </c>
      <c r="AU22" t="str">
        <f ca="1">IFERROR(IF(0=LEN(ReferenceData!$AU$22),"",ReferenceData!$AU$22),"")</f>
        <v/>
      </c>
      <c r="AV22" t="str">
        <f ca="1">IFERROR(IF(0=LEN(ReferenceData!$AV$22),"",ReferenceData!$AV$22),"")</f>
        <v/>
      </c>
      <c r="AW22" t="str">
        <f ca="1">IFERROR(IF(0=LEN(ReferenceData!$AW$22),"",ReferenceData!$AW$22),"")</f>
        <v/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  <c r="BM22" t="str">
        <f ca="1">IFERROR(IF(0=LEN(ReferenceData!$BM$22),"",ReferenceData!$BM$22),"")</f>
        <v/>
      </c>
    </row>
    <row r="23" spans="1:65">
      <c r="A23" t="str">
        <f>IFERROR(IF(0=LEN(ReferenceData!$A$23),"",ReferenceData!$A$23),"")</f>
        <v xml:space="preserve">    Sabra Health Care REIT Inc</v>
      </c>
      <c r="B23" t="str">
        <f>IFERROR(IF(0=LEN(ReferenceData!$B$23),"",ReferenceData!$B$23),"")</f>
        <v>SBRA US Equity</v>
      </c>
      <c r="C23" t="str">
        <f>IFERROR(IF(0=LEN(ReferenceData!$C$23),"",ReferenceData!$C$23),"")</f>
        <v>IM275</v>
      </c>
      <c r="D23" t="str">
        <f>IFERROR(IF(0=LEN(ReferenceData!$D$23),"",ReferenceData!$D$23),"")</f>
        <v>IS_OTHER_RENTAL_INCOME</v>
      </c>
      <c r="E23" t="str">
        <f>IFERROR(IF(0=LEN(ReferenceData!$E$23),"",ReferenceData!$E$23),"")</f>
        <v>动态</v>
      </c>
      <c r="F23" t="str">
        <f ca="1">IFERROR(IF(0=LEN(ReferenceData!$F$23),"",ReferenceData!$F$23),"")</f>
        <v/>
      </c>
      <c r="G23" t="str">
        <f ca="1">IFERROR(IF(0=LEN(ReferenceData!$G$23),"",ReferenceData!$G$23),"")</f>
        <v/>
      </c>
      <c r="H23" t="str">
        <f ca="1">IFERROR(IF(0=LEN(ReferenceData!$H$23),"",ReferenceData!$H$23),"")</f>
        <v/>
      </c>
      <c r="I23" t="str">
        <f ca="1">IFERROR(IF(0=LEN(ReferenceData!$I$23),"",ReferenceData!$I$23),"")</f>
        <v/>
      </c>
      <c r="J23" t="str">
        <f ca="1">IFERROR(IF(0=LEN(ReferenceData!$J$23),"",ReferenceData!$J$23),"")</f>
        <v/>
      </c>
      <c r="K23" t="str">
        <f ca="1">IFERROR(IF(0=LEN(ReferenceData!$K$23),"",ReferenceData!$K$23),"")</f>
        <v/>
      </c>
      <c r="L23" t="str">
        <f ca="1">IFERROR(IF(0=LEN(ReferenceData!$L$23),"",ReferenceData!$L$23),"")</f>
        <v/>
      </c>
      <c r="M23" t="str">
        <f ca="1">IFERROR(IF(0=LEN(ReferenceData!$M$23),"",ReferenceData!$M$23),"")</f>
        <v/>
      </c>
      <c r="N23" t="str">
        <f ca="1">IFERROR(IF(0=LEN(ReferenceData!$N$23),"",ReferenceData!$N$23),"")</f>
        <v/>
      </c>
      <c r="O23" t="str">
        <f ca="1">IFERROR(IF(0=LEN(ReferenceData!$O$23),"",ReferenceData!$O$23),"")</f>
        <v/>
      </c>
      <c r="P23" t="str">
        <f ca="1">IFERROR(IF(0=LEN(ReferenceData!$P$23),"",ReferenceData!$P$23),"")</f>
        <v/>
      </c>
      <c r="Q23" t="str">
        <f ca="1">IFERROR(IF(0=LEN(ReferenceData!$Q$23),"",ReferenceData!$Q$23),"")</f>
        <v/>
      </c>
      <c r="R23" t="str">
        <f ca="1">IFERROR(IF(0=LEN(ReferenceData!$R$23),"",ReferenceData!$R$23),"")</f>
        <v/>
      </c>
      <c r="S23" t="str">
        <f ca="1">IFERROR(IF(0=LEN(ReferenceData!$S$23),"",ReferenceData!$S$23),"")</f>
        <v/>
      </c>
      <c r="T23" t="str">
        <f ca="1">IFERROR(IF(0=LEN(ReferenceData!$T$23),"",ReferenceData!$T$23),"")</f>
        <v/>
      </c>
      <c r="U23" t="str">
        <f ca="1">IFERROR(IF(0=LEN(ReferenceData!$U$23),"",ReferenceData!$U$23),"")</f>
        <v/>
      </c>
      <c r="V23" t="str">
        <f ca="1">IFERROR(IF(0=LEN(ReferenceData!$V$23),"",ReferenceData!$V$23),"")</f>
        <v/>
      </c>
      <c r="W23" t="str">
        <f ca="1">IFERROR(IF(0=LEN(ReferenceData!$W$23),"",ReferenceData!$W$23),"")</f>
        <v/>
      </c>
      <c r="X23" t="str">
        <f ca="1">IFERROR(IF(0=LEN(ReferenceData!$X$23),"",ReferenceData!$X$23),"")</f>
        <v/>
      </c>
      <c r="Y23" t="str">
        <f ca="1">IFERROR(IF(0=LEN(ReferenceData!$Y$23),"",ReferenceData!$Y$23),"")</f>
        <v/>
      </c>
      <c r="Z23" t="str">
        <f ca="1">IFERROR(IF(0=LEN(ReferenceData!$Z$23),"",ReferenceData!$Z$23),"")</f>
        <v/>
      </c>
      <c r="AA23" t="str">
        <f ca="1">IFERROR(IF(0=LEN(ReferenceData!$AA$23),"",ReferenceData!$AA$23),"")</f>
        <v/>
      </c>
      <c r="AB23" t="str">
        <f ca="1">IFERROR(IF(0=LEN(ReferenceData!$AB$23),"",ReferenceData!$AB$23),"")</f>
        <v/>
      </c>
      <c r="AC23" t="str">
        <f ca="1">IFERROR(IF(0=LEN(ReferenceData!$AC$23),"",ReferenceData!$AC$23),"")</f>
        <v/>
      </c>
      <c r="AD23" t="str">
        <f ca="1">IFERROR(IF(0=LEN(ReferenceData!$AD$23),"",ReferenceData!$AD$23),"")</f>
        <v/>
      </c>
      <c r="AE23" t="str">
        <f ca="1">IFERROR(IF(0=LEN(ReferenceData!$AE$23),"",ReferenceData!$AE$23),"")</f>
        <v/>
      </c>
      <c r="AF23" t="str">
        <f ca="1">IFERROR(IF(0=LEN(ReferenceData!$AF$23),"",ReferenceData!$AF$23),"")</f>
        <v/>
      </c>
      <c r="AG23" t="str">
        <f ca="1">IFERROR(IF(0=LEN(ReferenceData!$AG$23),"",ReferenceData!$AG$23),"")</f>
        <v/>
      </c>
      <c r="AH23" t="str">
        <f ca="1">IFERROR(IF(0=LEN(ReferenceData!$AH$23),"",ReferenceData!$AH$23),"")</f>
        <v/>
      </c>
      <c r="AI23" t="str">
        <f ca="1">IFERROR(IF(0=LEN(ReferenceData!$AI$23),"",ReferenceData!$AI$23),"")</f>
        <v/>
      </c>
      <c r="AJ23" t="str">
        <f ca="1">IFERROR(IF(0=LEN(ReferenceData!$AJ$23),"",ReferenceData!$AJ$23),"")</f>
        <v/>
      </c>
      <c r="AK23" t="str">
        <f ca="1">IFERROR(IF(0=LEN(ReferenceData!$AK$23),"",ReferenceData!$AK$23),"")</f>
        <v/>
      </c>
      <c r="AL23" t="str">
        <f ca="1">IFERROR(IF(0=LEN(ReferenceData!$AL$23),"",ReferenceData!$AL$23),"")</f>
        <v/>
      </c>
      <c r="AM23" t="str">
        <f ca="1">IFERROR(IF(0=LEN(ReferenceData!$AM$23),"",ReferenceData!$AM$23),"")</f>
        <v/>
      </c>
      <c r="AN23" t="str">
        <f ca="1">IFERROR(IF(0=LEN(ReferenceData!$AN$23),"",ReferenceData!$AN$23),"")</f>
        <v/>
      </c>
      <c r="AO23" t="str">
        <f ca="1">IFERROR(IF(0=LEN(ReferenceData!$AO$23),"",ReferenceData!$AO$23),"")</f>
        <v/>
      </c>
      <c r="AP23" t="str">
        <f ca="1">IFERROR(IF(0=LEN(ReferenceData!$AP$23),"",ReferenceData!$AP$23),"")</f>
        <v/>
      </c>
      <c r="AQ23" t="str">
        <f ca="1">IFERROR(IF(0=LEN(ReferenceData!$AQ$23),"",ReferenceData!$AQ$23),"")</f>
        <v/>
      </c>
      <c r="AR23" t="str">
        <f ca="1">IFERROR(IF(0=LEN(ReferenceData!$AR$23),"",ReferenceData!$AR$23),"")</f>
        <v/>
      </c>
      <c r="AS23" t="str">
        <f ca="1">IFERROR(IF(0=LEN(ReferenceData!$AS$23),"",ReferenceData!$AS$23),"")</f>
        <v/>
      </c>
      <c r="AT23" t="str">
        <f ca="1">IFERROR(IF(0=LEN(ReferenceData!$AT$23),"",ReferenceData!$AT$23),"")</f>
        <v/>
      </c>
      <c r="AU23" t="str">
        <f ca="1">IFERROR(IF(0=LEN(ReferenceData!$AU$23),"",ReferenceData!$AU$23),"")</f>
        <v/>
      </c>
      <c r="AV23" t="str">
        <f ca="1">IFERROR(IF(0=LEN(ReferenceData!$AV$23),"",ReferenceData!$AV$23),"")</f>
        <v/>
      </c>
      <c r="AW23" t="str">
        <f ca="1">IFERROR(IF(0=LEN(ReferenceData!$AW$23),"",ReferenceData!$AW$23),"")</f>
        <v/>
      </c>
      <c r="AX23" t="str">
        <f ca="1">IFERROR(IF(0=LEN(ReferenceData!$AX$23),"",ReferenceData!$AX$23),"")</f>
        <v/>
      </c>
      <c r="AY23" t="str">
        <f ca="1">IFERROR(IF(0=LEN(ReferenceData!$AY$23),"",ReferenceData!$AY$23),"")</f>
        <v/>
      </c>
      <c r="AZ23" t="str">
        <f ca="1">IFERROR(IF(0=LEN(ReferenceData!$AZ$23),"",ReferenceData!$AZ$23),"")</f>
        <v/>
      </c>
      <c r="BA23" t="str">
        <f ca="1">IFERROR(IF(0=LEN(ReferenceData!$BA$23),"",ReferenceData!$BA$23),"")</f>
        <v/>
      </c>
      <c r="BB23" t="str">
        <f ca="1">IFERROR(IF(0=LEN(ReferenceData!$BB$23),"",ReferenceData!$BB$23),"")</f>
        <v/>
      </c>
      <c r="BC23" t="str">
        <f ca="1">IFERROR(IF(0=LEN(ReferenceData!$BC$23),"",ReferenceData!$BC$23),"")</f>
        <v/>
      </c>
      <c r="BD23" t="str">
        <f ca="1">IFERROR(IF(0=LEN(ReferenceData!$BD$23),"",ReferenceData!$BD$23),"")</f>
        <v/>
      </c>
      <c r="BE23" t="str">
        <f ca="1">IFERROR(IF(0=LEN(ReferenceData!$BE$23),"",ReferenceData!$BE$23),"")</f>
        <v/>
      </c>
      <c r="BF23" t="str">
        <f ca="1">IFERROR(IF(0=LEN(ReferenceData!$BF$23),"",ReferenceData!$BF$23),"")</f>
        <v/>
      </c>
      <c r="BG23" t="str">
        <f ca="1">IFERROR(IF(0=LEN(ReferenceData!$BG$23),"",ReferenceData!$BG$23),"")</f>
        <v/>
      </c>
      <c r="BH23" t="str">
        <f ca="1">IFERROR(IF(0=LEN(ReferenceData!$BH$23),"",ReferenceData!$BH$23),"")</f>
        <v/>
      </c>
      <c r="BI23" t="str">
        <f ca="1">IFERROR(IF(0=LEN(ReferenceData!$BI$23),"",ReferenceData!$BI$23),"")</f>
        <v/>
      </c>
      <c r="BJ23" t="str">
        <f ca="1">IFERROR(IF(0=LEN(ReferenceData!$BJ$23),"",ReferenceData!$BJ$23),"")</f>
        <v/>
      </c>
      <c r="BK23" t="str">
        <f ca="1">IFERROR(IF(0=LEN(ReferenceData!$BK$23),"",ReferenceData!$BK$23),"")</f>
        <v/>
      </c>
      <c r="BL23" t="str">
        <f ca="1">IFERROR(IF(0=LEN(ReferenceData!$BL$23),"",ReferenceData!$BL$23),"")</f>
        <v/>
      </c>
      <c r="BM23" t="str">
        <f ca="1">IFERROR(IF(0=LEN(ReferenceData!$BM$23),"",ReferenceData!$BM$23),"")</f>
        <v/>
      </c>
    </row>
    <row r="24" spans="1:65">
      <c r="A24" t="str">
        <f>IFERROR(IF(0=LEN(ReferenceData!$A$24),"",ReferenceData!$A$24),"")</f>
        <v xml:space="preserve">    Senior Housing Properties Trus</v>
      </c>
      <c r="B24" t="str">
        <f>IFERROR(IF(0=LEN(ReferenceData!$B$24),"",ReferenceData!$B$24),"")</f>
        <v>SNH US Equity</v>
      </c>
      <c r="C24" t="str">
        <f>IFERROR(IF(0=LEN(ReferenceData!$C$24),"",ReferenceData!$C$24),"")</f>
        <v>IM275</v>
      </c>
      <c r="D24" t="str">
        <f>IFERROR(IF(0=LEN(ReferenceData!$D$24),"",ReferenceData!$D$24),"")</f>
        <v>IS_OTHER_RENTAL_INCOME</v>
      </c>
      <c r="E24" t="str">
        <f>IFERROR(IF(0=LEN(ReferenceData!$E$24),"",ReferenceData!$E$24),"")</f>
        <v>动态</v>
      </c>
      <c r="F24" t="str">
        <f ca="1">IFERROR(IF(0=LEN(ReferenceData!$F$24),"",ReferenceData!$F$24),"")</f>
        <v/>
      </c>
      <c r="G24" t="str">
        <f ca="1">IFERROR(IF(0=LEN(ReferenceData!$G$24),"",ReferenceData!$G$24),"")</f>
        <v/>
      </c>
      <c r="H24" t="str">
        <f ca="1">IFERROR(IF(0=LEN(ReferenceData!$H$24),"",ReferenceData!$H$24),"")</f>
        <v/>
      </c>
      <c r="I24" t="str">
        <f ca="1">IFERROR(IF(0=LEN(ReferenceData!$I$24),"",ReferenceData!$I$24),"")</f>
        <v/>
      </c>
      <c r="J24" t="str">
        <f ca="1">IFERROR(IF(0=LEN(ReferenceData!$J$24),"",ReferenceData!$J$24),"")</f>
        <v/>
      </c>
      <c r="K24" t="str">
        <f ca="1">IFERROR(IF(0=LEN(ReferenceData!$K$24),"",ReferenceData!$K$24),"")</f>
        <v/>
      </c>
      <c r="L24" t="str">
        <f ca="1">IFERROR(IF(0=LEN(ReferenceData!$L$24),"",ReferenceData!$L$24),"")</f>
        <v/>
      </c>
      <c r="M24" t="str">
        <f ca="1">IFERROR(IF(0=LEN(ReferenceData!$M$24),"",ReferenceData!$M$24),"")</f>
        <v/>
      </c>
      <c r="N24" t="str">
        <f ca="1">IFERROR(IF(0=LEN(ReferenceData!$N$24),"",ReferenceData!$N$24),"")</f>
        <v/>
      </c>
      <c r="O24" t="str">
        <f ca="1">IFERROR(IF(0=LEN(ReferenceData!$O$24),"",ReferenceData!$O$24),"")</f>
        <v/>
      </c>
      <c r="P24" t="str">
        <f ca="1">IFERROR(IF(0=LEN(ReferenceData!$P$24),"",ReferenceData!$P$24),"")</f>
        <v/>
      </c>
      <c r="Q24" t="str">
        <f ca="1">IFERROR(IF(0=LEN(ReferenceData!$Q$24),"",ReferenceData!$Q$24),"")</f>
        <v/>
      </c>
      <c r="R24" t="str">
        <f ca="1">IFERROR(IF(0=LEN(ReferenceData!$R$24),"",ReferenceData!$R$24),"")</f>
        <v/>
      </c>
      <c r="S24" t="str">
        <f ca="1">IFERROR(IF(0=LEN(ReferenceData!$S$24),"",ReferenceData!$S$24),"")</f>
        <v/>
      </c>
      <c r="T24" t="str">
        <f ca="1">IFERROR(IF(0=LEN(ReferenceData!$T$24),"",ReferenceData!$T$24),"")</f>
        <v/>
      </c>
      <c r="U24" t="str">
        <f ca="1">IFERROR(IF(0=LEN(ReferenceData!$U$24),"",ReferenceData!$U$24),"")</f>
        <v/>
      </c>
      <c r="V24" t="str">
        <f ca="1">IFERROR(IF(0=LEN(ReferenceData!$V$24),"",ReferenceData!$V$24),"")</f>
        <v/>
      </c>
      <c r="W24" t="str">
        <f ca="1">IFERROR(IF(0=LEN(ReferenceData!$W$24),"",ReferenceData!$W$24),"")</f>
        <v/>
      </c>
      <c r="X24" t="str">
        <f ca="1">IFERROR(IF(0=LEN(ReferenceData!$X$24),"",ReferenceData!$X$24),"")</f>
        <v/>
      </c>
      <c r="Y24" t="str">
        <f ca="1">IFERROR(IF(0=LEN(ReferenceData!$Y$24),"",ReferenceData!$Y$24),"")</f>
        <v/>
      </c>
      <c r="Z24" t="str">
        <f ca="1">IFERROR(IF(0=LEN(ReferenceData!$Z$24),"",ReferenceData!$Z$24),"")</f>
        <v/>
      </c>
      <c r="AA24" t="str">
        <f ca="1">IFERROR(IF(0=LEN(ReferenceData!$AA$24),"",ReferenceData!$AA$24),"")</f>
        <v/>
      </c>
      <c r="AB24" t="str">
        <f ca="1">IFERROR(IF(0=LEN(ReferenceData!$AB$24),"",ReferenceData!$AB$24),"")</f>
        <v/>
      </c>
      <c r="AC24" t="str">
        <f ca="1">IFERROR(IF(0=LEN(ReferenceData!$AC$24),"",ReferenceData!$AC$24),"")</f>
        <v/>
      </c>
      <c r="AD24" t="str">
        <f ca="1">IFERROR(IF(0=LEN(ReferenceData!$AD$24),"",ReferenceData!$AD$24),"")</f>
        <v/>
      </c>
      <c r="AE24" t="str">
        <f ca="1">IFERROR(IF(0=LEN(ReferenceData!$AE$24),"",ReferenceData!$AE$24),"")</f>
        <v/>
      </c>
      <c r="AF24" t="str">
        <f ca="1">IFERROR(IF(0=LEN(ReferenceData!$AF$24),"",ReferenceData!$AF$24),"")</f>
        <v/>
      </c>
      <c r="AG24" t="str">
        <f ca="1">IFERROR(IF(0=LEN(ReferenceData!$AG$24),"",ReferenceData!$AG$24),"")</f>
        <v/>
      </c>
      <c r="AH24" t="str">
        <f ca="1">IFERROR(IF(0=LEN(ReferenceData!$AH$24),"",ReferenceData!$AH$24),"")</f>
        <v/>
      </c>
      <c r="AI24" t="str">
        <f ca="1">IFERROR(IF(0=LEN(ReferenceData!$AI$24),"",ReferenceData!$AI$24),"")</f>
        <v/>
      </c>
      <c r="AJ24" t="str">
        <f ca="1">IFERROR(IF(0=LEN(ReferenceData!$AJ$24),"",ReferenceData!$AJ$24),"")</f>
        <v/>
      </c>
      <c r="AK24" t="str">
        <f ca="1">IFERROR(IF(0=LEN(ReferenceData!$AK$24),"",ReferenceData!$AK$24),"")</f>
        <v/>
      </c>
      <c r="AL24" t="str">
        <f ca="1">IFERROR(IF(0=LEN(ReferenceData!$AL$24),"",ReferenceData!$AL$24),"")</f>
        <v/>
      </c>
      <c r="AM24" t="str">
        <f ca="1">IFERROR(IF(0=LEN(ReferenceData!$AM$24),"",ReferenceData!$AM$24),"")</f>
        <v/>
      </c>
      <c r="AN24" t="str">
        <f ca="1">IFERROR(IF(0=LEN(ReferenceData!$AN$24),"",ReferenceData!$AN$24),"")</f>
        <v/>
      </c>
      <c r="AO24" t="str">
        <f ca="1">IFERROR(IF(0=LEN(ReferenceData!$AO$24),"",ReferenceData!$AO$24),"")</f>
        <v/>
      </c>
      <c r="AP24" t="str">
        <f ca="1">IFERROR(IF(0=LEN(ReferenceData!$AP$24),"",ReferenceData!$AP$24),"")</f>
        <v/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  <c r="AT24" t="str">
        <f ca="1">IFERROR(IF(0=LEN(ReferenceData!$AT$24),"",ReferenceData!$AT$24),"")</f>
        <v/>
      </c>
      <c r="AU24" t="str">
        <f ca="1">IFERROR(IF(0=LEN(ReferenceData!$AU$24),"",ReferenceData!$AU$24),"")</f>
        <v/>
      </c>
      <c r="AV24" t="str">
        <f ca="1">IFERROR(IF(0=LEN(ReferenceData!$AV$24),"",ReferenceData!$AV$24),"")</f>
        <v/>
      </c>
      <c r="AW24" t="str">
        <f ca="1">IFERROR(IF(0=LEN(ReferenceData!$AW$24),"",ReferenceData!$AW$24),"")</f>
        <v/>
      </c>
      <c r="AX24" t="str">
        <f ca="1">IFERROR(IF(0=LEN(ReferenceData!$AX$24),"",ReferenceData!$AX$24),"")</f>
        <v/>
      </c>
      <c r="AY24" t="str">
        <f ca="1">IFERROR(IF(0=LEN(ReferenceData!$AY$24),"",ReferenceData!$AY$24),"")</f>
        <v/>
      </c>
      <c r="AZ24" t="str">
        <f ca="1">IFERROR(IF(0=LEN(ReferenceData!$AZ$24),"",ReferenceData!$AZ$24),"")</f>
        <v/>
      </c>
      <c r="BA24" t="str">
        <f ca="1">IFERROR(IF(0=LEN(ReferenceData!$BA$24),"",ReferenceData!$BA$24),"")</f>
        <v/>
      </c>
      <c r="BB24" t="str">
        <f ca="1">IFERROR(IF(0=LEN(ReferenceData!$BB$24),"",ReferenceData!$BB$24),"")</f>
        <v/>
      </c>
      <c r="BC24" t="str">
        <f ca="1">IFERROR(IF(0=LEN(ReferenceData!$BC$24),"",ReferenceData!$BC$24),"")</f>
        <v/>
      </c>
      <c r="BD24" t="str">
        <f ca="1">IFERROR(IF(0=LEN(ReferenceData!$BD$24),"",ReferenceData!$BD$24),"")</f>
        <v/>
      </c>
      <c r="BE24" t="str">
        <f ca="1">IFERROR(IF(0=LEN(ReferenceData!$BE$24),"",ReferenceData!$BE$24),"")</f>
        <v/>
      </c>
      <c r="BF24" t="str">
        <f ca="1">IFERROR(IF(0=LEN(ReferenceData!$BF$24),"",ReferenceData!$BF$24),"")</f>
        <v/>
      </c>
      <c r="BG24" t="str">
        <f ca="1">IFERROR(IF(0=LEN(ReferenceData!$BG$24),"",ReferenceData!$BG$24),"")</f>
        <v/>
      </c>
      <c r="BH24" t="str">
        <f ca="1">IFERROR(IF(0=LEN(ReferenceData!$BH$24),"",ReferenceData!$BH$24),"")</f>
        <v/>
      </c>
      <c r="BI24" t="str">
        <f ca="1">IFERROR(IF(0=LEN(ReferenceData!$BI$24),"",ReferenceData!$BI$24),"")</f>
        <v/>
      </c>
      <c r="BJ24" t="str">
        <f ca="1">IFERROR(IF(0=LEN(ReferenceData!$BJ$24),"",ReferenceData!$BJ$24),"")</f>
        <v/>
      </c>
      <c r="BK24" t="str">
        <f ca="1">IFERROR(IF(0=LEN(ReferenceData!$BK$24),"",ReferenceData!$BK$24),"")</f>
        <v/>
      </c>
      <c r="BL24" t="str">
        <f ca="1">IFERROR(IF(0=LEN(ReferenceData!$BL$24),"",ReferenceData!$BL$24),"")</f>
        <v/>
      </c>
      <c r="BM24" t="str">
        <f ca="1">IFERROR(IF(0=LEN(ReferenceData!$BM$24),"",ReferenceData!$BM$24),"")</f>
        <v/>
      </c>
    </row>
    <row r="25" spans="1:65">
      <c r="A25" t="str">
        <f>IFERROR(IF(0=LEN(ReferenceData!$A$25),"",ReferenceData!$A$25),"")</f>
        <v xml:space="preserve">    Ventas Inc</v>
      </c>
      <c r="B25" t="str">
        <f>IFERROR(IF(0=LEN(ReferenceData!$B$25),"",ReferenceData!$B$25),"")</f>
        <v>VTR US Equity</v>
      </c>
      <c r="C25" t="str">
        <f>IFERROR(IF(0=LEN(ReferenceData!$C$25),"",ReferenceData!$C$25),"")</f>
        <v>IM275</v>
      </c>
      <c r="D25" t="str">
        <f>IFERROR(IF(0=LEN(ReferenceData!$D$25),"",ReferenceData!$D$25),"")</f>
        <v>IS_OTHER_RENTAL_INCOME</v>
      </c>
      <c r="E25" t="str">
        <f>IFERROR(IF(0=LEN(ReferenceData!$E$25),"",ReferenceData!$E$25),"")</f>
        <v>动态</v>
      </c>
      <c r="F25" t="str">
        <f ca="1">IFERROR(IF(0=LEN(ReferenceData!$F$25),"",ReferenceData!$F$25),"")</f>
        <v/>
      </c>
      <c r="G25" t="str">
        <f ca="1">IFERROR(IF(0=LEN(ReferenceData!$G$25),"",ReferenceData!$G$25),"")</f>
        <v/>
      </c>
      <c r="H25" t="str">
        <f ca="1">IFERROR(IF(0=LEN(ReferenceData!$H$25),"",ReferenceData!$H$25),"")</f>
        <v/>
      </c>
      <c r="I25" t="str">
        <f ca="1">IFERROR(IF(0=LEN(ReferenceData!$I$25),"",ReferenceData!$I$25),"")</f>
        <v/>
      </c>
      <c r="J25" t="str">
        <f ca="1">IFERROR(IF(0=LEN(ReferenceData!$J$25),"",ReferenceData!$J$25),"")</f>
        <v/>
      </c>
      <c r="K25" t="str">
        <f ca="1">IFERROR(IF(0=LEN(ReferenceData!$K$25),"",ReferenceData!$K$25),"")</f>
        <v/>
      </c>
      <c r="L25" t="str">
        <f ca="1">IFERROR(IF(0=LEN(ReferenceData!$L$25),"",ReferenceData!$L$25),"")</f>
        <v/>
      </c>
      <c r="M25" t="str">
        <f ca="1">IFERROR(IF(0=LEN(ReferenceData!$M$25),"",ReferenceData!$M$25),"")</f>
        <v/>
      </c>
      <c r="N25" t="str">
        <f ca="1">IFERROR(IF(0=LEN(ReferenceData!$N$25),"",ReferenceData!$N$25),"")</f>
        <v/>
      </c>
      <c r="O25" t="str">
        <f ca="1">IFERROR(IF(0=LEN(ReferenceData!$O$25),"",ReferenceData!$O$25),"")</f>
        <v/>
      </c>
      <c r="P25" t="str">
        <f ca="1">IFERROR(IF(0=LEN(ReferenceData!$P$25),"",ReferenceData!$P$25),"")</f>
        <v/>
      </c>
      <c r="Q25" t="str">
        <f ca="1">IFERROR(IF(0=LEN(ReferenceData!$Q$25),"",ReferenceData!$Q$25),"")</f>
        <v/>
      </c>
      <c r="R25" t="str">
        <f ca="1">IFERROR(IF(0=LEN(ReferenceData!$R$25),"",ReferenceData!$R$25),"")</f>
        <v/>
      </c>
      <c r="S25" t="str">
        <f ca="1">IFERROR(IF(0=LEN(ReferenceData!$S$25),"",ReferenceData!$S$25),"")</f>
        <v/>
      </c>
      <c r="T25" t="str">
        <f ca="1">IFERROR(IF(0=LEN(ReferenceData!$T$25),"",ReferenceData!$T$25),"")</f>
        <v/>
      </c>
      <c r="U25" t="str">
        <f ca="1">IFERROR(IF(0=LEN(ReferenceData!$U$25),"",ReferenceData!$U$25),"")</f>
        <v/>
      </c>
      <c r="V25" t="str">
        <f ca="1">IFERROR(IF(0=LEN(ReferenceData!$V$25),"",ReferenceData!$V$25),"")</f>
        <v/>
      </c>
      <c r="W25" t="str">
        <f ca="1">IFERROR(IF(0=LEN(ReferenceData!$W$25),"",ReferenceData!$W$25),"")</f>
        <v/>
      </c>
      <c r="X25" t="str">
        <f ca="1">IFERROR(IF(0=LEN(ReferenceData!$X$25),"",ReferenceData!$X$25),"")</f>
        <v/>
      </c>
      <c r="Y25" t="str">
        <f ca="1">IFERROR(IF(0=LEN(ReferenceData!$Y$25),"",ReferenceData!$Y$25),"")</f>
        <v/>
      </c>
      <c r="Z25" t="str">
        <f ca="1">IFERROR(IF(0=LEN(ReferenceData!$Z$25),"",ReferenceData!$Z$25),"")</f>
        <v/>
      </c>
      <c r="AA25" t="str">
        <f ca="1">IFERROR(IF(0=LEN(ReferenceData!$AA$25),"",ReferenceData!$AA$25),"")</f>
        <v/>
      </c>
      <c r="AB25" t="str">
        <f ca="1">IFERROR(IF(0=LEN(ReferenceData!$AB$25),"",ReferenceData!$AB$25),"")</f>
        <v/>
      </c>
      <c r="AC25" t="str">
        <f ca="1">IFERROR(IF(0=LEN(ReferenceData!$AC$25),"",ReferenceData!$AC$25),"")</f>
        <v/>
      </c>
      <c r="AD25" t="str">
        <f ca="1">IFERROR(IF(0=LEN(ReferenceData!$AD$25),"",ReferenceData!$AD$25),"")</f>
        <v/>
      </c>
      <c r="AE25" t="str">
        <f ca="1">IFERROR(IF(0=LEN(ReferenceData!$AE$25),"",ReferenceData!$AE$25),"")</f>
        <v/>
      </c>
      <c r="AF25" t="str">
        <f ca="1">IFERROR(IF(0=LEN(ReferenceData!$AF$25),"",ReferenceData!$AF$25),"")</f>
        <v/>
      </c>
      <c r="AG25" t="str">
        <f ca="1">IFERROR(IF(0=LEN(ReferenceData!$AG$25),"",ReferenceData!$AG$25),"")</f>
        <v/>
      </c>
      <c r="AH25" t="str">
        <f ca="1">IFERROR(IF(0=LEN(ReferenceData!$AH$25),"",ReferenceData!$AH$25),"")</f>
        <v/>
      </c>
      <c r="AI25" t="str">
        <f ca="1">IFERROR(IF(0=LEN(ReferenceData!$AI$25),"",ReferenceData!$AI$25),"")</f>
        <v/>
      </c>
      <c r="AJ25" t="str">
        <f ca="1">IFERROR(IF(0=LEN(ReferenceData!$AJ$25),"",ReferenceData!$AJ$25),"")</f>
        <v/>
      </c>
      <c r="AK25" t="str">
        <f ca="1">IFERROR(IF(0=LEN(ReferenceData!$AK$25),"",ReferenceData!$AK$25),"")</f>
        <v/>
      </c>
      <c r="AL25" t="str">
        <f ca="1">IFERROR(IF(0=LEN(ReferenceData!$AL$25),"",ReferenceData!$AL$25),"")</f>
        <v/>
      </c>
      <c r="AM25" t="str">
        <f ca="1">IFERROR(IF(0=LEN(ReferenceData!$AM$25),"",ReferenceData!$AM$25),"")</f>
        <v/>
      </c>
      <c r="AN25" t="str">
        <f ca="1">IFERROR(IF(0=LEN(ReferenceData!$AN$25),"",ReferenceData!$AN$25),"")</f>
        <v/>
      </c>
      <c r="AO25" t="str">
        <f ca="1">IFERROR(IF(0=LEN(ReferenceData!$AO$25),"",ReferenceData!$AO$25),"")</f>
        <v/>
      </c>
      <c r="AP25" t="str">
        <f ca="1">IFERROR(IF(0=LEN(ReferenceData!$AP$25),"",ReferenceData!$AP$25),"")</f>
        <v/>
      </c>
      <c r="AQ25" t="str">
        <f ca="1">IFERROR(IF(0=LEN(ReferenceData!$AQ$25),"",ReferenceData!$AQ$25),"")</f>
        <v/>
      </c>
      <c r="AR25" t="str">
        <f ca="1">IFERROR(IF(0=LEN(ReferenceData!$AR$25),"",ReferenceData!$AR$25),"")</f>
        <v/>
      </c>
      <c r="AS25" t="str">
        <f ca="1">IFERROR(IF(0=LEN(ReferenceData!$AS$25),"",ReferenceData!$AS$25),"")</f>
        <v/>
      </c>
      <c r="AT25" t="str">
        <f ca="1">IFERROR(IF(0=LEN(ReferenceData!$AT$25),"",ReferenceData!$AT$25),"")</f>
        <v/>
      </c>
      <c r="AU25" t="str">
        <f ca="1">IFERROR(IF(0=LEN(ReferenceData!$AU$25),"",ReferenceData!$AU$25),"")</f>
        <v/>
      </c>
      <c r="AV25" t="str">
        <f ca="1">IFERROR(IF(0=LEN(ReferenceData!$AV$25),"",ReferenceData!$AV$25),"")</f>
        <v/>
      </c>
      <c r="AW25" t="str">
        <f ca="1">IFERROR(IF(0=LEN(ReferenceData!$AW$25),"",ReferenceData!$AW$25),"")</f>
        <v/>
      </c>
      <c r="AX25" t="str">
        <f ca="1">IFERROR(IF(0=LEN(ReferenceData!$AX$25),"",ReferenceData!$AX$25),"")</f>
        <v/>
      </c>
      <c r="AY25" t="str">
        <f ca="1">IFERROR(IF(0=LEN(ReferenceData!$AY$25),"",ReferenceData!$AY$25),"")</f>
        <v/>
      </c>
      <c r="AZ25" t="str">
        <f ca="1">IFERROR(IF(0=LEN(ReferenceData!$AZ$25),"",ReferenceData!$AZ$25),"")</f>
        <v/>
      </c>
      <c r="BA25" t="str">
        <f ca="1">IFERROR(IF(0=LEN(ReferenceData!$BA$25),"",ReferenceData!$BA$25),"")</f>
        <v/>
      </c>
      <c r="BB25" t="str">
        <f ca="1">IFERROR(IF(0=LEN(ReferenceData!$BB$25),"",ReferenceData!$BB$25),"")</f>
        <v/>
      </c>
      <c r="BC25" t="str">
        <f ca="1">IFERROR(IF(0=LEN(ReferenceData!$BC$25),"",ReferenceData!$BC$25),"")</f>
        <v/>
      </c>
      <c r="BD25" t="str">
        <f ca="1">IFERROR(IF(0=LEN(ReferenceData!$BD$25),"",ReferenceData!$BD$25),"")</f>
        <v/>
      </c>
      <c r="BE25" t="str">
        <f ca="1">IFERROR(IF(0=LEN(ReferenceData!$BE$25),"",ReferenceData!$BE$25),"")</f>
        <v/>
      </c>
      <c r="BF25" t="str">
        <f ca="1">IFERROR(IF(0=LEN(ReferenceData!$BF$25),"",ReferenceData!$BF$25),"")</f>
        <v/>
      </c>
      <c r="BG25" t="str">
        <f ca="1">IFERROR(IF(0=LEN(ReferenceData!$BG$25),"",ReferenceData!$BG$25),"")</f>
        <v/>
      </c>
      <c r="BH25" t="str">
        <f ca="1">IFERROR(IF(0=LEN(ReferenceData!$BH$25),"",ReferenceData!$BH$25),"")</f>
        <v/>
      </c>
      <c r="BI25" t="str">
        <f ca="1">IFERROR(IF(0=LEN(ReferenceData!$BI$25),"",ReferenceData!$BI$25),"")</f>
        <v/>
      </c>
      <c r="BJ25" t="str">
        <f ca="1">IFERROR(IF(0=LEN(ReferenceData!$BJ$25),"",ReferenceData!$BJ$25),"")</f>
        <v/>
      </c>
      <c r="BK25" t="str">
        <f ca="1">IFERROR(IF(0=LEN(ReferenceData!$BK$25),"",ReferenceData!$BK$25),"")</f>
        <v/>
      </c>
      <c r="BL25" t="str">
        <f ca="1">IFERROR(IF(0=LEN(ReferenceData!$BL$25),"",ReferenceData!$BL$25),"")</f>
        <v/>
      </c>
      <c r="BM25" t="str">
        <f ca="1">IFERROR(IF(0=LEN(ReferenceData!$BM$25),"",ReferenceData!$BM$25),"")</f>
        <v/>
      </c>
    </row>
    <row r="26" spans="1:65">
      <c r="A26" t="str">
        <f>IFERROR(IF(0=LEN(ReferenceData!$A$26),"",ReferenceData!$A$26),"")</f>
        <v xml:space="preserve">    Welltower Inc</v>
      </c>
      <c r="B26" t="str">
        <f>IFERROR(IF(0=LEN(ReferenceData!$B$26),"",ReferenceData!$B$26),"")</f>
        <v>HCN US Equity</v>
      </c>
      <c r="C26" t="str">
        <f>IFERROR(IF(0=LEN(ReferenceData!$C$26),"",ReferenceData!$C$26),"")</f>
        <v>IM275</v>
      </c>
      <c r="D26" t="str">
        <f>IFERROR(IF(0=LEN(ReferenceData!$D$26),"",ReferenceData!$D$26),"")</f>
        <v>IS_OTHER_RENTAL_INCOME</v>
      </c>
      <c r="E26" t="str">
        <f>IFERROR(IF(0=LEN(ReferenceData!$E$26),"",ReferenceData!$E$26),"")</f>
        <v>动态</v>
      </c>
      <c r="F26" t="str">
        <f ca="1">IFERROR(IF(0=LEN(ReferenceData!$F$26),"",ReferenceData!$F$26),"")</f>
        <v/>
      </c>
      <c r="G26" t="str">
        <f ca="1">IFERROR(IF(0=LEN(ReferenceData!$G$26),"",ReferenceData!$G$26),"")</f>
        <v/>
      </c>
      <c r="H26" t="str">
        <f ca="1">IFERROR(IF(0=LEN(ReferenceData!$H$26),"",ReferenceData!$H$26),"")</f>
        <v/>
      </c>
      <c r="I26" t="str">
        <f ca="1">IFERROR(IF(0=LEN(ReferenceData!$I$26),"",ReferenceData!$I$26),"")</f>
        <v/>
      </c>
      <c r="J26" t="str">
        <f ca="1">IFERROR(IF(0=LEN(ReferenceData!$J$26),"",ReferenceData!$J$26),"")</f>
        <v/>
      </c>
      <c r="K26" t="str">
        <f ca="1">IFERROR(IF(0=LEN(ReferenceData!$K$26),"",ReferenceData!$K$26),"")</f>
        <v/>
      </c>
      <c r="L26" t="str">
        <f ca="1">IFERROR(IF(0=LEN(ReferenceData!$L$26),"",ReferenceData!$L$26),"")</f>
        <v/>
      </c>
      <c r="M26" t="str">
        <f ca="1">IFERROR(IF(0=LEN(ReferenceData!$M$26),"",ReferenceData!$M$26),"")</f>
        <v/>
      </c>
      <c r="N26" t="str">
        <f ca="1">IFERROR(IF(0=LEN(ReferenceData!$N$26),"",ReferenceData!$N$26),"")</f>
        <v/>
      </c>
      <c r="O26" t="str">
        <f ca="1">IFERROR(IF(0=LEN(ReferenceData!$O$26),"",ReferenceData!$O$26),"")</f>
        <v/>
      </c>
      <c r="P26" t="str">
        <f ca="1">IFERROR(IF(0=LEN(ReferenceData!$P$26),"",ReferenceData!$P$26),"")</f>
        <v/>
      </c>
      <c r="Q26" t="str">
        <f ca="1">IFERROR(IF(0=LEN(ReferenceData!$Q$26),"",ReferenceData!$Q$26),"")</f>
        <v/>
      </c>
      <c r="R26" t="str">
        <f ca="1">IFERROR(IF(0=LEN(ReferenceData!$R$26),"",ReferenceData!$R$26),"")</f>
        <v/>
      </c>
      <c r="S26" t="str">
        <f ca="1">IFERROR(IF(0=LEN(ReferenceData!$S$26),"",ReferenceData!$S$26),"")</f>
        <v/>
      </c>
      <c r="T26" t="str">
        <f ca="1">IFERROR(IF(0=LEN(ReferenceData!$T$26),"",ReferenceData!$T$26),"")</f>
        <v/>
      </c>
      <c r="U26" t="str">
        <f ca="1">IFERROR(IF(0=LEN(ReferenceData!$U$26),"",ReferenceData!$U$26),"")</f>
        <v/>
      </c>
      <c r="V26" t="str">
        <f ca="1">IFERROR(IF(0=LEN(ReferenceData!$V$26),"",ReferenceData!$V$26),"")</f>
        <v/>
      </c>
      <c r="W26" t="str">
        <f ca="1">IFERROR(IF(0=LEN(ReferenceData!$W$26),"",ReferenceData!$W$26),"")</f>
        <v/>
      </c>
      <c r="X26" t="str">
        <f ca="1">IFERROR(IF(0=LEN(ReferenceData!$X$26),"",ReferenceData!$X$26),"")</f>
        <v/>
      </c>
      <c r="Y26" t="str">
        <f ca="1">IFERROR(IF(0=LEN(ReferenceData!$Y$26),"",ReferenceData!$Y$26),"")</f>
        <v/>
      </c>
      <c r="Z26" t="str">
        <f ca="1">IFERROR(IF(0=LEN(ReferenceData!$Z$26),"",ReferenceData!$Z$26),"")</f>
        <v/>
      </c>
      <c r="AA26" t="str">
        <f ca="1">IFERROR(IF(0=LEN(ReferenceData!$AA$26),"",ReferenceData!$AA$26),"")</f>
        <v/>
      </c>
      <c r="AB26" t="str">
        <f ca="1">IFERROR(IF(0=LEN(ReferenceData!$AB$26),"",ReferenceData!$AB$26),"")</f>
        <v/>
      </c>
      <c r="AC26" t="str">
        <f ca="1">IFERROR(IF(0=LEN(ReferenceData!$AC$26),"",ReferenceData!$AC$26),"")</f>
        <v/>
      </c>
      <c r="AD26" t="str">
        <f ca="1">IFERROR(IF(0=LEN(ReferenceData!$AD$26),"",ReferenceData!$AD$26),"")</f>
        <v/>
      </c>
      <c r="AE26" t="str">
        <f ca="1">IFERROR(IF(0=LEN(ReferenceData!$AE$26),"",ReferenceData!$AE$26),"")</f>
        <v/>
      </c>
      <c r="AF26" t="str">
        <f ca="1">IFERROR(IF(0=LEN(ReferenceData!$AF$26),"",ReferenceData!$AF$26),"")</f>
        <v/>
      </c>
      <c r="AG26" t="str">
        <f ca="1">IFERROR(IF(0=LEN(ReferenceData!$AG$26),"",ReferenceData!$AG$26),"")</f>
        <v/>
      </c>
      <c r="AH26" t="str">
        <f ca="1">IFERROR(IF(0=LEN(ReferenceData!$AH$26),"",ReferenceData!$AH$26),"")</f>
        <v/>
      </c>
      <c r="AI26" t="str">
        <f ca="1">IFERROR(IF(0=LEN(ReferenceData!$AI$26),"",ReferenceData!$AI$26),"")</f>
        <v/>
      </c>
      <c r="AJ26" t="str">
        <f ca="1">IFERROR(IF(0=LEN(ReferenceData!$AJ$26),"",ReferenceData!$AJ$26),"")</f>
        <v/>
      </c>
      <c r="AK26" t="str">
        <f ca="1">IFERROR(IF(0=LEN(ReferenceData!$AK$26),"",ReferenceData!$AK$26),"")</f>
        <v/>
      </c>
      <c r="AL26" t="str">
        <f ca="1">IFERROR(IF(0=LEN(ReferenceData!$AL$26),"",ReferenceData!$AL$26),"")</f>
        <v/>
      </c>
      <c r="AM26" t="str">
        <f ca="1">IFERROR(IF(0=LEN(ReferenceData!$AM$26),"",ReferenceData!$AM$26),"")</f>
        <v/>
      </c>
      <c r="AN26" t="str">
        <f ca="1">IFERROR(IF(0=LEN(ReferenceData!$AN$26),"",ReferenceData!$AN$26),"")</f>
        <v/>
      </c>
      <c r="AO26" t="str">
        <f ca="1">IFERROR(IF(0=LEN(ReferenceData!$AO$26),"",ReferenceData!$AO$26),"")</f>
        <v/>
      </c>
      <c r="AP26" t="str">
        <f ca="1">IFERROR(IF(0=LEN(ReferenceData!$AP$26),"",ReferenceData!$AP$26),"")</f>
        <v/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>
      <c r="A27" t="str">
        <f>IFERROR(IF(0=LEN(ReferenceData!$A$27),"",ReferenceData!$A$27),"")</f>
        <v>其他营业收入</v>
      </c>
      <c r="B27" t="str">
        <f>IFERROR(IF(0=LEN(ReferenceData!$B$27),"",ReferenceData!$B$27),"")</f>
        <v/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Median</v>
      </c>
      <c r="F27" t="str">
        <f ca="1">IFERROR(IF(0=LEN(ReferenceData!$F$27),"",ReferenceData!$F$27),"")</f>
        <v/>
      </c>
      <c r="G27">
        <f ca="1">IFERROR(IF(0=LEN(ReferenceData!$G$27),"",ReferenceData!$G$27),"")</f>
        <v>6.1135000000000002</v>
      </c>
      <c r="H27">
        <f ca="1">IFERROR(IF(0=LEN(ReferenceData!$H$27),"",ReferenceData!$H$27),"")</f>
        <v>6.0655000000000001</v>
      </c>
      <c r="I27">
        <f ca="1">IFERROR(IF(0=LEN(ReferenceData!$I$27),"",ReferenceData!$I$27),"")</f>
        <v>2.0270000000000001</v>
      </c>
      <c r="J27">
        <f ca="1">IFERROR(IF(0=LEN(ReferenceData!$J$27),"",ReferenceData!$J$27),"")</f>
        <v>2.3380000000000001</v>
      </c>
      <c r="K27">
        <f ca="1">IFERROR(IF(0=LEN(ReferenceData!$K$27),"",ReferenceData!$K$27),"")</f>
        <v>3.577</v>
      </c>
      <c r="L27">
        <f ca="1">IFERROR(IF(0=LEN(ReferenceData!$L$27),"",ReferenceData!$L$27),"")</f>
        <v>5.1070000000000002</v>
      </c>
      <c r="M27">
        <f ca="1">IFERROR(IF(0=LEN(ReferenceData!$M$27),"",ReferenceData!$M$27),"")</f>
        <v>10.331</v>
      </c>
      <c r="N27">
        <f ca="1">IFERROR(IF(0=LEN(ReferenceData!$N$27),"",ReferenceData!$N$27),"")</f>
        <v>5.2160000000000002</v>
      </c>
      <c r="O27">
        <f ca="1">IFERROR(IF(0=LEN(ReferenceData!$O$27),"",ReferenceData!$O$27),"")</f>
        <v>7.91</v>
      </c>
      <c r="P27">
        <f ca="1">IFERROR(IF(0=LEN(ReferenceData!$P$27),"",ReferenceData!$P$27),"")</f>
        <v>6.7610000000000001</v>
      </c>
      <c r="Q27">
        <f ca="1">IFERROR(IF(0=LEN(ReferenceData!$Q$27),"",ReferenceData!$Q$27),"")</f>
        <v>2.7570000000000001</v>
      </c>
      <c r="R27">
        <f ca="1">IFERROR(IF(0=LEN(ReferenceData!$R$27),"",ReferenceData!$R$27),"")</f>
        <v>5.4090000000000007</v>
      </c>
      <c r="S27">
        <f ca="1">IFERROR(IF(0=LEN(ReferenceData!$S$27),"",ReferenceData!$S$27),"")</f>
        <v>4.7115</v>
      </c>
      <c r="T27">
        <f ca="1">IFERROR(IF(0=LEN(ReferenceData!$T$27),"",ReferenceData!$T$27),"")</f>
        <v>4.0720000000000001</v>
      </c>
      <c r="U27">
        <f ca="1">IFERROR(IF(0=LEN(ReferenceData!$U$27),"",ReferenceData!$U$27),"")</f>
        <v>3.4885000000000002</v>
      </c>
      <c r="V27">
        <f ca="1">IFERROR(IF(0=LEN(ReferenceData!$V$27),"",ReferenceData!$V$27),"")</f>
        <v>4.3454999999999995</v>
      </c>
      <c r="W27">
        <f ca="1">IFERROR(IF(0=LEN(ReferenceData!$W$27),"",ReferenceData!$W$27),"")</f>
        <v>3.3970000000000002</v>
      </c>
      <c r="X27">
        <f ca="1">IFERROR(IF(0=LEN(ReferenceData!$X$27),"",ReferenceData!$X$27),"")</f>
        <v>2.8734999999999999</v>
      </c>
      <c r="Y27">
        <f ca="1">IFERROR(IF(0=LEN(ReferenceData!$Y$27),"",ReferenceData!$Y$27),"")</f>
        <v>2.7895000000000003</v>
      </c>
      <c r="Z27">
        <f ca="1">IFERROR(IF(0=LEN(ReferenceData!$Z$27),"",ReferenceData!$Z$27),"")</f>
        <v>2.2240000000000002</v>
      </c>
      <c r="AA27">
        <f ca="1">IFERROR(IF(0=LEN(ReferenceData!$AA$27),"",ReferenceData!$AA$27),"")</f>
        <v>2.7744999999999997</v>
      </c>
      <c r="AB27">
        <f ca="1">IFERROR(IF(0=LEN(ReferenceData!$AB$27),"",ReferenceData!$AB$27),"")</f>
        <v>2.0735000000000001</v>
      </c>
      <c r="AC27">
        <f ca="1">IFERROR(IF(0=LEN(ReferenceData!$AC$27),"",ReferenceData!$AC$27),"")</f>
        <v>1.339</v>
      </c>
      <c r="AD27">
        <f ca="1">IFERROR(IF(0=LEN(ReferenceData!$AD$27),"",ReferenceData!$AD$27),"")</f>
        <v>1.5409999999999999</v>
      </c>
      <c r="AE27">
        <f ca="1">IFERROR(IF(0=LEN(ReferenceData!$AE$27),"",ReferenceData!$AE$27),"")</f>
        <v>1.5470000000000002</v>
      </c>
      <c r="AF27">
        <f ca="1">IFERROR(IF(0=LEN(ReferenceData!$AF$27),"",ReferenceData!$AF$27),"")</f>
        <v>1.1139999999999999</v>
      </c>
      <c r="AG27">
        <f ca="1">IFERROR(IF(0=LEN(ReferenceData!$AG$27),"",ReferenceData!$AG$27),"")</f>
        <v>1.2869999999999999</v>
      </c>
      <c r="AH27">
        <f ca="1">IFERROR(IF(0=LEN(ReferenceData!$AH$27),"",ReferenceData!$AH$27),"")</f>
        <v>1.2130000000000001</v>
      </c>
      <c r="AI27">
        <f ca="1">IFERROR(IF(0=LEN(ReferenceData!$AI$27),"",ReferenceData!$AI$27),"")</f>
        <v>1.6930000000000001</v>
      </c>
      <c r="AJ27">
        <f ca="1">IFERROR(IF(0=LEN(ReferenceData!$AJ$27),"",ReferenceData!$AJ$27),"")</f>
        <v>1.649</v>
      </c>
      <c r="AK27">
        <f ca="1">IFERROR(IF(0=LEN(ReferenceData!$AK$27),"",ReferenceData!$AK$27),"")</f>
        <v>2.1019999999999999</v>
      </c>
      <c r="AL27">
        <f ca="1">IFERROR(IF(0=LEN(ReferenceData!$AL$27),"",ReferenceData!$AL$27),"")</f>
        <v>2.6389999999999998</v>
      </c>
      <c r="AM27">
        <f ca="1">IFERROR(IF(0=LEN(ReferenceData!$AM$27),"",ReferenceData!$AM$27),"")</f>
        <v>3.9719999999999995</v>
      </c>
      <c r="AN27">
        <f ca="1">IFERROR(IF(0=LEN(ReferenceData!$AN$27),"",ReferenceData!$AN$27),"")</f>
        <v>3.8609999999999998</v>
      </c>
      <c r="AO27">
        <f ca="1">IFERROR(IF(0=LEN(ReferenceData!$AO$27),"",ReferenceData!$AO$27),"")</f>
        <v>4.0190000000000001</v>
      </c>
      <c r="AP27">
        <f ca="1">IFERROR(IF(0=LEN(ReferenceData!$AP$27),"",ReferenceData!$AP$27),"")</f>
        <v>4.3090000000000002</v>
      </c>
      <c r="AQ27" t="str">
        <f ca="1">IFERROR(IF(0=LEN(ReferenceData!$AQ$27),"",ReferenceData!$AQ$27),"")</f>
        <v/>
      </c>
      <c r="AR27" t="str">
        <f ca="1">IFERROR(IF(0=LEN(ReferenceData!$AR$27),"",ReferenceData!$AR$27),"")</f>
        <v/>
      </c>
      <c r="AS27" t="str">
        <f ca="1">IFERROR(IF(0=LEN(ReferenceData!$AS$27),"",ReferenceData!$AS$27),"")</f>
        <v/>
      </c>
      <c r="AT27" t="str">
        <f ca="1">IFERROR(IF(0=LEN(ReferenceData!$AT$27),"",ReferenceData!$AT$27),"")</f>
        <v/>
      </c>
      <c r="AU27" t="str">
        <f ca="1">IFERROR(IF(0=LEN(ReferenceData!$AU$27),"",ReferenceData!$AU$27),"")</f>
        <v/>
      </c>
      <c r="AV27" t="str">
        <f ca="1">IFERROR(IF(0=LEN(ReferenceData!$AV$27),"",ReferenceData!$AV$27),"")</f>
        <v/>
      </c>
      <c r="AW27" t="str">
        <f ca="1">IFERROR(IF(0=LEN(ReferenceData!$AW$27),"",ReferenceData!$AW$27),"")</f>
        <v/>
      </c>
      <c r="AX27" t="str">
        <f ca="1">IFERROR(IF(0=LEN(ReferenceData!$AX$27),"",ReferenceData!$AX$27),"")</f>
        <v/>
      </c>
      <c r="AY27" t="str">
        <f ca="1">IFERROR(IF(0=LEN(ReferenceData!$AY$27),"",ReferenceData!$AY$27),"")</f>
        <v/>
      </c>
      <c r="AZ27" t="str">
        <f ca="1">IFERROR(IF(0=LEN(ReferenceData!$AZ$27),"",ReferenceData!$AZ$27),"")</f>
        <v/>
      </c>
      <c r="BA27" t="str">
        <f ca="1">IFERROR(IF(0=LEN(ReferenceData!$BA$27),"",ReferenceData!$BA$27),"")</f>
        <v/>
      </c>
      <c r="BB27" t="str">
        <f ca="1">IFERROR(IF(0=LEN(ReferenceData!$BB$27),"",ReferenceData!$BB$27),"")</f>
        <v/>
      </c>
      <c r="BC27" t="str">
        <f ca="1">IFERROR(IF(0=LEN(ReferenceData!$BC$27),"",ReferenceData!$BC$27),"")</f>
        <v/>
      </c>
      <c r="BD27" t="str">
        <f ca="1">IFERROR(IF(0=LEN(ReferenceData!$BD$27),"",ReferenceData!$BD$27),"")</f>
        <v/>
      </c>
      <c r="BE27" t="str">
        <f ca="1">IFERROR(IF(0=LEN(ReferenceData!$BE$27),"",ReferenceData!$BE$27),"")</f>
        <v/>
      </c>
      <c r="BF27" t="str">
        <f ca="1">IFERROR(IF(0=LEN(ReferenceData!$BF$27),"",ReferenceData!$BF$27),"")</f>
        <v/>
      </c>
      <c r="BG27" t="str">
        <f ca="1">IFERROR(IF(0=LEN(ReferenceData!$BG$27),"",ReferenceData!$BG$27),"")</f>
        <v/>
      </c>
      <c r="BH27" t="str">
        <f ca="1">IFERROR(IF(0=LEN(ReferenceData!$BH$27),"",ReferenceData!$BH$27),"")</f>
        <v/>
      </c>
      <c r="BI27" t="str">
        <f ca="1">IFERROR(IF(0=LEN(ReferenceData!$BI$27),"",ReferenceData!$BI$27),"")</f>
        <v/>
      </c>
      <c r="BJ27" t="str">
        <f ca="1">IFERROR(IF(0=LEN(ReferenceData!$BJ$27),"",ReferenceData!$BJ$27),"")</f>
        <v/>
      </c>
      <c r="BK27" t="str">
        <f ca="1">IFERROR(IF(0=LEN(ReferenceData!$BK$27),"",ReferenceData!$BK$27),"")</f>
        <v/>
      </c>
      <c r="BL27" t="str">
        <f ca="1">IFERROR(IF(0=LEN(ReferenceData!$BL$27),"",ReferenceData!$BL$27),"")</f>
        <v/>
      </c>
      <c r="BM27" t="str">
        <f ca="1">IFERROR(IF(0=LEN(ReferenceData!$BM$27),"",ReferenceData!$BM$27),"")</f>
        <v/>
      </c>
    </row>
    <row r="28" spans="1:65">
      <c r="A28" t="str">
        <f>IFERROR(IF(0=LEN(ReferenceData!$A$28),"",ReferenceData!$A$28),"")</f>
        <v xml:space="preserve">    Alexandria Real Estate Equitie</v>
      </c>
      <c r="B28" t="str">
        <f>IFERROR(IF(0=LEN(ReferenceData!$B$28),"",ReferenceData!$B$28),"")</f>
        <v>ARE US Equity</v>
      </c>
      <c r="C28" t="str">
        <f>IFERROR(IF(0=LEN(ReferenceData!$C$28),"",ReferenceData!$C$28),"")</f>
        <v>IM281</v>
      </c>
      <c r="D28" t="str">
        <f>IFERROR(IF(0=LEN(ReferenceData!$D$28),"",ReferenceData!$D$28),"")</f>
        <v>IS_NON_REAL_ESTATE_INCOME</v>
      </c>
      <c r="E28" t="str">
        <f>IFERROR(IF(0=LEN(ReferenceData!$E$28),"",ReferenceData!$E$28),"")</f>
        <v>动态</v>
      </c>
      <c r="F28" t="str">
        <f ca="1">IFERROR(IF(0=LEN(ReferenceData!$F$28),"",ReferenceData!$F$28),"")</f>
        <v/>
      </c>
      <c r="G28">
        <f ca="1">IFERROR(IF(0=LEN(ReferenceData!$G$28),"",ReferenceData!$G$28),"")</f>
        <v>0.496</v>
      </c>
      <c r="H28">
        <f ca="1">IFERROR(IF(0=LEN(ReferenceData!$H$28),"",ReferenceData!$H$28),"")</f>
        <v>2.2909999999999999</v>
      </c>
      <c r="I28">
        <f ca="1">IFERROR(IF(0=LEN(ReferenceData!$I$28),"",ReferenceData!$I$28),"")</f>
        <v>0.64700000000000002</v>
      </c>
      <c r="J28">
        <f ca="1">IFERROR(IF(0=LEN(ReferenceData!$J$28),"",ReferenceData!$J$28),"")</f>
        <v>2.3380000000000001</v>
      </c>
      <c r="K28">
        <f ca="1">IFERROR(IF(0=LEN(ReferenceData!$K$28),"",ReferenceData!$K$28),"")</f>
        <v>3.577</v>
      </c>
      <c r="L28">
        <f ca="1">IFERROR(IF(0=LEN(ReferenceData!$L$28),"",ReferenceData!$L$28),"")</f>
        <v>5.1070000000000002</v>
      </c>
      <c r="M28">
        <f ca="1">IFERROR(IF(0=LEN(ReferenceData!$M$28),"",ReferenceData!$M$28),"")</f>
        <v>10.331</v>
      </c>
      <c r="N28">
        <f ca="1">IFERROR(IF(0=LEN(ReferenceData!$N$28),"",ReferenceData!$N$28),"")</f>
        <v>5.2160000000000002</v>
      </c>
      <c r="O28">
        <f ca="1">IFERROR(IF(0=LEN(ReferenceData!$O$28),"",ReferenceData!$O$28),"")</f>
        <v>10.898999999999999</v>
      </c>
      <c r="P28">
        <f ca="1">IFERROR(IF(0=LEN(ReferenceData!$P$28),"",ReferenceData!$P$28),"")</f>
        <v>7.18</v>
      </c>
      <c r="Q28">
        <f ca="1">IFERROR(IF(0=LEN(ReferenceData!$Q$28),"",ReferenceData!$Q$28),"")</f>
        <v>2.7570000000000001</v>
      </c>
      <c r="R28">
        <f ca="1">IFERROR(IF(0=LEN(ReferenceData!$R$28),"",ReferenceData!$R$28),"")</f>
        <v>4.7510000000000003</v>
      </c>
      <c r="S28">
        <f ca="1">IFERROR(IF(0=LEN(ReferenceData!$S$28),"",ReferenceData!$S$28),"")</f>
        <v>2.5190000000000001</v>
      </c>
      <c r="T28">
        <f ca="1">IFERROR(IF(0=LEN(ReferenceData!$T$28),"",ReferenceData!$T$28),"")</f>
        <v>2.3250000000000002</v>
      </c>
      <c r="U28">
        <f ca="1">IFERROR(IF(0=LEN(ReferenceData!$U$28),"",ReferenceData!$U$28),"")</f>
        <v>0.46600000000000003</v>
      </c>
      <c r="V28">
        <f ca="1">IFERROR(IF(0=LEN(ReferenceData!$V$28),"",ReferenceData!$V$28),"")</f>
        <v>3.9340000000000002</v>
      </c>
      <c r="W28">
        <f ca="1">IFERROR(IF(0=LEN(ReferenceData!$W$28),"",ReferenceData!$W$28),"")</f>
        <v>3.16</v>
      </c>
      <c r="X28">
        <f ca="1">IFERROR(IF(0=LEN(ReferenceData!$X$28),"",ReferenceData!$X$28),"")</f>
        <v>3.5720000000000001</v>
      </c>
      <c r="Y28">
        <f ca="1">IFERROR(IF(0=LEN(ReferenceData!$Y$28),"",ReferenceData!$Y$28),"")</f>
        <v>3.5680000000000001</v>
      </c>
      <c r="Z28">
        <f ca="1">IFERROR(IF(0=LEN(ReferenceData!$Z$28),"",ReferenceData!$Z$28),"")</f>
        <v>2.992</v>
      </c>
      <c r="AA28">
        <f ca="1">IFERROR(IF(0=LEN(ReferenceData!$AA$28),"",ReferenceData!$AA$28),"")</f>
        <v>3.7850000000000001</v>
      </c>
      <c r="AB28">
        <f ca="1">IFERROR(IF(0=LEN(ReferenceData!$AB$28),"",ReferenceData!$AB$28),"")</f>
        <v>2.6280000000000001</v>
      </c>
      <c r="AC28">
        <f ca="1">IFERROR(IF(0=LEN(ReferenceData!$AC$28),"",ReferenceData!$AC$28),"")</f>
        <v>9.3829999999999991</v>
      </c>
      <c r="AD28">
        <f ca="1">IFERROR(IF(0=LEN(ReferenceData!$AD$28),"",ReferenceData!$AD$28),"")</f>
        <v>2.6280000000000001</v>
      </c>
      <c r="AE28">
        <f ca="1">IFERROR(IF(0=LEN(ReferenceData!$AE$28),"",ReferenceData!$AE$28),"")</f>
        <v>1.5840000000000001</v>
      </c>
      <c r="AF28">
        <f ca="1">IFERROR(IF(0=LEN(ReferenceData!$AF$28),"",ReferenceData!$AF$28),"")</f>
        <v>2.4750000000000001</v>
      </c>
      <c r="AG28">
        <f ca="1">IFERROR(IF(0=LEN(ReferenceData!$AG$28),"",ReferenceData!$AG$28),"")</f>
        <v>0.92600000000000005</v>
      </c>
      <c r="AH28">
        <f ca="1">IFERROR(IF(0=LEN(ReferenceData!$AH$28),"",ReferenceData!$AH$28),"")</f>
        <v>0.77700000000000002</v>
      </c>
      <c r="AI28">
        <f ca="1">IFERROR(IF(0=LEN(ReferenceData!$AI$28),"",ReferenceData!$AI$28),"")</f>
        <v>1.633</v>
      </c>
      <c r="AJ28">
        <f ca="1">IFERROR(IF(0=LEN(ReferenceData!$AJ$28),"",ReferenceData!$AJ$28),"")</f>
        <v>1.5680000000000001</v>
      </c>
      <c r="AK28">
        <f ca="1">IFERROR(IF(0=LEN(ReferenceData!$AK$28),"",ReferenceData!$AK$28),"")</f>
        <v>0.92200000000000004</v>
      </c>
      <c r="AL28">
        <f ca="1">IFERROR(IF(0=LEN(ReferenceData!$AL$28),"",ReferenceData!$AL$28),"")</f>
        <v>1.0720000000000001</v>
      </c>
      <c r="AM28">
        <f ca="1">IFERROR(IF(0=LEN(ReferenceData!$AM$28),"",ReferenceData!$AM$28),"")</f>
        <v>1.01</v>
      </c>
      <c r="AN28">
        <f ca="1">IFERROR(IF(0=LEN(ReferenceData!$AN$28),"",ReferenceData!$AN$28),"")</f>
        <v>1.177</v>
      </c>
      <c r="AO28">
        <f ca="1">IFERROR(IF(0=LEN(ReferenceData!$AO$28),"",ReferenceData!$AO$28),"")</f>
        <v>8.91</v>
      </c>
      <c r="AP28">
        <f ca="1">IFERROR(IF(0=LEN(ReferenceData!$AP$28),"",ReferenceData!$AP$28),"")</f>
        <v>0.752</v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 t="str">
        <f ca="1">IFERROR(IF(0=LEN(ReferenceData!$AS$28),"",ReferenceData!$AS$28),"")</f>
        <v/>
      </c>
      <c r="AT28" t="str">
        <f ca="1">IFERROR(IF(0=LEN(ReferenceData!$AT$28),"",ReferenceData!$AT$28),"")</f>
        <v/>
      </c>
      <c r="AU28" t="str">
        <f ca="1">IFERROR(IF(0=LEN(ReferenceData!$AU$28),"",ReferenceData!$AU$28),"")</f>
        <v/>
      </c>
      <c r="AV28" t="str">
        <f ca="1">IFERROR(IF(0=LEN(ReferenceData!$AV$28),"",ReferenceData!$AV$28),"")</f>
        <v/>
      </c>
      <c r="AW28" t="str">
        <f ca="1">IFERROR(IF(0=LEN(ReferenceData!$AW$28),"",ReferenceData!$AW$28),"")</f>
        <v/>
      </c>
      <c r="AX28" t="str">
        <f ca="1">IFERROR(IF(0=LEN(ReferenceData!$AX$28),"",ReferenceData!$AX$28),"")</f>
        <v/>
      </c>
      <c r="AY28" t="str">
        <f ca="1">IFERROR(IF(0=LEN(ReferenceData!$AY$28),"",ReferenceData!$AY$28),"")</f>
        <v/>
      </c>
      <c r="AZ28" t="str">
        <f ca="1">IFERROR(IF(0=LEN(ReferenceData!$AZ$28),"",ReferenceData!$AZ$28),"")</f>
        <v/>
      </c>
      <c r="BA28" t="str">
        <f ca="1">IFERROR(IF(0=LEN(ReferenceData!$BA$28),"",ReferenceData!$BA$28),"")</f>
        <v/>
      </c>
      <c r="BB28" t="str">
        <f ca="1">IFERROR(IF(0=LEN(ReferenceData!$BB$28),"",ReferenceData!$BB$28),"")</f>
        <v/>
      </c>
      <c r="BC28" t="str">
        <f ca="1">IFERROR(IF(0=LEN(ReferenceData!$BC$28),"",ReferenceData!$BC$28),"")</f>
        <v/>
      </c>
      <c r="BD28" t="str">
        <f ca="1">IFERROR(IF(0=LEN(ReferenceData!$BD$28),"",ReferenceData!$BD$28),"")</f>
        <v/>
      </c>
      <c r="BE28" t="str">
        <f ca="1">IFERROR(IF(0=LEN(ReferenceData!$BE$28),"",ReferenceData!$BE$28),"")</f>
        <v/>
      </c>
      <c r="BF28" t="str">
        <f ca="1">IFERROR(IF(0=LEN(ReferenceData!$BF$28),"",ReferenceData!$BF$28),"")</f>
        <v/>
      </c>
      <c r="BG28" t="str">
        <f ca="1">IFERROR(IF(0=LEN(ReferenceData!$BG$28),"",ReferenceData!$BG$28),"")</f>
        <v/>
      </c>
      <c r="BH28" t="str">
        <f ca="1">IFERROR(IF(0=LEN(ReferenceData!$BH$28),"",ReferenceData!$BH$28),"")</f>
        <v/>
      </c>
      <c r="BI28" t="str">
        <f ca="1">IFERROR(IF(0=LEN(ReferenceData!$BI$28),"",ReferenceData!$BI$28),"")</f>
        <v/>
      </c>
      <c r="BJ28" t="str">
        <f ca="1">IFERROR(IF(0=LEN(ReferenceData!$BJ$28),"",ReferenceData!$BJ$28),"")</f>
        <v/>
      </c>
      <c r="BK28" t="str">
        <f ca="1">IFERROR(IF(0=LEN(ReferenceData!$BK$28),"",ReferenceData!$BK$28),"")</f>
        <v/>
      </c>
      <c r="BL28" t="str">
        <f ca="1">IFERROR(IF(0=LEN(ReferenceData!$BL$28),"",ReferenceData!$BL$28),"")</f>
        <v/>
      </c>
      <c r="BM28" t="str">
        <f ca="1">IFERROR(IF(0=LEN(ReferenceData!$BM$28),"",ReferenceData!$BM$28),"")</f>
        <v/>
      </c>
    </row>
    <row r="29" spans="1:65">
      <c r="A29" t="str">
        <f>IFERROR(IF(0=LEN(ReferenceData!$A$29),"",ReferenceData!$A$29),"")</f>
        <v xml:space="preserve">    Care Capital Properties Inc</v>
      </c>
      <c r="B29" t="str">
        <f>IFERROR(IF(0=LEN(ReferenceData!$B$29),"",ReferenceData!$B$29),"")</f>
        <v>CCP US Equity</v>
      </c>
      <c r="C29" t="str">
        <f>IFERROR(IF(0=LEN(ReferenceData!$C$29),"",ReferenceData!$C$29),"")</f>
        <v>IM281</v>
      </c>
      <c r="D29" t="str">
        <f>IFERROR(IF(0=LEN(ReferenceData!$D$29),"",ReferenceData!$D$29),"")</f>
        <v>IS_NON_REAL_ESTATE_INCOME</v>
      </c>
      <c r="E29" t="str">
        <f>IFERROR(IF(0=LEN(ReferenceData!$E$29),"",ReferenceData!$E$29),"")</f>
        <v>动态</v>
      </c>
      <c r="F29" t="str">
        <f ca="1">IFERROR(IF(0=LEN(ReferenceData!$F$29),"",ReferenceData!$F$29),"")</f>
        <v/>
      </c>
      <c r="G29" t="str">
        <f ca="1">IFERROR(IF(0=LEN(ReferenceData!$G$29),"",ReferenceData!$G$29),"")</f>
        <v/>
      </c>
      <c r="H29" t="str">
        <f ca="1">IFERROR(IF(0=LEN(ReferenceData!$H$29),"",ReferenceData!$H$29),"")</f>
        <v/>
      </c>
      <c r="I29">
        <f ca="1">IFERROR(IF(0=LEN(ReferenceData!$I$29),"",ReferenceData!$I$29),"")</f>
        <v>0.25</v>
      </c>
      <c r="J29">
        <f ca="1">IFERROR(IF(0=LEN(ReferenceData!$J$29),"",ReferenceData!$J$29),"")</f>
        <v>0.32300000000000001</v>
      </c>
      <c r="K29">
        <f ca="1">IFERROR(IF(0=LEN(ReferenceData!$K$29),"",ReferenceData!$K$29),"")</f>
        <v>0.28299999999999997</v>
      </c>
      <c r="L29">
        <f ca="1">IFERROR(IF(0=LEN(ReferenceData!$L$29),"",ReferenceData!$L$29),"")</f>
        <v>1.073</v>
      </c>
      <c r="M29">
        <f ca="1">IFERROR(IF(0=LEN(ReferenceData!$M$29),"",ReferenceData!$M$29),"")</f>
        <v>0.41299999999999998</v>
      </c>
      <c r="N29">
        <f ca="1">IFERROR(IF(0=LEN(ReferenceData!$N$29),"",ReferenceData!$N$29),"")</f>
        <v>0.30499999999999999</v>
      </c>
      <c r="O29">
        <f ca="1">IFERROR(IF(0=LEN(ReferenceData!$O$29),"",ReferenceData!$O$29),"")</f>
        <v>2.4E-2</v>
      </c>
      <c r="P29">
        <f ca="1">IFERROR(IF(0=LEN(ReferenceData!$P$29),"",ReferenceData!$P$29),"")</f>
        <v>4.0000000000000001E-3</v>
      </c>
      <c r="Q29">
        <f ca="1">IFERROR(IF(0=LEN(ReferenceData!$Q$29),"",ReferenceData!$Q$29),"")</f>
        <v>6.2E-2</v>
      </c>
      <c r="R29" t="str">
        <f ca="1">IFERROR(IF(0=LEN(ReferenceData!$R$29),"",ReferenceData!$R$29),"")</f>
        <v/>
      </c>
      <c r="S29" t="str">
        <f ca="1">IFERROR(IF(0=LEN(ReferenceData!$S$29),"",ReferenceData!$S$29),"")</f>
        <v/>
      </c>
      <c r="T29" t="str">
        <f ca="1">IFERROR(IF(0=LEN(ReferenceData!$T$29),"",ReferenceData!$T$29),"")</f>
        <v/>
      </c>
      <c r="U29" t="str">
        <f ca="1">IFERROR(IF(0=LEN(ReferenceData!$U$29),"",ReferenceData!$U$29),"")</f>
        <v/>
      </c>
      <c r="V29" t="str">
        <f ca="1">IFERROR(IF(0=LEN(ReferenceData!$V$29),"",ReferenceData!$V$29),"")</f>
        <v/>
      </c>
      <c r="W29" t="str">
        <f ca="1">IFERROR(IF(0=LEN(ReferenceData!$W$29),"",ReferenceData!$W$29),"")</f>
        <v/>
      </c>
      <c r="X29" t="str">
        <f ca="1">IFERROR(IF(0=LEN(ReferenceData!$X$29),"",ReferenceData!$X$29),"")</f>
        <v/>
      </c>
      <c r="Y29" t="str">
        <f ca="1">IFERROR(IF(0=LEN(ReferenceData!$Y$29),"",ReferenceData!$Y$29),"")</f>
        <v/>
      </c>
      <c r="Z29" t="str">
        <f ca="1">IFERROR(IF(0=LEN(ReferenceData!$Z$29),"",ReferenceData!$Z$29),"")</f>
        <v/>
      </c>
      <c r="AA29" t="str">
        <f ca="1">IFERROR(IF(0=LEN(ReferenceData!$AA$29),"",ReferenceData!$AA$29),"")</f>
        <v/>
      </c>
      <c r="AB29" t="str">
        <f ca="1">IFERROR(IF(0=LEN(ReferenceData!$AB$29),"",ReferenceData!$AB$29),"")</f>
        <v/>
      </c>
      <c r="AC29" t="str">
        <f ca="1">IFERROR(IF(0=LEN(ReferenceData!$AC$29),"",ReferenceData!$AC$29),"")</f>
        <v/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 t="str">
        <f ca="1">IFERROR(IF(0=LEN(ReferenceData!$AK$29),"",ReferenceData!$AK$29),"")</f>
        <v/>
      </c>
      <c r="AL29" t="str">
        <f ca="1">IFERROR(IF(0=LEN(ReferenceData!$AL$29),"",ReferenceData!$AL$29),"")</f>
        <v/>
      </c>
      <c r="AM29" t="str">
        <f ca="1">IFERROR(IF(0=LEN(ReferenceData!$AM$29),"",ReferenceData!$AM$29),"")</f>
        <v/>
      </c>
      <c r="AN29" t="str">
        <f ca="1">IFERROR(IF(0=LEN(ReferenceData!$AN$29),"",ReferenceData!$AN$29),"")</f>
        <v/>
      </c>
      <c r="AO29" t="str">
        <f ca="1">IFERROR(IF(0=LEN(ReferenceData!$AO$29),"",ReferenceData!$AO$29),"")</f>
        <v/>
      </c>
      <c r="AP29" t="str">
        <f ca="1">IFERROR(IF(0=LEN(ReferenceData!$AP$29),"",ReferenceData!$AP$29),"")</f>
        <v/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  <c r="AT29" t="str">
        <f ca="1">IFERROR(IF(0=LEN(ReferenceData!$AT$29),"",ReferenceData!$AT$29),"")</f>
        <v/>
      </c>
      <c r="AU29" t="str">
        <f ca="1">IFERROR(IF(0=LEN(ReferenceData!$AU$29),"",ReferenceData!$AU$29),"")</f>
        <v/>
      </c>
      <c r="AV29" t="str">
        <f ca="1">IFERROR(IF(0=LEN(ReferenceData!$AV$29),"",ReferenceData!$AV$29),"")</f>
        <v/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 t="str">
        <f ca="1">IFERROR(IF(0=LEN(ReferenceData!$BH$29),"",ReferenceData!$BH$29),"")</f>
        <v/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 t="str">
        <f ca="1">IFERROR(IF(0=LEN(ReferenceData!$BL$29),"",ReferenceData!$BL$29),"")</f>
        <v/>
      </c>
      <c r="BM29" t="str">
        <f ca="1">IFERROR(IF(0=LEN(ReferenceData!$BM$29),"",ReferenceData!$BM$29),"")</f>
        <v/>
      </c>
    </row>
    <row r="30" spans="1:65">
      <c r="A30" t="str">
        <f>IFERROR(IF(0=LEN(ReferenceData!$A$30),"",ReferenceData!$A$30),"")</f>
        <v xml:space="preserve">    HCP Inc</v>
      </c>
      <c r="B30" t="str">
        <f>IFERROR(IF(0=LEN(ReferenceData!$B$30),"",ReferenceData!$B$30),"")</f>
        <v>HCP US Equity</v>
      </c>
      <c r="C30" t="str">
        <f>IFERROR(IF(0=LEN(ReferenceData!$C$30),"",ReferenceData!$C$30),"")</f>
        <v>IM281</v>
      </c>
      <c r="D30" t="str">
        <f>IFERROR(IF(0=LEN(ReferenceData!$D$30),"",ReferenceData!$D$30),"")</f>
        <v>IS_NON_REAL_ESTATE_INCOME</v>
      </c>
      <c r="E30" t="str">
        <f>IFERROR(IF(0=LEN(ReferenceData!$E$30),"",ReferenceData!$E$30),"")</f>
        <v>动态</v>
      </c>
      <c r="F30" t="str">
        <f ca="1">IFERROR(IF(0=LEN(ReferenceData!$F$30),"",ReferenceData!$F$30),"")</f>
        <v/>
      </c>
      <c r="G30">
        <f ca="1">IFERROR(IF(0=LEN(ReferenceData!$G$30),"",ReferenceData!$G$30),"")</f>
        <v>5.2629999999999999</v>
      </c>
      <c r="H30">
        <f ca="1">IFERROR(IF(0=LEN(ReferenceData!$H$30),"",ReferenceData!$H$30),"")</f>
        <v>11.773999999999999</v>
      </c>
      <c r="I30">
        <f ca="1">IFERROR(IF(0=LEN(ReferenceData!$I$30),"",ReferenceData!$I$30),"")</f>
        <v>20.869</v>
      </c>
      <c r="J30">
        <f ca="1">IFERROR(IF(0=LEN(ReferenceData!$J$30),"",ReferenceData!$J$30),"")</f>
        <v>18.331</v>
      </c>
      <c r="K30">
        <f ca="1">IFERROR(IF(0=LEN(ReferenceData!$K$30),"",ReferenceData!$K$30),"")</f>
        <v>17.510000000000002</v>
      </c>
      <c r="L30">
        <f ca="1">IFERROR(IF(0=LEN(ReferenceData!$L$30),"",ReferenceData!$L$30),"")</f>
        <v>20.481999999999999</v>
      </c>
      <c r="M30">
        <f ca="1">IFERROR(IF(0=LEN(ReferenceData!$M$30),"",ReferenceData!$M$30),"")</f>
        <v>32.786999999999999</v>
      </c>
      <c r="N30">
        <f ca="1">IFERROR(IF(0=LEN(ReferenceData!$N$30),"",ReferenceData!$N$30),"")</f>
        <v>18.029</v>
      </c>
      <c r="O30">
        <f ca="1">IFERROR(IF(0=LEN(ReferenceData!$O$30),"",ReferenceData!$O$30),"")</f>
        <v>23.135000000000002</v>
      </c>
      <c r="P30">
        <f ca="1">IFERROR(IF(0=LEN(ReferenceData!$P$30),"",ReferenceData!$P$30),"")</f>
        <v>19.841999999999999</v>
      </c>
      <c r="Q30">
        <f ca="1">IFERROR(IF(0=LEN(ReferenceData!$Q$30),"",ReferenceData!$Q$30),"")</f>
        <v>35.945</v>
      </c>
      <c r="R30">
        <f ca="1">IFERROR(IF(0=LEN(ReferenceData!$R$30),"",ReferenceData!$R$30),"")</f>
        <v>33.262</v>
      </c>
      <c r="S30">
        <f ca="1">IFERROR(IF(0=LEN(ReferenceData!$S$30),"",ReferenceData!$S$30),"")</f>
        <v>23.341000000000001</v>
      </c>
      <c r="T30">
        <f ca="1">IFERROR(IF(0=LEN(ReferenceData!$T$30),"",ReferenceData!$T$30),"")</f>
        <v>17.516999999999999</v>
      </c>
      <c r="U30">
        <f ca="1">IFERROR(IF(0=LEN(ReferenceData!$U$30),"",ReferenceData!$U$30),"")</f>
        <v>16.937000000000001</v>
      </c>
      <c r="V30">
        <f ca="1">IFERROR(IF(0=LEN(ReferenceData!$V$30),"",ReferenceData!$V$30),"")</f>
        <v>16.696000000000002</v>
      </c>
      <c r="W30">
        <f ca="1">IFERROR(IF(0=LEN(ReferenceData!$W$30),"",ReferenceData!$W$30),"")</f>
        <v>17.547999999999998</v>
      </c>
      <c r="X30">
        <f ca="1">IFERROR(IF(0=LEN(ReferenceData!$X$30),"",ReferenceData!$X$30),"")</f>
        <v>42.078000000000003</v>
      </c>
      <c r="Y30">
        <f ca="1">IFERROR(IF(0=LEN(ReferenceData!$Y$30),"",ReferenceData!$Y$30),"")</f>
        <v>14.147</v>
      </c>
      <c r="Z30">
        <f ca="1">IFERROR(IF(0=LEN(ReferenceData!$Z$30),"",ReferenceData!$Z$30),"")</f>
        <v>12.385999999999999</v>
      </c>
      <c r="AA30">
        <f ca="1">IFERROR(IF(0=LEN(ReferenceData!$AA$30),"",ReferenceData!$AA$30),"")</f>
        <v>12.223000000000001</v>
      </c>
      <c r="AB30">
        <f ca="1">IFERROR(IF(0=LEN(ReferenceData!$AB$30),"",ReferenceData!$AB$30),"")</f>
        <v>10.278</v>
      </c>
      <c r="AC30">
        <f ca="1">IFERROR(IF(0=LEN(ReferenceData!$AC$30),"",ReferenceData!$AC$30),"")</f>
        <v>1.216</v>
      </c>
      <c r="AD30">
        <f ca="1">IFERROR(IF(0=LEN(ReferenceData!$AD$30),"",ReferenceData!$AD$30),"")</f>
        <v>0.81899999999999995</v>
      </c>
      <c r="AE30">
        <f ca="1">IFERROR(IF(0=LEN(ReferenceData!$AE$30),"",ReferenceData!$AE$30),"")</f>
        <v>0.66500000000000004</v>
      </c>
      <c r="AF30">
        <f ca="1">IFERROR(IF(0=LEN(ReferenceData!$AF$30),"",ReferenceData!$AF$30),"")</f>
        <v>0.57699999999999996</v>
      </c>
      <c r="AG30">
        <f ca="1">IFERROR(IF(0=LEN(ReferenceData!$AG$30),"",ReferenceData!$AG$30),"")</f>
        <v>60.526000000000003</v>
      </c>
      <c r="AH30">
        <f ca="1">IFERROR(IF(0=LEN(ReferenceData!$AH$30),"",ReferenceData!$AH$30),"")</f>
        <v>38.095999999999997</v>
      </c>
      <c r="AI30">
        <f ca="1">IFERROR(IF(0=LEN(ReferenceData!$AI$30),"",ReferenceData!$AI$30),"")</f>
        <v>52.158999999999999</v>
      </c>
      <c r="AJ30">
        <f ca="1">IFERROR(IF(0=LEN(ReferenceData!$AJ$30),"",ReferenceData!$AJ$30),"")</f>
        <v>36.582000000000001</v>
      </c>
      <c r="AK30">
        <f ca="1">IFERROR(IF(0=LEN(ReferenceData!$AK$30),"",ReferenceData!$AK$30),"")</f>
        <v>36.155999999999999</v>
      </c>
      <c r="AL30">
        <f ca="1">IFERROR(IF(0=LEN(ReferenceData!$AL$30),"",ReferenceData!$AL$30),"")</f>
        <v>35.265999999999998</v>
      </c>
      <c r="AM30">
        <f ca="1">IFERROR(IF(0=LEN(ReferenceData!$AM$30),"",ReferenceData!$AM$30),"")</f>
        <v>36.353999999999999</v>
      </c>
      <c r="AN30">
        <f ca="1">IFERROR(IF(0=LEN(ReferenceData!$AN$30),"",ReferenceData!$AN$30),"")</f>
        <v>33.936</v>
      </c>
      <c r="AO30">
        <f ca="1">IFERROR(IF(0=LEN(ReferenceData!$AO$30),"",ReferenceData!$AO$30),"")</f>
        <v>27.084</v>
      </c>
      <c r="AP30">
        <f ca="1">IFERROR(IF(0=LEN(ReferenceData!$AP$30),"",ReferenceData!$AP$30),"")</f>
        <v>26.771000000000001</v>
      </c>
      <c r="AQ30" t="str">
        <f ca="1">IFERROR(IF(0=LEN(ReferenceData!$AQ$30),"",ReferenceData!$AQ$30),"")</f>
        <v/>
      </c>
      <c r="AR30" t="str">
        <f ca="1">IFERROR(IF(0=LEN(ReferenceData!$AR$30),"",ReferenceData!$AR$30),"")</f>
        <v/>
      </c>
      <c r="AS30" t="str">
        <f ca="1">IFERROR(IF(0=LEN(ReferenceData!$AS$30),"",ReferenceData!$AS$30),"")</f>
        <v/>
      </c>
      <c r="AT30" t="str">
        <f ca="1">IFERROR(IF(0=LEN(ReferenceData!$AT$30),"",ReferenceData!$AT$30),"")</f>
        <v/>
      </c>
      <c r="AU30" t="str">
        <f ca="1">IFERROR(IF(0=LEN(ReferenceData!$AU$30),"",ReferenceData!$AU$30),"")</f>
        <v/>
      </c>
      <c r="AV30" t="str">
        <f ca="1">IFERROR(IF(0=LEN(ReferenceData!$AV$30),"",ReferenceData!$AV$30),"")</f>
        <v/>
      </c>
      <c r="AW30" t="str">
        <f ca="1">IFERROR(IF(0=LEN(ReferenceData!$AW$30),"",ReferenceData!$AW$30),"")</f>
        <v/>
      </c>
      <c r="AX30" t="str">
        <f ca="1">IFERROR(IF(0=LEN(ReferenceData!$AX$30),"",ReferenceData!$AX$30),"")</f>
        <v/>
      </c>
      <c r="AY30" t="str">
        <f ca="1">IFERROR(IF(0=LEN(ReferenceData!$AY$30),"",ReferenceData!$AY$30),"")</f>
        <v/>
      </c>
      <c r="AZ30" t="str">
        <f ca="1">IFERROR(IF(0=LEN(ReferenceData!$AZ$30),"",ReferenceData!$AZ$30),"")</f>
        <v/>
      </c>
      <c r="BA30" t="str">
        <f ca="1">IFERROR(IF(0=LEN(ReferenceData!$BA$30),"",ReferenceData!$BA$30),"")</f>
        <v/>
      </c>
      <c r="BB30" t="str">
        <f ca="1">IFERROR(IF(0=LEN(ReferenceData!$BB$30),"",ReferenceData!$BB$30),"")</f>
        <v/>
      </c>
      <c r="BC30" t="str">
        <f ca="1">IFERROR(IF(0=LEN(ReferenceData!$BC$30),"",ReferenceData!$BC$30),"")</f>
        <v/>
      </c>
      <c r="BD30" t="str">
        <f ca="1">IFERROR(IF(0=LEN(ReferenceData!$BD$30),"",ReferenceData!$BD$30),"")</f>
        <v/>
      </c>
      <c r="BE30" t="str">
        <f ca="1">IFERROR(IF(0=LEN(ReferenceData!$BE$30),"",ReferenceData!$BE$30),"")</f>
        <v/>
      </c>
      <c r="BF30" t="str">
        <f ca="1">IFERROR(IF(0=LEN(ReferenceData!$BF$30),"",ReferenceData!$BF$30),"")</f>
        <v/>
      </c>
      <c r="BG30" t="str">
        <f ca="1">IFERROR(IF(0=LEN(ReferenceData!$BG$30),"",ReferenceData!$BG$30),"")</f>
        <v/>
      </c>
      <c r="BH30" t="str">
        <f ca="1">IFERROR(IF(0=LEN(ReferenceData!$BH$30),"",ReferenceData!$BH$30),"")</f>
        <v/>
      </c>
      <c r="BI30" t="str">
        <f ca="1">IFERROR(IF(0=LEN(ReferenceData!$BI$30),"",ReferenceData!$BI$30),"")</f>
        <v/>
      </c>
      <c r="BJ30" t="str">
        <f ca="1">IFERROR(IF(0=LEN(ReferenceData!$BJ$30),"",ReferenceData!$BJ$30),"")</f>
        <v/>
      </c>
      <c r="BK30" t="str">
        <f ca="1">IFERROR(IF(0=LEN(ReferenceData!$BK$30),"",ReferenceData!$BK$30),"")</f>
        <v/>
      </c>
      <c r="BL30" t="str">
        <f ca="1">IFERROR(IF(0=LEN(ReferenceData!$BL$30),"",ReferenceData!$BL$30),"")</f>
        <v/>
      </c>
      <c r="BM30" t="str">
        <f ca="1">IFERROR(IF(0=LEN(ReferenceData!$BM$30),"",ReferenceData!$BM$30),"")</f>
        <v/>
      </c>
    </row>
    <row r="31" spans="1:65">
      <c r="A31" t="str">
        <f>IFERROR(IF(0=LEN(ReferenceData!$A$31),"",ReferenceData!$A$31),"")</f>
        <v xml:space="preserve">    Healthcare Realty Trust Inc</v>
      </c>
      <c r="B31" t="str">
        <f>IFERROR(IF(0=LEN(ReferenceData!$B$31),"",ReferenceData!$B$31),"")</f>
        <v>HR US Equity</v>
      </c>
      <c r="C31" t="str">
        <f>IFERROR(IF(0=LEN(ReferenceData!$C$31),"",ReferenceData!$C$31),"")</f>
        <v>IM281</v>
      </c>
      <c r="D31" t="str">
        <f>IFERROR(IF(0=LEN(ReferenceData!$D$31),"",ReferenceData!$D$31),"")</f>
        <v>IS_NON_REAL_ESTATE_INCOME</v>
      </c>
      <c r="E31" t="str">
        <f>IFERROR(IF(0=LEN(ReferenceData!$E$31),"",ReferenceData!$E$31),"")</f>
        <v>动态</v>
      </c>
      <c r="F31" t="str">
        <f ca="1">IFERROR(IF(0=LEN(ReferenceData!$F$31),"",ReferenceData!$F$31),"")</f>
        <v/>
      </c>
      <c r="G31">
        <f ca="1">IFERROR(IF(0=LEN(ReferenceData!$G$31),"",ReferenceData!$G$31),"")</f>
        <v>0.39800000000000002</v>
      </c>
      <c r="H31">
        <f ca="1">IFERROR(IF(0=LEN(ReferenceData!$H$31),"",ReferenceData!$H$31),"")</f>
        <v>0.39200000000000002</v>
      </c>
      <c r="I31">
        <f ca="1">IFERROR(IF(0=LEN(ReferenceData!$I$31),"",ReferenceData!$I$31),"")</f>
        <v>0.376</v>
      </c>
      <c r="J31">
        <f ca="1">IFERROR(IF(0=LEN(ReferenceData!$J$31),"",ReferenceData!$J$31),"")</f>
        <v>0.48099999999999998</v>
      </c>
      <c r="K31">
        <f ca="1">IFERROR(IF(0=LEN(ReferenceData!$K$31),"",ReferenceData!$K$31),"")</f>
        <v>0.57299999999999995</v>
      </c>
      <c r="L31">
        <f ca="1">IFERROR(IF(0=LEN(ReferenceData!$L$31),"",ReferenceData!$L$31),"")</f>
        <v>1.125</v>
      </c>
      <c r="M31">
        <f ca="1">IFERROR(IF(0=LEN(ReferenceData!$M$31),"",ReferenceData!$M$31),"")</f>
        <v>1.17</v>
      </c>
      <c r="N31">
        <f ca="1">IFERROR(IF(0=LEN(ReferenceData!$N$31),"",ReferenceData!$N$31),"")</f>
        <v>1.2809999999999999</v>
      </c>
      <c r="O31">
        <f ca="1">IFERROR(IF(0=LEN(ReferenceData!$O$31),"",ReferenceData!$O$31),"")</f>
        <v>1.1160000000000001</v>
      </c>
      <c r="P31">
        <f ca="1">IFERROR(IF(0=LEN(ReferenceData!$P$31),"",ReferenceData!$P$31),"")</f>
        <v>1.3129999999999999</v>
      </c>
      <c r="Q31">
        <f ca="1">IFERROR(IF(0=LEN(ReferenceData!$Q$31),"",ReferenceData!$Q$31),"")</f>
        <v>1.2270000000000001</v>
      </c>
      <c r="R31">
        <f ca="1">IFERROR(IF(0=LEN(ReferenceData!$R$31),"",ReferenceData!$R$31),"")</f>
        <v>1.391</v>
      </c>
      <c r="S31">
        <f ca="1">IFERROR(IF(0=LEN(ReferenceData!$S$31),"",ReferenceData!$S$31),"")</f>
        <v>1.32</v>
      </c>
      <c r="T31">
        <f ca="1">IFERROR(IF(0=LEN(ReferenceData!$T$31),"",ReferenceData!$T$31),"")</f>
        <v>1.474</v>
      </c>
      <c r="U31">
        <f ca="1">IFERROR(IF(0=LEN(ReferenceData!$U$31),"",ReferenceData!$U$31),"")</f>
        <v>1.423</v>
      </c>
      <c r="V31">
        <f ca="1">IFERROR(IF(0=LEN(ReferenceData!$V$31),"",ReferenceData!$V$31),"")</f>
        <v>1.448</v>
      </c>
      <c r="W31">
        <f ca="1">IFERROR(IF(0=LEN(ReferenceData!$W$31),"",ReferenceData!$W$31),"")</f>
        <v>1.3859999999999999</v>
      </c>
      <c r="X31">
        <f ca="1">IFERROR(IF(0=LEN(ReferenceData!$X$31),"",ReferenceData!$X$31),"")</f>
        <v>1.579</v>
      </c>
      <c r="Y31">
        <f ca="1">IFERROR(IF(0=LEN(ReferenceData!$Y$31),"",ReferenceData!$Y$31),"")</f>
        <v>1.508</v>
      </c>
      <c r="Z31">
        <f ca="1">IFERROR(IF(0=LEN(ReferenceData!$Z$31),"",ReferenceData!$Z$31),"")</f>
        <v>1.456</v>
      </c>
      <c r="AA31">
        <f ca="1">IFERROR(IF(0=LEN(ReferenceData!$AA$31),"",ReferenceData!$AA$31),"")</f>
        <v>1.4419999999999999</v>
      </c>
      <c r="AB31">
        <f ca="1">IFERROR(IF(0=LEN(ReferenceData!$AB$31),"",ReferenceData!$AB$31),"")</f>
        <v>1.5189999999999999</v>
      </c>
      <c r="AC31">
        <f ca="1">IFERROR(IF(0=LEN(ReferenceData!$AC$31),"",ReferenceData!$AC$31),"")</f>
        <v>1.37</v>
      </c>
      <c r="AD31">
        <f ca="1">IFERROR(IF(0=LEN(ReferenceData!$AD$31),"",ReferenceData!$AD$31),"")</f>
        <v>1.774</v>
      </c>
      <c r="AE31">
        <f ca="1">IFERROR(IF(0=LEN(ReferenceData!$AE$31),"",ReferenceData!$AE$31),"")</f>
        <v>1.51</v>
      </c>
      <c r="AF31">
        <f ca="1">IFERROR(IF(0=LEN(ReferenceData!$AF$31),"",ReferenceData!$AF$31),"")</f>
        <v>2.0609999999999999</v>
      </c>
      <c r="AG31">
        <f ca="1">IFERROR(IF(0=LEN(ReferenceData!$AG$31),"",ReferenceData!$AG$31),"")</f>
        <v>2.0470000000000002</v>
      </c>
      <c r="AH31">
        <f ca="1">IFERROR(IF(0=LEN(ReferenceData!$AH$31),"",ReferenceData!$AH$31),"")</f>
        <v>2.302</v>
      </c>
      <c r="AI31">
        <f ca="1">IFERROR(IF(0=LEN(ReferenceData!$AI$31),"",ReferenceData!$AI$31),"")</f>
        <v>2.242</v>
      </c>
      <c r="AJ31">
        <f ca="1">IFERROR(IF(0=LEN(ReferenceData!$AJ$31),"",ReferenceData!$AJ$31),"")</f>
        <v>2.1280000000000001</v>
      </c>
      <c r="AK31">
        <f ca="1">IFERROR(IF(0=LEN(ReferenceData!$AK$31),"",ReferenceData!$AK$31),"")</f>
        <v>2.1019999999999999</v>
      </c>
      <c r="AL31">
        <f ca="1">IFERROR(IF(0=LEN(ReferenceData!$AL$31),"",ReferenceData!$AL$31),"")</f>
        <v>2.169</v>
      </c>
      <c r="AM31">
        <f ca="1">IFERROR(IF(0=LEN(ReferenceData!$AM$31),"",ReferenceData!$AM$31),"")</f>
        <v>2.3279999999999998</v>
      </c>
      <c r="AN31">
        <f ca="1">IFERROR(IF(0=LEN(ReferenceData!$AN$31),"",ReferenceData!$AN$31),"")</f>
        <v>2.11</v>
      </c>
      <c r="AO31">
        <f ca="1">IFERROR(IF(0=LEN(ReferenceData!$AO$31),"",ReferenceData!$AO$31),"")</f>
        <v>3.0059999999999998</v>
      </c>
      <c r="AP31">
        <f ca="1">IFERROR(IF(0=LEN(ReferenceData!$AP$31),"",ReferenceData!$AP$31),"")</f>
        <v>3.5089999999999999</v>
      </c>
      <c r="AQ31" t="str">
        <f ca="1">IFERROR(IF(0=LEN(ReferenceData!$AQ$31),"",ReferenceData!$AQ$31),"")</f>
        <v/>
      </c>
      <c r="AR31" t="str">
        <f ca="1">IFERROR(IF(0=LEN(ReferenceData!$AR$31),"",ReferenceData!$AR$31),"")</f>
        <v/>
      </c>
      <c r="AS31" t="str">
        <f ca="1">IFERROR(IF(0=LEN(ReferenceData!$AS$31),"",ReferenceData!$AS$31),"")</f>
        <v/>
      </c>
      <c r="AT31" t="str">
        <f ca="1">IFERROR(IF(0=LEN(ReferenceData!$AT$31),"",ReferenceData!$AT$31),"")</f>
        <v/>
      </c>
      <c r="AU31" t="str">
        <f ca="1">IFERROR(IF(0=LEN(ReferenceData!$AU$31),"",ReferenceData!$AU$31),"")</f>
        <v/>
      </c>
      <c r="AV31" t="str">
        <f ca="1">IFERROR(IF(0=LEN(ReferenceData!$AV$31),"",ReferenceData!$AV$31),"")</f>
        <v/>
      </c>
      <c r="AW31" t="str">
        <f ca="1">IFERROR(IF(0=LEN(ReferenceData!$AW$31),"",ReferenceData!$AW$31),"")</f>
        <v/>
      </c>
      <c r="AX31" t="str">
        <f ca="1">IFERROR(IF(0=LEN(ReferenceData!$AX$31),"",ReferenceData!$AX$31),"")</f>
        <v/>
      </c>
      <c r="AY31" t="str">
        <f ca="1">IFERROR(IF(0=LEN(ReferenceData!$AY$31),"",ReferenceData!$AY$31),"")</f>
        <v/>
      </c>
      <c r="AZ31" t="str">
        <f ca="1">IFERROR(IF(0=LEN(ReferenceData!$AZ$31),"",ReferenceData!$AZ$31),"")</f>
        <v/>
      </c>
      <c r="BA31" t="str">
        <f ca="1">IFERROR(IF(0=LEN(ReferenceData!$BA$31),"",ReferenceData!$BA$31),"")</f>
        <v/>
      </c>
      <c r="BB31" t="str">
        <f ca="1">IFERROR(IF(0=LEN(ReferenceData!$BB$31),"",ReferenceData!$BB$31),"")</f>
        <v/>
      </c>
      <c r="BC31" t="str">
        <f ca="1">IFERROR(IF(0=LEN(ReferenceData!$BC$31),"",ReferenceData!$BC$31),"")</f>
        <v/>
      </c>
      <c r="BD31" t="str">
        <f ca="1">IFERROR(IF(0=LEN(ReferenceData!$BD$31),"",ReferenceData!$BD$31),"")</f>
        <v/>
      </c>
      <c r="BE31" t="str">
        <f ca="1">IFERROR(IF(0=LEN(ReferenceData!$BE$31),"",ReferenceData!$BE$31),"")</f>
        <v/>
      </c>
      <c r="BF31" t="str">
        <f ca="1">IFERROR(IF(0=LEN(ReferenceData!$BF$31),"",ReferenceData!$BF$31),"")</f>
        <v/>
      </c>
      <c r="BG31" t="str">
        <f ca="1">IFERROR(IF(0=LEN(ReferenceData!$BG$31),"",ReferenceData!$BG$31),"")</f>
        <v/>
      </c>
      <c r="BH31" t="str">
        <f ca="1">IFERROR(IF(0=LEN(ReferenceData!$BH$31),"",ReferenceData!$BH$31),"")</f>
        <v/>
      </c>
      <c r="BI31" t="str">
        <f ca="1">IFERROR(IF(0=LEN(ReferenceData!$BI$31),"",ReferenceData!$BI$31),"")</f>
        <v/>
      </c>
      <c r="BJ31" t="str">
        <f ca="1">IFERROR(IF(0=LEN(ReferenceData!$BJ$31),"",ReferenceData!$BJ$31),"")</f>
        <v/>
      </c>
      <c r="BK31" t="str">
        <f ca="1">IFERROR(IF(0=LEN(ReferenceData!$BK$31),"",ReferenceData!$BK$31),"")</f>
        <v/>
      </c>
      <c r="BL31" t="str">
        <f ca="1">IFERROR(IF(0=LEN(ReferenceData!$BL$31),"",ReferenceData!$BL$31),"")</f>
        <v/>
      </c>
      <c r="BM31" t="str">
        <f ca="1">IFERROR(IF(0=LEN(ReferenceData!$BM$31),"",ReferenceData!$BM$31),"")</f>
        <v/>
      </c>
    </row>
    <row r="32" spans="1:65">
      <c r="A32" t="str">
        <f>IFERROR(IF(0=LEN(ReferenceData!$A$32),"",ReferenceData!$A$32),"")</f>
        <v xml:space="preserve">    Healthcare Trust of America In</v>
      </c>
      <c r="B32" t="str">
        <f>IFERROR(IF(0=LEN(ReferenceData!$B$32),"",ReferenceData!$B$32),"")</f>
        <v>HTA US Equity</v>
      </c>
      <c r="C32" t="str">
        <f>IFERROR(IF(0=LEN(ReferenceData!$C$32),"",ReferenceData!$C$32),"")</f>
        <v>IM281</v>
      </c>
      <c r="D32" t="str">
        <f>IFERROR(IF(0=LEN(ReferenceData!$D$32),"",ReferenceData!$D$32),"")</f>
        <v>IS_NON_REAL_ESTATE_INCOME</v>
      </c>
      <c r="E32" t="str">
        <f>IFERROR(IF(0=LEN(ReferenceData!$E$32),"",ReferenceData!$E$32),"")</f>
        <v>动态</v>
      </c>
      <c r="F32" t="str">
        <f ca="1">IFERROR(IF(0=LEN(ReferenceData!$F$32),"",ReferenceData!$F$32),"")</f>
        <v/>
      </c>
      <c r="G32">
        <f ca="1">IFERROR(IF(0=LEN(ReferenceData!$G$32),"",ReferenceData!$G$32),"")</f>
        <v>0.16300000000000001</v>
      </c>
      <c r="H32">
        <f ca="1">IFERROR(IF(0=LEN(ReferenceData!$H$32),"",ReferenceData!$H$32),"")</f>
        <v>0.56299999999999994</v>
      </c>
      <c r="I32">
        <f ca="1">IFERROR(IF(0=LEN(ReferenceData!$I$32),"",ReferenceData!$I$32),"")</f>
        <v>0.35399999999999998</v>
      </c>
      <c r="J32">
        <f ca="1">IFERROR(IF(0=LEN(ReferenceData!$J$32),"",ReferenceData!$J$32),"")</f>
        <v>0.35399999999999998</v>
      </c>
      <c r="K32">
        <f ca="1">IFERROR(IF(0=LEN(ReferenceData!$K$32),"",ReferenceData!$K$32),"")</f>
        <v>0.122</v>
      </c>
      <c r="L32">
        <f ca="1">IFERROR(IF(0=LEN(ReferenceData!$L$32),"",ReferenceData!$L$32),"")</f>
        <v>8.7999999999999995E-2</v>
      </c>
      <c r="M32">
        <f ca="1">IFERROR(IF(0=LEN(ReferenceData!$M$32),"",ReferenceData!$M$32),"")</f>
        <v>0.09</v>
      </c>
      <c r="N32">
        <f ca="1">IFERROR(IF(0=LEN(ReferenceData!$N$32),"",ReferenceData!$N$32),"")</f>
        <v>6.5000000000000002E-2</v>
      </c>
      <c r="O32">
        <f ca="1">IFERROR(IF(0=LEN(ReferenceData!$O$32),"",ReferenceData!$O$32),"")</f>
        <v>6.6000000000000003E-2</v>
      </c>
      <c r="P32">
        <f ca="1">IFERROR(IF(0=LEN(ReferenceData!$P$32),"",ReferenceData!$P$32),"")</f>
        <v>6.7000000000000004E-2</v>
      </c>
      <c r="Q32">
        <f ca="1">IFERROR(IF(0=LEN(ReferenceData!$Q$32),"",ReferenceData!$Q$32),"")</f>
        <v>6.8000000000000005E-2</v>
      </c>
      <c r="R32">
        <f ca="1">IFERROR(IF(0=LEN(ReferenceData!$R$32),"",ReferenceData!$R$32),"")</f>
        <v>6.8000000000000005E-2</v>
      </c>
      <c r="S32">
        <f ca="1">IFERROR(IF(0=LEN(ReferenceData!$S$32),"",ReferenceData!$S$32),"")</f>
        <v>0.1</v>
      </c>
      <c r="T32">
        <f ca="1">IFERROR(IF(0=LEN(ReferenceData!$T$32),"",ReferenceData!$T$32),"")</f>
        <v>0.25700000000000001</v>
      </c>
      <c r="U32">
        <f ca="1">IFERROR(IF(0=LEN(ReferenceData!$U$32),"",ReferenceData!$U$32),"")</f>
        <v>0.72499999999999998</v>
      </c>
      <c r="V32">
        <f ca="1">IFERROR(IF(0=LEN(ReferenceData!$V$32),"",ReferenceData!$V$32),"")</f>
        <v>0.85199999999999998</v>
      </c>
      <c r="W32">
        <f ca="1">IFERROR(IF(0=LEN(ReferenceData!$W$32),"",ReferenceData!$W$32),"")</f>
        <v>0.68400000000000005</v>
      </c>
      <c r="X32">
        <f ca="1">IFERROR(IF(0=LEN(ReferenceData!$X$32),"",ReferenceData!$X$32),"")</f>
        <v>0.63500000000000001</v>
      </c>
      <c r="Y32">
        <f ca="1">IFERROR(IF(0=LEN(ReferenceData!$Y$32),"",ReferenceData!$Y$32),"")</f>
        <v>0.61899999999999999</v>
      </c>
      <c r="Z32">
        <f ca="1">IFERROR(IF(0=LEN(ReferenceData!$Z$32),"",ReferenceData!$Z$32),"")</f>
        <v>0.62</v>
      </c>
      <c r="AA32">
        <f ca="1">IFERROR(IF(0=LEN(ReferenceData!$AA$32),"",ReferenceData!$AA$32),"")</f>
        <v>0.621</v>
      </c>
      <c r="AB32">
        <f ca="1">IFERROR(IF(0=LEN(ReferenceData!$AB$32),"",ReferenceData!$AB$32),"")</f>
        <v>1.0669999999999999</v>
      </c>
      <c r="AC32">
        <f ca="1">IFERROR(IF(0=LEN(ReferenceData!$AC$32),"",ReferenceData!$AC$32),"")</f>
        <v>1.3080000000000001</v>
      </c>
      <c r="AD32">
        <f ca="1">IFERROR(IF(0=LEN(ReferenceData!$AD$32),"",ReferenceData!$AD$32),"")</f>
        <v>1.3080000000000001</v>
      </c>
      <c r="AE32">
        <f ca="1">IFERROR(IF(0=LEN(ReferenceData!$AE$32),"",ReferenceData!$AE$32),"")</f>
        <v>-0.154</v>
      </c>
      <c r="AF32">
        <f ca="1">IFERROR(IF(0=LEN(ReferenceData!$AF$32),"",ReferenceData!$AF$32),"")</f>
        <v>1.649</v>
      </c>
      <c r="AG32">
        <f ca="1">IFERROR(IF(0=LEN(ReferenceData!$AG$32),"",ReferenceData!$AG$32),"")</f>
        <v>1.6479999999999999</v>
      </c>
      <c r="AH32">
        <f ca="1">IFERROR(IF(0=LEN(ReferenceData!$AH$32),"",ReferenceData!$AH$32),"")</f>
        <v>1.649</v>
      </c>
      <c r="AI32">
        <f ca="1">IFERROR(IF(0=LEN(ReferenceData!$AI$32),"",ReferenceData!$AI$32),"")</f>
        <v>1.6930000000000001</v>
      </c>
      <c r="AJ32">
        <f ca="1">IFERROR(IF(0=LEN(ReferenceData!$AJ$32),"",ReferenceData!$AJ$32),"")</f>
        <v>1.649</v>
      </c>
      <c r="AK32">
        <f ca="1">IFERROR(IF(0=LEN(ReferenceData!$AK$32),"",ReferenceData!$AK$32),"")</f>
        <v>1.649</v>
      </c>
      <c r="AL32">
        <f ca="1">IFERROR(IF(0=LEN(ReferenceData!$AL$32),"",ReferenceData!$AL$32),"")</f>
        <v>2.6389999999999998</v>
      </c>
      <c r="AM32" t="str">
        <f ca="1">IFERROR(IF(0=LEN(ReferenceData!$AM$32),"",ReferenceData!$AM$32),"")</f>
        <v/>
      </c>
      <c r="AN32" t="str">
        <f ca="1">IFERROR(IF(0=LEN(ReferenceData!$AN$32),"",ReferenceData!$AN$32),"")</f>
        <v/>
      </c>
      <c r="AO32" t="str">
        <f ca="1">IFERROR(IF(0=LEN(ReferenceData!$AO$32),"",ReferenceData!$AO$32),"")</f>
        <v/>
      </c>
      <c r="AP32" t="str">
        <f ca="1">IFERROR(IF(0=LEN(ReferenceData!$AP$32),"",ReferenceData!$AP$32),"")</f>
        <v/>
      </c>
      <c r="AQ32" t="str">
        <f ca="1">IFERROR(IF(0=LEN(ReferenceData!$AQ$32),"",ReferenceData!$AQ$32),"")</f>
        <v/>
      </c>
      <c r="AR32" t="str">
        <f ca="1">IFERROR(IF(0=LEN(ReferenceData!$AR$32),"",ReferenceData!$AR$32),"")</f>
        <v/>
      </c>
      <c r="AS32" t="str">
        <f ca="1">IFERROR(IF(0=LEN(ReferenceData!$AS$32),"",ReferenceData!$AS$32),"")</f>
        <v/>
      </c>
      <c r="AT32" t="str">
        <f ca="1">IFERROR(IF(0=LEN(ReferenceData!$AT$32),"",ReferenceData!$AT$32),"")</f>
        <v/>
      </c>
      <c r="AU32" t="str">
        <f ca="1">IFERROR(IF(0=LEN(ReferenceData!$AU$32),"",ReferenceData!$AU$32),"")</f>
        <v/>
      </c>
      <c r="AV32" t="str">
        <f ca="1">IFERROR(IF(0=LEN(ReferenceData!$AV$32),"",ReferenceData!$AV$32),"")</f>
        <v/>
      </c>
      <c r="AW32" t="str">
        <f ca="1">IFERROR(IF(0=LEN(ReferenceData!$AW$32),"",ReferenceData!$AW$32),"")</f>
        <v/>
      </c>
      <c r="AX32" t="str">
        <f ca="1">IFERROR(IF(0=LEN(ReferenceData!$AX$32),"",ReferenceData!$AX$32),"")</f>
        <v/>
      </c>
      <c r="AY32" t="str">
        <f ca="1">IFERROR(IF(0=LEN(ReferenceData!$AY$32),"",ReferenceData!$AY$32),"")</f>
        <v/>
      </c>
      <c r="AZ32" t="str">
        <f ca="1">IFERROR(IF(0=LEN(ReferenceData!$AZ$32),"",ReferenceData!$AZ$32),"")</f>
        <v/>
      </c>
      <c r="BA32" t="str">
        <f ca="1">IFERROR(IF(0=LEN(ReferenceData!$BA$32),"",ReferenceData!$BA$32),"")</f>
        <v/>
      </c>
      <c r="BB32" t="str">
        <f ca="1">IFERROR(IF(0=LEN(ReferenceData!$BB$32),"",ReferenceData!$BB$32),"")</f>
        <v/>
      </c>
      <c r="BC32" t="str">
        <f ca="1">IFERROR(IF(0=LEN(ReferenceData!$BC$32),"",ReferenceData!$BC$32),"")</f>
        <v/>
      </c>
      <c r="BD32" t="str">
        <f ca="1">IFERROR(IF(0=LEN(ReferenceData!$BD$32),"",ReferenceData!$BD$32),"")</f>
        <v/>
      </c>
      <c r="BE32" t="str">
        <f ca="1">IFERROR(IF(0=LEN(ReferenceData!$BE$32),"",ReferenceData!$BE$32),"")</f>
        <v/>
      </c>
      <c r="BF32" t="str">
        <f ca="1">IFERROR(IF(0=LEN(ReferenceData!$BF$32),"",ReferenceData!$BF$32),"")</f>
        <v/>
      </c>
      <c r="BG32" t="str">
        <f ca="1">IFERROR(IF(0=LEN(ReferenceData!$BG$32),"",ReferenceData!$BG$32),"")</f>
        <v/>
      </c>
      <c r="BH32" t="str">
        <f ca="1">IFERROR(IF(0=LEN(ReferenceData!$BH$32),"",ReferenceData!$BH$32),"")</f>
        <v/>
      </c>
      <c r="BI32" t="str">
        <f ca="1">IFERROR(IF(0=LEN(ReferenceData!$BI$32),"",ReferenceData!$BI$32),"")</f>
        <v/>
      </c>
      <c r="BJ32" t="str">
        <f ca="1">IFERROR(IF(0=LEN(ReferenceData!$BJ$32),"",ReferenceData!$BJ$32),"")</f>
        <v/>
      </c>
      <c r="BK32" t="str">
        <f ca="1">IFERROR(IF(0=LEN(ReferenceData!$BK$32),"",ReferenceData!$BK$32),"")</f>
        <v/>
      </c>
      <c r="BL32" t="str">
        <f ca="1">IFERROR(IF(0=LEN(ReferenceData!$BL$32),"",ReferenceData!$BL$32),"")</f>
        <v/>
      </c>
      <c r="BM32" t="str">
        <f ca="1">IFERROR(IF(0=LEN(ReferenceData!$BM$32),"",ReferenceData!$BM$32),"")</f>
        <v/>
      </c>
    </row>
    <row r="33" spans="1:65">
      <c r="A33" t="str">
        <f>IFERROR(IF(0=LEN(ReferenceData!$A$33),"",ReferenceData!$A$33),"")</f>
        <v xml:space="preserve">    Medical Properties Trust Inc</v>
      </c>
      <c r="B33" t="str">
        <f>IFERROR(IF(0=LEN(ReferenceData!$B$33),"",ReferenceData!$B$33),"")</f>
        <v>MPW US Equity</v>
      </c>
      <c r="C33" t="str">
        <f>IFERROR(IF(0=LEN(ReferenceData!$C$33),"",ReferenceData!$C$33),"")</f>
        <v>IM281</v>
      </c>
      <c r="D33" t="str">
        <f>IFERROR(IF(0=LEN(ReferenceData!$D$33),"",ReferenceData!$D$33),"")</f>
        <v>IS_NON_REAL_ESTATE_INCOME</v>
      </c>
      <c r="E33" t="str">
        <f>IFERROR(IF(0=LEN(ReferenceData!$E$33),"",ReferenceData!$E$33),"")</f>
        <v>动态</v>
      </c>
      <c r="F33" t="str">
        <f ca="1">IFERROR(IF(0=LEN(ReferenceData!$F$33),"",ReferenceData!$F$33),"")</f>
        <v/>
      </c>
      <c r="G33">
        <f ca="1">IFERROR(IF(0=LEN(ReferenceData!$G$33),"",ReferenceData!$G$33),"")</f>
        <v>42.223999999999997</v>
      </c>
      <c r="H33">
        <f ca="1">IFERROR(IF(0=LEN(ReferenceData!$H$33),"",ReferenceData!$H$33),"")</f>
        <v>29.03</v>
      </c>
      <c r="I33">
        <f ca="1">IFERROR(IF(0=LEN(ReferenceData!$I$33),"",ReferenceData!$I$33),"")</f>
        <v>28.771000000000001</v>
      </c>
      <c r="J33">
        <f ca="1">IFERROR(IF(0=LEN(ReferenceData!$J$33),"",ReferenceData!$J$33),"")</f>
        <v>28.975000000000001</v>
      </c>
      <c r="K33">
        <f ca="1">IFERROR(IF(0=LEN(ReferenceData!$K$33),"",ReferenceData!$K$33),"")</f>
        <v>28.738</v>
      </c>
      <c r="L33">
        <f ca="1">IFERROR(IF(0=LEN(ReferenceData!$L$33),"",ReferenceData!$L$33),"")</f>
        <v>19.748999999999999</v>
      </c>
      <c r="M33">
        <f ca="1">IFERROR(IF(0=LEN(ReferenceData!$M$33),"",ReferenceData!$M$33),"")</f>
        <v>26.236999999999998</v>
      </c>
      <c r="N33">
        <f ca="1">IFERROR(IF(0=LEN(ReferenceData!$N$33),"",ReferenceData!$N$33),"")</f>
        <v>33.770000000000003</v>
      </c>
      <c r="O33">
        <f ca="1">IFERROR(IF(0=LEN(ReferenceData!$O$33),"",ReferenceData!$O$33),"")</f>
        <v>34.261000000000003</v>
      </c>
      <c r="P33">
        <f ca="1">IFERROR(IF(0=LEN(ReferenceData!$P$33),"",ReferenceData!$P$33),"")</f>
        <v>24.497</v>
      </c>
      <c r="Q33">
        <f ca="1">IFERROR(IF(0=LEN(ReferenceData!$Q$33),"",ReferenceData!$Q$33),"")</f>
        <v>27.847999999999999</v>
      </c>
      <c r="R33">
        <f ca="1">IFERROR(IF(0=LEN(ReferenceData!$R$33),"",ReferenceData!$R$33),"")</f>
        <v>25.577999999999999</v>
      </c>
      <c r="S33">
        <f ca="1">IFERROR(IF(0=LEN(ReferenceData!$S$33),"",ReferenceData!$S$33),"")</f>
        <v>16.813085000000001</v>
      </c>
      <c r="T33">
        <f ca="1">IFERROR(IF(0=LEN(ReferenceData!$T$33),"",ReferenceData!$T$33),"")</f>
        <v>15.124000000000001</v>
      </c>
      <c r="U33">
        <f ca="1">IFERROR(IF(0=LEN(ReferenceData!$U$33),"",ReferenceData!$U$33),"")</f>
        <v>15.191000000000001</v>
      </c>
      <c r="V33">
        <f ca="1">IFERROR(IF(0=LEN(ReferenceData!$V$33),"",ReferenceData!$V$33),"")</f>
        <v>15.769</v>
      </c>
      <c r="W33">
        <f ca="1">IFERROR(IF(0=LEN(ReferenceData!$W$33),"",ReferenceData!$W$33),"")</f>
        <v>15.139341999999999</v>
      </c>
      <c r="X33">
        <f ca="1">IFERROR(IF(0=LEN(ReferenceData!$X$33),"",ReferenceData!$X$33),"")</f>
        <v>14.38</v>
      </c>
      <c r="Y33">
        <f ca="1">IFERROR(IF(0=LEN(ReferenceData!$Y$33),"",ReferenceData!$Y$33),"")</f>
        <v>14.093</v>
      </c>
      <c r="Z33">
        <f ca="1">IFERROR(IF(0=LEN(ReferenceData!$Z$33),"",ReferenceData!$Z$33),"")</f>
        <v>14.707000000000001</v>
      </c>
      <c r="AA33">
        <f ca="1">IFERROR(IF(0=LEN(ReferenceData!$AA$33),"",ReferenceData!$AA$33),"")</f>
        <v>15.120443</v>
      </c>
      <c r="AB33">
        <f ca="1">IFERROR(IF(0=LEN(ReferenceData!$AB$33),"",ReferenceData!$AB$33),"")</f>
        <v>14.037000000000001</v>
      </c>
      <c r="AC33">
        <f ca="1">IFERROR(IF(0=LEN(ReferenceData!$AC$33),"",ReferenceData!$AC$33),"")</f>
        <v>11.526999999999999</v>
      </c>
      <c r="AD33">
        <f ca="1">IFERROR(IF(0=LEN(ReferenceData!$AD$33),"",ReferenceData!$AD$33),"")</f>
        <v>7.9210000000000003</v>
      </c>
      <c r="AE33">
        <f ca="1">IFERROR(IF(0=LEN(ReferenceData!$AE$33),"",ReferenceData!$AE$33),"")</f>
        <v>5.6568440000000004</v>
      </c>
      <c r="AF33">
        <f ca="1">IFERROR(IF(0=LEN(ReferenceData!$AF$33),"",ReferenceData!$AF$33),"")</f>
        <v>5.2290000000000001</v>
      </c>
      <c r="AG33">
        <f ca="1">IFERROR(IF(0=LEN(ReferenceData!$AG$33),"",ReferenceData!$AG$33),"")</f>
        <v>5.2690000000000001</v>
      </c>
      <c r="AH33">
        <f ca="1">IFERROR(IF(0=LEN(ReferenceData!$AH$33),"",ReferenceData!$AH$33),"")</f>
        <v>5.282</v>
      </c>
      <c r="AI33">
        <f ca="1">IFERROR(IF(0=LEN(ReferenceData!$AI$33),"",ReferenceData!$AI$33),"")</f>
        <v>6.393205</v>
      </c>
      <c r="AJ33">
        <f ca="1">IFERROR(IF(0=LEN(ReferenceData!$AJ$33),"",ReferenceData!$AJ$33),"")</f>
        <v>6.2960000000000003</v>
      </c>
      <c r="AK33">
        <f ca="1">IFERROR(IF(0=LEN(ReferenceData!$AK$33),"",ReferenceData!$AK$33),"")</f>
        <v>6.4989999999999997</v>
      </c>
      <c r="AL33">
        <f ca="1">IFERROR(IF(0=LEN(ReferenceData!$AL$33),"",ReferenceData!$AL$33),"")</f>
        <v>7.7990000000000004</v>
      </c>
      <c r="AM33">
        <f ca="1">IFERROR(IF(0=LEN(ReferenceData!$AM$33),"",ReferenceData!$AM$33),"")</f>
        <v>7.3138810000000003</v>
      </c>
      <c r="AN33">
        <f ca="1">IFERROR(IF(0=LEN(ReferenceData!$AN$33),"",ReferenceData!$AN$33),"")</f>
        <v>7.2130000000000001</v>
      </c>
      <c r="AO33">
        <f ca="1">IFERROR(IF(0=LEN(ReferenceData!$AO$33),"",ReferenceData!$AO$33),"")</f>
        <v>0</v>
      </c>
      <c r="AP33">
        <f ca="1">IFERROR(IF(0=LEN(ReferenceData!$AP$33),"",ReferenceData!$AP$33),"")</f>
        <v>7.423</v>
      </c>
      <c r="AQ33" t="str">
        <f ca="1">IFERROR(IF(0=LEN(ReferenceData!$AQ$33),"",ReferenceData!$AQ$33),"")</f>
        <v/>
      </c>
      <c r="AR33" t="str">
        <f ca="1">IFERROR(IF(0=LEN(ReferenceData!$AR$33),"",ReferenceData!$AR$33),"")</f>
        <v/>
      </c>
      <c r="AS33" t="str">
        <f ca="1">IFERROR(IF(0=LEN(ReferenceData!$AS$33),"",ReferenceData!$AS$33),"")</f>
        <v/>
      </c>
      <c r="AT33" t="str">
        <f ca="1">IFERROR(IF(0=LEN(ReferenceData!$AT$33),"",ReferenceData!$AT$33),"")</f>
        <v/>
      </c>
      <c r="AU33" t="str">
        <f ca="1">IFERROR(IF(0=LEN(ReferenceData!$AU$33),"",ReferenceData!$AU$33),"")</f>
        <v/>
      </c>
      <c r="AV33" t="str">
        <f ca="1">IFERROR(IF(0=LEN(ReferenceData!$AV$33),"",ReferenceData!$AV$33),"")</f>
        <v/>
      </c>
      <c r="AW33" t="str">
        <f ca="1">IFERROR(IF(0=LEN(ReferenceData!$AW$33),"",ReferenceData!$AW$33),"")</f>
        <v/>
      </c>
      <c r="AX33" t="str">
        <f ca="1">IFERROR(IF(0=LEN(ReferenceData!$AX$33),"",ReferenceData!$AX$33),"")</f>
        <v/>
      </c>
      <c r="AY33" t="str">
        <f ca="1">IFERROR(IF(0=LEN(ReferenceData!$AY$33),"",ReferenceData!$AY$33),"")</f>
        <v/>
      </c>
      <c r="AZ33" t="str">
        <f ca="1">IFERROR(IF(0=LEN(ReferenceData!$AZ$33),"",ReferenceData!$AZ$33),"")</f>
        <v/>
      </c>
      <c r="BA33" t="str">
        <f ca="1">IFERROR(IF(0=LEN(ReferenceData!$BA$33),"",ReferenceData!$BA$33),"")</f>
        <v/>
      </c>
      <c r="BB33" t="str">
        <f ca="1">IFERROR(IF(0=LEN(ReferenceData!$BB$33),"",ReferenceData!$BB$33),"")</f>
        <v/>
      </c>
      <c r="BC33" t="str">
        <f ca="1">IFERROR(IF(0=LEN(ReferenceData!$BC$33),"",ReferenceData!$BC$33),"")</f>
        <v/>
      </c>
      <c r="BD33" t="str">
        <f ca="1">IFERROR(IF(0=LEN(ReferenceData!$BD$33),"",ReferenceData!$BD$33),"")</f>
        <v/>
      </c>
      <c r="BE33" t="str">
        <f ca="1">IFERROR(IF(0=LEN(ReferenceData!$BE$33),"",ReferenceData!$BE$33),"")</f>
        <v/>
      </c>
      <c r="BF33" t="str">
        <f ca="1">IFERROR(IF(0=LEN(ReferenceData!$BF$33),"",ReferenceData!$BF$33),"")</f>
        <v/>
      </c>
      <c r="BG33" t="str">
        <f ca="1">IFERROR(IF(0=LEN(ReferenceData!$BG$33),"",ReferenceData!$BG$33),"")</f>
        <v/>
      </c>
      <c r="BH33" t="str">
        <f ca="1">IFERROR(IF(0=LEN(ReferenceData!$BH$33),"",ReferenceData!$BH$33),"")</f>
        <v/>
      </c>
      <c r="BI33" t="str">
        <f ca="1">IFERROR(IF(0=LEN(ReferenceData!$BI$33),"",ReferenceData!$BI$33),"")</f>
        <v/>
      </c>
      <c r="BJ33" t="str">
        <f ca="1">IFERROR(IF(0=LEN(ReferenceData!$BJ$33),"",ReferenceData!$BJ$33),"")</f>
        <v/>
      </c>
      <c r="BK33" t="str">
        <f ca="1">IFERROR(IF(0=LEN(ReferenceData!$BK$33),"",ReferenceData!$BK$33),"")</f>
        <v/>
      </c>
      <c r="BL33" t="str">
        <f ca="1">IFERROR(IF(0=LEN(ReferenceData!$BL$33),"",ReferenceData!$BL$33),"")</f>
        <v/>
      </c>
      <c r="BM33" t="str">
        <f ca="1">IFERROR(IF(0=LEN(ReferenceData!$BM$33),"",ReferenceData!$BM$33),"")</f>
        <v/>
      </c>
    </row>
    <row r="34" spans="1:65">
      <c r="A34" t="str">
        <f>IFERROR(IF(0=LEN(ReferenceData!$A$34),"",ReferenceData!$A$34),"")</f>
        <v xml:space="preserve">    Omega Healthcare Investors Inc</v>
      </c>
      <c r="B34" t="str">
        <f>IFERROR(IF(0=LEN(ReferenceData!$B$34),"",ReferenceData!$B$34),"")</f>
        <v>OHI US Equity</v>
      </c>
      <c r="C34" t="str">
        <f>IFERROR(IF(0=LEN(ReferenceData!$C$34),"",ReferenceData!$C$34),"")</f>
        <v>IM281</v>
      </c>
      <c r="D34" t="str">
        <f>IFERROR(IF(0=LEN(ReferenceData!$D$34),"",ReferenceData!$D$34),"")</f>
        <v>IS_NON_REAL_ESTATE_INCOME</v>
      </c>
      <c r="E34" t="str">
        <f>IFERROR(IF(0=LEN(ReferenceData!$E$34),"",ReferenceData!$E$34),"")</f>
        <v>动态</v>
      </c>
      <c r="F34" t="str">
        <f ca="1">IFERROR(IF(0=LEN(ReferenceData!$F$34),"",ReferenceData!$F$34),"")</f>
        <v/>
      </c>
      <c r="G34">
        <f ca="1">IFERROR(IF(0=LEN(ReferenceData!$G$34),"",ReferenceData!$G$34),"")</f>
        <v>8.984</v>
      </c>
      <c r="H34">
        <f ca="1">IFERROR(IF(0=LEN(ReferenceData!$H$34),"",ReferenceData!$H$34),"")</f>
        <v>8.0410000000000004</v>
      </c>
      <c r="I34">
        <f ca="1">IFERROR(IF(0=LEN(ReferenceData!$I$34),"",ReferenceData!$I$34),"")</f>
        <v>10.041</v>
      </c>
      <c r="J34">
        <f ca="1">IFERROR(IF(0=LEN(ReferenceData!$J$34),"",ReferenceData!$J$34),"")</f>
        <v>7.6050000000000004</v>
      </c>
      <c r="K34">
        <f ca="1">IFERROR(IF(0=LEN(ReferenceData!$K$34),"",ReferenceData!$K$34),"")</f>
        <v>8.0329999999999995</v>
      </c>
      <c r="L34">
        <f ca="1">IFERROR(IF(0=LEN(ReferenceData!$L$34),"",ReferenceData!$L$34),"")</f>
        <v>7.194</v>
      </c>
      <c r="M34">
        <f ca="1">IFERROR(IF(0=LEN(ReferenceData!$M$34),"",ReferenceData!$M$34),"")</f>
        <v>5.4779999999999998</v>
      </c>
      <c r="N34">
        <f ca="1">IFERROR(IF(0=LEN(ReferenceData!$N$34),"",ReferenceData!$N$34),"")</f>
        <v>4.1280000000000001</v>
      </c>
      <c r="O34">
        <f ca="1">IFERROR(IF(0=LEN(ReferenceData!$O$34),"",ReferenceData!$O$34),"")</f>
        <v>2.2919999999999998</v>
      </c>
      <c r="P34">
        <f ca="1">IFERROR(IF(0=LEN(ReferenceData!$P$34),"",ReferenceData!$P$34),"")</f>
        <v>2.94</v>
      </c>
      <c r="Q34">
        <f ca="1">IFERROR(IF(0=LEN(ReferenceData!$Q$34),"",ReferenceData!$Q$34),"")</f>
        <v>2.0169999999999999</v>
      </c>
      <c r="R34">
        <f ca="1">IFERROR(IF(0=LEN(ReferenceData!$R$34),"",ReferenceData!$R$34),"")</f>
        <v>1.5309999999999999</v>
      </c>
      <c r="S34">
        <f ca="1">IFERROR(IF(0=LEN(ReferenceData!$S$34),"",ReferenceData!$S$34),"")</f>
        <v>1.421</v>
      </c>
      <c r="T34">
        <f ca="1">IFERROR(IF(0=LEN(ReferenceData!$T$34),"",ReferenceData!$T$34),"")</f>
        <v>2.0350000000000001</v>
      </c>
      <c r="U34">
        <f ca="1">IFERROR(IF(0=LEN(ReferenceData!$U$34),"",ReferenceData!$U$34),"")</f>
        <v>1.4890000000000001</v>
      </c>
      <c r="V34">
        <f ca="1">IFERROR(IF(0=LEN(ReferenceData!$V$34),"",ReferenceData!$V$34),"")</f>
        <v>1.673</v>
      </c>
      <c r="W34">
        <f ca="1">IFERROR(IF(0=LEN(ReferenceData!$W$34),"",ReferenceData!$W$34),"")</f>
        <v>3.5329999999999999</v>
      </c>
      <c r="X34">
        <f ca="1">IFERROR(IF(0=LEN(ReferenceData!$X$34),"",ReferenceData!$X$34),"")</f>
        <v>2.1749999999999998</v>
      </c>
      <c r="Y34">
        <f ca="1">IFERROR(IF(0=LEN(ReferenceData!$Y$34),"",ReferenceData!$Y$34),"")</f>
        <v>2.0110000000000001</v>
      </c>
      <c r="Z34">
        <f ca="1">IFERROR(IF(0=LEN(ReferenceData!$Z$34),"",ReferenceData!$Z$34),"")</f>
        <v>1.306</v>
      </c>
      <c r="AA34">
        <f ca="1">IFERROR(IF(0=LEN(ReferenceData!$AA$34),"",ReferenceData!$AA$34),"")</f>
        <v>1.764</v>
      </c>
      <c r="AB34">
        <f ca="1">IFERROR(IF(0=LEN(ReferenceData!$AB$34),"",ReferenceData!$AB$34),"")</f>
        <v>1.2609999999999999</v>
      </c>
      <c r="AC34">
        <f ca="1">IFERROR(IF(0=LEN(ReferenceData!$AC$34),"",ReferenceData!$AC$34),"")</f>
        <v>1.1930000000000001</v>
      </c>
      <c r="AD34">
        <f ca="1">IFERROR(IF(0=LEN(ReferenceData!$AD$34),"",ReferenceData!$AD$34),"")</f>
        <v>1.204</v>
      </c>
      <c r="AE34">
        <f ca="1">IFERROR(IF(0=LEN(ReferenceData!$AE$34),"",ReferenceData!$AE$34),"")</f>
        <v>0.50700000000000001</v>
      </c>
      <c r="AF34">
        <f ca="1">IFERROR(IF(0=LEN(ReferenceData!$AF$34),"",ReferenceData!$AF$34),"")</f>
        <v>0.57899999999999996</v>
      </c>
      <c r="AG34">
        <f ca="1">IFERROR(IF(0=LEN(ReferenceData!$AG$34),"",ReferenceData!$AG$34),"")</f>
        <v>0.68600000000000005</v>
      </c>
      <c r="AH34">
        <f ca="1">IFERROR(IF(0=LEN(ReferenceData!$AH$34),"",ReferenceData!$AH$34),"")</f>
        <v>0.64100000000000001</v>
      </c>
      <c r="AI34">
        <f ca="1">IFERROR(IF(0=LEN(ReferenceData!$AI$34),"",ReferenceData!$AI$34),"")</f>
        <v>0.68799999999999994</v>
      </c>
      <c r="AJ34">
        <f ca="1">IFERROR(IF(0=LEN(ReferenceData!$AJ$34),"",ReferenceData!$AJ$34),"")</f>
        <v>0.84899999999999998</v>
      </c>
      <c r="AK34">
        <f ca="1">IFERROR(IF(0=LEN(ReferenceData!$AK$34),"",ReferenceData!$AK$34),"")</f>
        <v>4.766</v>
      </c>
      <c r="AL34">
        <f ca="1">IFERROR(IF(0=LEN(ReferenceData!$AL$34),"",ReferenceData!$AL$34),"")</f>
        <v>8.8550000000000004</v>
      </c>
      <c r="AM34">
        <f ca="1">IFERROR(IF(0=LEN(ReferenceData!$AM$34),"",ReferenceData!$AM$34),"")</f>
        <v>5.6159999999999997</v>
      </c>
      <c r="AN34">
        <f ca="1">IFERROR(IF(0=LEN(ReferenceData!$AN$34),"",ReferenceData!$AN$34),"")</f>
        <v>5.6120000000000001</v>
      </c>
      <c r="AO34">
        <f ca="1">IFERROR(IF(0=LEN(ReferenceData!$AO$34),"",ReferenceData!$AO$34),"")</f>
        <v>5.032</v>
      </c>
      <c r="AP34">
        <f ca="1">IFERROR(IF(0=LEN(ReferenceData!$AP$34),"",ReferenceData!$AP$34),"")</f>
        <v>5.109</v>
      </c>
      <c r="AQ34" t="str">
        <f ca="1">IFERROR(IF(0=LEN(ReferenceData!$AQ$34),"",ReferenceData!$AQ$34),"")</f>
        <v/>
      </c>
      <c r="AR34" t="str">
        <f ca="1">IFERROR(IF(0=LEN(ReferenceData!$AR$34),"",ReferenceData!$AR$34),"")</f>
        <v/>
      </c>
      <c r="AS34" t="str">
        <f ca="1">IFERROR(IF(0=LEN(ReferenceData!$AS$34),"",ReferenceData!$AS$34),"")</f>
        <v/>
      </c>
      <c r="AT34" t="str">
        <f ca="1">IFERROR(IF(0=LEN(ReferenceData!$AT$34),"",ReferenceData!$AT$34),"")</f>
        <v/>
      </c>
      <c r="AU34" t="str">
        <f ca="1">IFERROR(IF(0=LEN(ReferenceData!$AU$34),"",ReferenceData!$AU$34),"")</f>
        <v/>
      </c>
      <c r="AV34" t="str">
        <f ca="1">IFERROR(IF(0=LEN(ReferenceData!$AV$34),"",ReferenceData!$AV$34),"")</f>
        <v/>
      </c>
      <c r="AW34" t="str">
        <f ca="1">IFERROR(IF(0=LEN(ReferenceData!$AW$34),"",ReferenceData!$AW$34),"")</f>
        <v/>
      </c>
      <c r="AX34" t="str">
        <f ca="1">IFERROR(IF(0=LEN(ReferenceData!$AX$34),"",ReferenceData!$AX$34),"")</f>
        <v/>
      </c>
      <c r="AY34" t="str">
        <f ca="1">IFERROR(IF(0=LEN(ReferenceData!$AY$34),"",ReferenceData!$AY$34),"")</f>
        <v/>
      </c>
      <c r="AZ34" t="str">
        <f ca="1">IFERROR(IF(0=LEN(ReferenceData!$AZ$34),"",ReferenceData!$AZ$34),"")</f>
        <v/>
      </c>
      <c r="BA34" t="str">
        <f ca="1">IFERROR(IF(0=LEN(ReferenceData!$BA$34),"",ReferenceData!$BA$34),"")</f>
        <v/>
      </c>
      <c r="BB34" t="str">
        <f ca="1">IFERROR(IF(0=LEN(ReferenceData!$BB$34),"",ReferenceData!$BB$34),"")</f>
        <v/>
      </c>
      <c r="BC34" t="str">
        <f ca="1">IFERROR(IF(0=LEN(ReferenceData!$BC$34),"",ReferenceData!$BC$34),"")</f>
        <v/>
      </c>
      <c r="BD34" t="str">
        <f ca="1">IFERROR(IF(0=LEN(ReferenceData!$BD$34),"",ReferenceData!$BD$34),"")</f>
        <v/>
      </c>
      <c r="BE34" t="str">
        <f ca="1">IFERROR(IF(0=LEN(ReferenceData!$BE$34),"",ReferenceData!$BE$34),"")</f>
        <v/>
      </c>
      <c r="BF34" t="str">
        <f ca="1">IFERROR(IF(0=LEN(ReferenceData!$BF$34),"",ReferenceData!$BF$34),"")</f>
        <v/>
      </c>
      <c r="BG34" t="str">
        <f ca="1">IFERROR(IF(0=LEN(ReferenceData!$BG$34),"",ReferenceData!$BG$34),"")</f>
        <v/>
      </c>
      <c r="BH34" t="str">
        <f ca="1">IFERROR(IF(0=LEN(ReferenceData!$BH$34),"",ReferenceData!$BH$34),"")</f>
        <v/>
      </c>
      <c r="BI34" t="str">
        <f ca="1">IFERROR(IF(0=LEN(ReferenceData!$BI$34),"",ReferenceData!$BI$34),"")</f>
        <v/>
      </c>
      <c r="BJ34" t="str">
        <f ca="1">IFERROR(IF(0=LEN(ReferenceData!$BJ$34),"",ReferenceData!$BJ$34),"")</f>
        <v/>
      </c>
      <c r="BK34" t="str">
        <f ca="1">IFERROR(IF(0=LEN(ReferenceData!$BK$34),"",ReferenceData!$BK$34),"")</f>
        <v/>
      </c>
      <c r="BL34" t="str">
        <f ca="1">IFERROR(IF(0=LEN(ReferenceData!$BL$34),"",ReferenceData!$BL$34),"")</f>
        <v/>
      </c>
      <c r="BM34" t="str">
        <f ca="1">IFERROR(IF(0=LEN(ReferenceData!$BM$34),"",ReferenceData!$BM$34),"")</f>
        <v/>
      </c>
    </row>
    <row r="35" spans="1:65">
      <c r="A35" t="str">
        <f>IFERROR(IF(0=LEN(ReferenceData!$A$35),"",ReferenceData!$A$35),"")</f>
        <v xml:space="preserve">    Sabra Health Care REIT Inc</v>
      </c>
      <c r="B35" t="str">
        <f>IFERROR(IF(0=LEN(ReferenceData!$B$35),"",ReferenceData!$B$35),"")</f>
        <v>SBRA US Equity</v>
      </c>
      <c r="C35" t="str">
        <f>IFERROR(IF(0=LEN(ReferenceData!$C$35),"",ReferenceData!$C$35),"")</f>
        <v>IM281</v>
      </c>
      <c r="D35" t="str">
        <f>IFERROR(IF(0=LEN(ReferenceData!$D$35),"",ReferenceData!$D$35),"")</f>
        <v>IS_NON_REAL_ESTATE_INCOME</v>
      </c>
      <c r="E35" t="str">
        <f>IFERROR(IF(0=LEN(ReferenceData!$E$35),"",ReferenceData!$E$35),"")</f>
        <v>动态</v>
      </c>
      <c r="F35" t="str">
        <f ca="1">IFERROR(IF(0=LEN(ReferenceData!$F$35),"",ReferenceData!$F$35),"")</f>
        <v/>
      </c>
      <c r="G35">
        <f ca="1">IFERROR(IF(0=LEN(ReferenceData!$G$35),"",ReferenceData!$G$35),"")</f>
        <v>6.9640000000000004</v>
      </c>
      <c r="H35">
        <f ca="1">IFERROR(IF(0=LEN(ReferenceData!$H$35),"",ReferenceData!$H$35),"")</f>
        <v>4.09</v>
      </c>
      <c r="I35">
        <f ca="1">IFERROR(IF(0=LEN(ReferenceData!$I$35),"",ReferenceData!$I$35),"")</f>
        <v>2.0270000000000001</v>
      </c>
      <c r="J35">
        <f ca="1">IFERROR(IF(0=LEN(ReferenceData!$J$35),"",ReferenceData!$J$35),"")</f>
        <v>1.9450000000000001</v>
      </c>
      <c r="K35">
        <f ca="1">IFERROR(IF(0=LEN(ReferenceData!$K$35),"",ReferenceData!$K$35),"")</f>
        <v>1.9810000000000001</v>
      </c>
      <c r="L35">
        <f ca="1">IFERROR(IF(0=LEN(ReferenceData!$L$35),"",ReferenceData!$L$35),"")</f>
        <v>3.157</v>
      </c>
      <c r="M35">
        <f ca="1">IFERROR(IF(0=LEN(ReferenceData!$M$35),"",ReferenceData!$M$35),"")</f>
        <v>16.992999999999999</v>
      </c>
      <c r="N35">
        <f ca="1">IFERROR(IF(0=LEN(ReferenceData!$N$35),"",ReferenceData!$N$35),"")</f>
        <v>5.3319999999999999</v>
      </c>
      <c r="O35">
        <f ca="1">IFERROR(IF(0=LEN(ReferenceData!$O$35),"",ReferenceData!$O$35),"")</f>
        <v>7.91</v>
      </c>
      <c r="P35">
        <f ca="1">IFERROR(IF(0=LEN(ReferenceData!$P$35),"",ReferenceData!$P$35),"")</f>
        <v>6.7610000000000001</v>
      </c>
      <c r="Q35">
        <f ca="1">IFERROR(IF(0=LEN(ReferenceData!$Q$35),"",ReferenceData!$Q$35),"")</f>
        <v>6.69</v>
      </c>
      <c r="R35">
        <f ca="1">IFERROR(IF(0=LEN(ReferenceData!$R$35),"",ReferenceData!$R$35),"")</f>
        <v>6.0670000000000002</v>
      </c>
      <c r="S35">
        <f ca="1">IFERROR(IF(0=LEN(ReferenceData!$S$35),"",ReferenceData!$S$35),"")</f>
        <v>5.9710000000000001</v>
      </c>
      <c r="T35">
        <f ca="1">IFERROR(IF(0=LEN(ReferenceData!$T$35),"",ReferenceData!$T$35),"")</f>
        <v>5.819</v>
      </c>
      <c r="U35">
        <f ca="1">IFERROR(IF(0=LEN(ReferenceData!$U$35),"",ReferenceData!$U$35),"")</f>
        <v>5.4880000000000004</v>
      </c>
      <c r="V35">
        <f ca="1">IFERROR(IF(0=LEN(ReferenceData!$V$35),"",ReferenceData!$V$35),"")</f>
        <v>4.7569999999999997</v>
      </c>
      <c r="W35">
        <f ca="1">IFERROR(IF(0=LEN(ReferenceData!$W$35),"",ReferenceData!$W$35),"")</f>
        <v>3.2610000000000001</v>
      </c>
      <c r="X35">
        <f ca="1">IFERROR(IF(0=LEN(ReferenceData!$X$35),"",ReferenceData!$X$35),"")</f>
        <v>1.2270000000000001</v>
      </c>
      <c r="Y35">
        <f ca="1">IFERROR(IF(0=LEN(ReferenceData!$Y$35),"",ReferenceData!$Y$35),"")</f>
        <v>0.75700000000000001</v>
      </c>
      <c r="Z35">
        <f ca="1">IFERROR(IF(0=LEN(ReferenceData!$Z$35),"",ReferenceData!$Z$35),"")</f>
        <v>0.54700000000000004</v>
      </c>
      <c r="AA35">
        <f ca="1">IFERROR(IF(0=LEN(ReferenceData!$AA$35),"",ReferenceData!$AA$35),"")</f>
        <v>0.45</v>
      </c>
      <c r="AB35">
        <f ca="1">IFERROR(IF(0=LEN(ReferenceData!$AB$35),"",ReferenceData!$AB$35),"")</f>
        <v>0.61799999999999999</v>
      </c>
      <c r="AC35">
        <f ca="1">IFERROR(IF(0=LEN(ReferenceData!$AC$35),"",ReferenceData!$AC$35),"")</f>
        <v>0.29699999999999999</v>
      </c>
      <c r="AD35">
        <f ca="1">IFERROR(IF(0=LEN(ReferenceData!$AD$35),"",ReferenceData!$AD$35),"")</f>
        <v>6.4000000000000001E-2</v>
      </c>
      <c r="AE35">
        <f ca="1">IFERROR(IF(0=LEN(ReferenceData!$AE$35),"",ReferenceData!$AE$35),"")</f>
        <v>3.1539999999999999</v>
      </c>
      <c r="AF35">
        <f ca="1">IFERROR(IF(0=LEN(ReferenceData!$AF$35),"",ReferenceData!$AF$35),"")</f>
        <v>0.17599999999999999</v>
      </c>
      <c r="AG35">
        <f ca="1">IFERROR(IF(0=LEN(ReferenceData!$AG$35),"",ReferenceData!$AG$35),"")</f>
        <v>0.17699999999999999</v>
      </c>
      <c r="AH35">
        <f ca="1">IFERROR(IF(0=LEN(ReferenceData!$AH$35),"",ReferenceData!$AH$35),"")</f>
        <v>0.04</v>
      </c>
      <c r="AI35" t="str">
        <f ca="1">IFERROR(IF(0=LEN(ReferenceData!$AI$35),"",ReferenceData!$AI$35),"")</f>
        <v/>
      </c>
      <c r="AJ35" t="str">
        <f ca="1">IFERROR(IF(0=LEN(ReferenceData!$AJ$35),"",ReferenceData!$AJ$35),"")</f>
        <v/>
      </c>
      <c r="AK35" t="str">
        <f ca="1">IFERROR(IF(0=LEN(ReferenceData!$AK$35),"",ReferenceData!$AK$35),"")</f>
        <v/>
      </c>
      <c r="AL35" t="str">
        <f ca="1">IFERROR(IF(0=LEN(ReferenceData!$AL$35),"",ReferenceData!$AL$35),"")</f>
        <v/>
      </c>
      <c r="AM35" t="str">
        <f ca="1">IFERROR(IF(0=LEN(ReferenceData!$AM$35),"",ReferenceData!$AM$35),"")</f>
        <v/>
      </c>
      <c r="AN35" t="str">
        <f ca="1">IFERROR(IF(0=LEN(ReferenceData!$AN$35),"",ReferenceData!$AN$35),"")</f>
        <v/>
      </c>
      <c r="AO35" t="str">
        <f ca="1">IFERROR(IF(0=LEN(ReferenceData!$AO$35),"",ReferenceData!$AO$35),"")</f>
        <v/>
      </c>
      <c r="AP35" t="str">
        <f ca="1">IFERROR(IF(0=LEN(ReferenceData!$AP$35),"",ReferenceData!$AP$35),"")</f>
        <v/>
      </c>
      <c r="AQ35" t="str">
        <f ca="1">IFERROR(IF(0=LEN(ReferenceData!$AQ$35),"",ReferenceData!$AQ$35),"")</f>
        <v/>
      </c>
      <c r="AR35" t="str">
        <f ca="1">IFERROR(IF(0=LEN(ReferenceData!$AR$35),"",ReferenceData!$AR$35),"")</f>
        <v/>
      </c>
      <c r="AS35" t="str">
        <f ca="1">IFERROR(IF(0=LEN(ReferenceData!$AS$35),"",ReferenceData!$AS$35),"")</f>
        <v/>
      </c>
      <c r="AT35" t="str">
        <f ca="1">IFERROR(IF(0=LEN(ReferenceData!$AT$35),"",ReferenceData!$AT$35),"")</f>
        <v/>
      </c>
      <c r="AU35" t="str">
        <f ca="1">IFERROR(IF(0=LEN(ReferenceData!$AU$35),"",ReferenceData!$AU$35),"")</f>
        <v/>
      </c>
      <c r="AV35" t="str">
        <f ca="1">IFERROR(IF(0=LEN(ReferenceData!$AV$35),"",ReferenceData!$AV$35),"")</f>
        <v/>
      </c>
      <c r="AW35" t="str">
        <f ca="1">IFERROR(IF(0=LEN(ReferenceData!$AW$35),"",ReferenceData!$AW$35),"")</f>
        <v/>
      </c>
      <c r="AX35" t="str">
        <f ca="1">IFERROR(IF(0=LEN(ReferenceData!$AX$35),"",ReferenceData!$AX$35),"")</f>
        <v/>
      </c>
      <c r="AY35" t="str">
        <f ca="1">IFERROR(IF(0=LEN(ReferenceData!$AY$35),"",ReferenceData!$AY$35),"")</f>
        <v/>
      </c>
      <c r="AZ35" t="str">
        <f ca="1">IFERROR(IF(0=LEN(ReferenceData!$AZ$35),"",ReferenceData!$AZ$35),"")</f>
        <v/>
      </c>
      <c r="BA35" t="str">
        <f ca="1">IFERROR(IF(0=LEN(ReferenceData!$BA$35),"",ReferenceData!$BA$35),"")</f>
        <v/>
      </c>
      <c r="BB35" t="str">
        <f ca="1">IFERROR(IF(0=LEN(ReferenceData!$BB$35),"",ReferenceData!$BB$35),"")</f>
        <v/>
      </c>
      <c r="BC35" t="str">
        <f ca="1">IFERROR(IF(0=LEN(ReferenceData!$BC$35),"",ReferenceData!$BC$35),"")</f>
        <v/>
      </c>
      <c r="BD35" t="str">
        <f ca="1">IFERROR(IF(0=LEN(ReferenceData!$BD$35),"",ReferenceData!$BD$35),"")</f>
        <v/>
      </c>
      <c r="BE35" t="str">
        <f ca="1">IFERROR(IF(0=LEN(ReferenceData!$BE$35),"",ReferenceData!$BE$35),"")</f>
        <v/>
      </c>
      <c r="BF35" t="str">
        <f ca="1">IFERROR(IF(0=LEN(ReferenceData!$BF$35),"",ReferenceData!$BF$35),"")</f>
        <v/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 t="str">
        <f ca="1">IFERROR(IF(0=LEN(ReferenceData!$BJ$35),"",ReferenceData!$BJ$35),"")</f>
        <v/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  <c r="BM35" t="str">
        <f ca="1">IFERROR(IF(0=LEN(ReferenceData!$BM$35),"",ReferenceData!$BM$35),"")</f>
        <v/>
      </c>
    </row>
    <row r="36" spans="1:65">
      <c r="A36" t="str">
        <f>IFERROR(IF(0=LEN(ReferenceData!$A$36),"",ReferenceData!$A$36),"")</f>
        <v xml:space="preserve">    Senior Housing Properties Trus</v>
      </c>
      <c r="B36" t="str">
        <f>IFERROR(IF(0=LEN(ReferenceData!$B$36),"",ReferenceData!$B$36),"")</f>
        <v>SNH US Equity</v>
      </c>
      <c r="C36" t="str">
        <f>IFERROR(IF(0=LEN(ReferenceData!$C$36),"",ReferenceData!$C$36),"")</f>
        <v>IM281</v>
      </c>
      <c r="D36" t="str">
        <f>IFERROR(IF(0=LEN(ReferenceData!$D$36),"",ReferenceData!$D$36),"")</f>
        <v>IS_NON_REAL_ESTATE_INCOME</v>
      </c>
      <c r="E36" t="str">
        <f>IFERROR(IF(0=LEN(ReferenceData!$E$36),"",ReferenceData!$E$36),"")</f>
        <v>动态</v>
      </c>
      <c r="F36" t="str">
        <f ca="1">IFERROR(IF(0=LEN(ReferenceData!$F$36),"",ReferenceData!$F$36),"")</f>
        <v/>
      </c>
      <c r="G36">
        <f ca="1">IFERROR(IF(0=LEN(ReferenceData!$G$36),"",ReferenceData!$G$36),"")</f>
        <v>98.980999999999995</v>
      </c>
      <c r="H36">
        <f ca="1">IFERROR(IF(0=LEN(ReferenceData!$H$36),"",ReferenceData!$H$36),"")</f>
        <v>98.331000000000003</v>
      </c>
      <c r="I36">
        <f ca="1">IFERROR(IF(0=LEN(ReferenceData!$I$36),"",ReferenceData!$I$36),"")</f>
        <v>98.366</v>
      </c>
      <c r="J36">
        <f ca="1">IFERROR(IF(0=LEN(ReferenceData!$J$36),"",ReferenceData!$J$36),"")</f>
        <v>98.117999999999995</v>
      </c>
      <c r="K36">
        <f ca="1">IFERROR(IF(0=LEN(ReferenceData!$K$36),"",ReferenceData!$K$36),"")</f>
        <v>99.019000000000005</v>
      </c>
      <c r="L36">
        <f ca="1">IFERROR(IF(0=LEN(ReferenceData!$L$36),"",ReferenceData!$L$36),"")</f>
        <v>98.48</v>
      </c>
      <c r="M36">
        <f ca="1">IFERROR(IF(0=LEN(ReferenceData!$M$36),"",ReferenceData!$M$36),"")</f>
        <v>97.37</v>
      </c>
      <c r="N36">
        <f ca="1">IFERROR(IF(0=LEN(ReferenceData!$N$36),"",ReferenceData!$N$36),"")</f>
        <v>96.953999999999994</v>
      </c>
      <c r="O36">
        <f ca="1">IFERROR(IF(0=LEN(ReferenceData!$O$36),"",ReferenceData!$O$36),"")</f>
        <v>96.813000000000002</v>
      </c>
      <c r="P36">
        <f ca="1">IFERROR(IF(0=LEN(ReferenceData!$P$36),"",ReferenceData!$P$36),"")</f>
        <v>96.412000000000006</v>
      </c>
      <c r="Q36">
        <f ca="1">IFERROR(IF(0=LEN(ReferenceData!$Q$36),"",ReferenceData!$Q$36),"")</f>
        <v>91.855999999999995</v>
      </c>
      <c r="R36">
        <f ca="1">IFERROR(IF(0=LEN(ReferenceData!$R$36),"",ReferenceData!$R$36),"")</f>
        <v>82.793000000000006</v>
      </c>
      <c r="S36">
        <f ca="1">IFERROR(IF(0=LEN(ReferenceData!$S$36),"",ReferenceData!$S$36),"")</f>
        <v>80.444999999999993</v>
      </c>
      <c r="T36">
        <f ca="1">IFERROR(IF(0=LEN(ReferenceData!$T$36),"",ReferenceData!$T$36),"")</f>
        <v>79.259</v>
      </c>
      <c r="U36">
        <f ca="1">IFERROR(IF(0=LEN(ReferenceData!$U$36),"",ReferenceData!$U$36),"")</f>
        <v>79.039000000000001</v>
      </c>
      <c r="V36">
        <f ca="1">IFERROR(IF(0=LEN(ReferenceData!$V$36),"",ReferenceData!$V$36),"")</f>
        <v>79.441999999999993</v>
      </c>
      <c r="W36">
        <f ca="1">IFERROR(IF(0=LEN(ReferenceData!$W$36),"",ReferenceData!$W$36),"")</f>
        <v>77.424000000000007</v>
      </c>
      <c r="X36">
        <f ca="1">IFERROR(IF(0=LEN(ReferenceData!$X$36),"",ReferenceData!$X$36),"")</f>
        <v>74.945999999999998</v>
      </c>
      <c r="Y36">
        <f ca="1">IFERROR(IF(0=LEN(ReferenceData!$Y$36),"",ReferenceData!$Y$36),"")</f>
        <v>74.631</v>
      </c>
      <c r="Z36">
        <f ca="1">IFERROR(IF(0=LEN(ReferenceData!$Z$36),"",ReferenceData!$Z$36),"")</f>
        <v>75.055999999999997</v>
      </c>
      <c r="AA36">
        <f ca="1">IFERROR(IF(0=LEN(ReferenceData!$AA$36),"",ReferenceData!$AA$36),"")</f>
        <v>70.125</v>
      </c>
      <c r="AB36">
        <f ca="1">IFERROR(IF(0=LEN(ReferenceData!$AB$36),"",ReferenceData!$AB$36),"")</f>
        <v>42.351999999999997</v>
      </c>
      <c r="AC36">
        <f ca="1">IFERROR(IF(0=LEN(ReferenceData!$AC$36),"",ReferenceData!$AC$36),"")</f>
        <v>35.985999999999997</v>
      </c>
      <c r="AD36">
        <f ca="1">IFERROR(IF(0=LEN(ReferenceData!$AD$36),"",ReferenceData!$AD$36),"")</f>
        <v>35.567999999999998</v>
      </c>
      <c r="AE36">
        <f ca="1">IFERROR(IF(0=LEN(ReferenceData!$AE$36),"",ReferenceData!$AE$36),"")</f>
        <v>16.276</v>
      </c>
      <c r="AF36">
        <f ca="1">IFERROR(IF(0=LEN(ReferenceData!$AF$36),"",ReferenceData!$AF$36),"")</f>
        <v>0</v>
      </c>
      <c r="AG36">
        <f ca="1">IFERROR(IF(0=LEN(ReferenceData!$AG$36),"",ReferenceData!$AG$36),"")</f>
        <v>0.84399999999999997</v>
      </c>
      <c r="AH36">
        <f ca="1">IFERROR(IF(0=LEN(ReferenceData!$AH$36),"",ReferenceData!$AH$36),"")</f>
        <v>0</v>
      </c>
      <c r="AI36">
        <f ca="1">IFERROR(IF(0=LEN(ReferenceData!$AI$36),"",ReferenceData!$AI$36),"")</f>
        <v>0</v>
      </c>
      <c r="AJ36">
        <f ca="1">IFERROR(IF(0=LEN(ReferenceData!$AJ$36),"",ReferenceData!$AJ$36),"")</f>
        <v>0</v>
      </c>
      <c r="AK36">
        <f ca="1">IFERROR(IF(0=LEN(ReferenceData!$AK$36),"",ReferenceData!$AK$36),"")</f>
        <v>0</v>
      </c>
      <c r="AL36">
        <f ca="1">IFERROR(IF(0=LEN(ReferenceData!$AL$36),"",ReferenceData!$AL$36),"")</f>
        <v>0</v>
      </c>
      <c r="AM36">
        <f ca="1">IFERROR(IF(0=LEN(ReferenceData!$AM$36),"",ReferenceData!$AM$36),"")</f>
        <v>0</v>
      </c>
      <c r="AN36">
        <f ca="1">IFERROR(IF(0=LEN(ReferenceData!$AN$36),"",ReferenceData!$AN$36),"")</f>
        <v>0</v>
      </c>
      <c r="AO36">
        <f ca="1">IFERROR(IF(0=LEN(ReferenceData!$AO$36),"",ReferenceData!$AO$36),"")</f>
        <v>0</v>
      </c>
      <c r="AP36">
        <f ca="1">IFERROR(IF(0=LEN(ReferenceData!$AP$36),"",ReferenceData!$AP$36),"")</f>
        <v>0</v>
      </c>
      <c r="AQ36" t="str">
        <f ca="1">IFERROR(IF(0=LEN(ReferenceData!$AQ$36),"",ReferenceData!$AQ$36),"")</f>
        <v/>
      </c>
      <c r="AR36" t="str">
        <f ca="1">IFERROR(IF(0=LEN(ReferenceData!$AR$36),"",ReferenceData!$AR$36),"")</f>
        <v/>
      </c>
      <c r="AS36" t="str">
        <f ca="1">IFERROR(IF(0=LEN(ReferenceData!$AS$36),"",ReferenceData!$AS$36),"")</f>
        <v/>
      </c>
      <c r="AT36" t="str">
        <f ca="1">IFERROR(IF(0=LEN(ReferenceData!$AT$36),"",ReferenceData!$AT$36),"")</f>
        <v/>
      </c>
      <c r="AU36" t="str">
        <f ca="1">IFERROR(IF(0=LEN(ReferenceData!$AU$36),"",ReferenceData!$AU$36),"")</f>
        <v/>
      </c>
      <c r="AV36" t="str">
        <f ca="1">IFERROR(IF(0=LEN(ReferenceData!$AV$36),"",ReferenceData!$AV$36),"")</f>
        <v/>
      </c>
      <c r="AW36" t="str">
        <f ca="1">IFERROR(IF(0=LEN(ReferenceData!$AW$36),"",ReferenceData!$AW$36),"")</f>
        <v/>
      </c>
      <c r="AX36" t="str">
        <f ca="1">IFERROR(IF(0=LEN(ReferenceData!$AX$36),"",ReferenceData!$AX$36),"")</f>
        <v/>
      </c>
      <c r="AY36" t="str">
        <f ca="1">IFERROR(IF(0=LEN(ReferenceData!$AY$36),"",ReferenceData!$AY$36),"")</f>
        <v/>
      </c>
      <c r="AZ36" t="str">
        <f ca="1">IFERROR(IF(0=LEN(ReferenceData!$AZ$36),"",ReferenceData!$AZ$36),"")</f>
        <v/>
      </c>
      <c r="BA36" t="str">
        <f ca="1">IFERROR(IF(0=LEN(ReferenceData!$BA$36),"",ReferenceData!$BA$36),"")</f>
        <v/>
      </c>
      <c r="BB36" t="str">
        <f ca="1">IFERROR(IF(0=LEN(ReferenceData!$BB$36),"",ReferenceData!$BB$36),"")</f>
        <v/>
      </c>
      <c r="BC36" t="str">
        <f ca="1">IFERROR(IF(0=LEN(ReferenceData!$BC$36),"",ReferenceData!$BC$36),"")</f>
        <v/>
      </c>
      <c r="BD36" t="str">
        <f ca="1">IFERROR(IF(0=LEN(ReferenceData!$BD$36),"",ReferenceData!$BD$36),"")</f>
        <v/>
      </c>
      <c r="BE36" t="str">
        <f ca="1">IFERROR(IF(0=LEN(ReferenceData!$BE$36),"",ReferenceData!$BE$36),"")</f>
        <v/>
      </c>
      <c r="BF36" t="str">
        <f ca="1">IFERROR(IF(0=LEN(ReferenceData!$BF$36),"",ReferenceData!$BF$36),"")</f>
        <v/>
      </c>
      <c r="BG36" t="str">
        <f ca="1">IFERROR(IF(0=LEN(ReferenceData!$BG$36),"",ReferenceData!$BG$36),"")</f>
        <v/>
      </c>
      <c r="BH36" t="str">
        <f ca="1">IFERROR(IF(0=LEN(ReferenceData!$BH$36),"",ReferenceData!$BH$36),"")</f>
        <v/>
      </c>
      <c r="BI36" t="str">
        <f ca="1">IFERROR(IF(0=LEN(ReferenceData!$BI$36),"",ReferenceData!$BI$36),"")</f>
        <v/>
      </c>
      <c r="BJ36" t="str">
        <f ca="1">IFERROR(IF(0=LEN(ReferenceData!$BJ$36),"",ReferenceData!$BJ$36),"")</f>
        <v/>
      </c>
      <c r="BK36" t="str">
        <f ca="1">IFERROR(IF(0=LEN(ReferenceData!$BK$36),"",ReferenceData!$BK$36),"")</f>
        <v/>
      </c>
      <c r="BL36" t="str">
        <f ca="1">IFERROR(IF(0=LEN(ReferenceData!$BL$36),"",ReferenceData!$BL$36),"")</f>
        <v/>
      </c>
      <c r="BM36" t="str">
        <f ca="1">IFERROR(IF(0=LEN(ReferenceData!$BM$36),"",ReferenceData!$BM$36),"")</f>
        <v/>
      </c>
    </row>
    <row r="37" spans="1:65">
      <c r="A37" t="str">
        <f>IFERROR(IF(0=LEN(ReferenceData!$A$37),"",ReferenceData!$A$37),"")</f>
        <v xml:space="preserve">    Ventas Inc</v>
      </c>
      <c r="B37" t="str">
        <f>IFERROR(IF(0=LEN(ReferenceData!$B$37),"",ReferenceData!$B$37),"")</f>
        <v>VTR US Equity</v>
      </c>
      <c r="C37" t="str">
        <f>IFERROR(IF(0=LEN(ReferenceData!$C$37),"",ReferenceData!$C$37),"")</f>
        <v>IM281</v>
      </c>
      <c r="D37" t="str">
        <f>IFERROR(IF(0=LEN(ReferenceData!$D$37),"",ReferenceData!$D$37),"")</f>
        <v>IS_NON_REAL_ESTATE_INCOME</v>
      </c>
      <c r="E37" t="str">
        <f>IFERROR(IF(0=LEN(ReferenceData!$E$37),"",ReferenceData!$E$37),"")</f>
        <v>动态</v>
      </c>
      <c r="F37" t="str">
        <f ca="1">IFERROR(IF(0=LEN(ReferenceData!$F$37),"",ReferenceData!$F$37),"")</f>
        <v/>
      </c>
      <c r="G37">
        <f ca="1">IFERROR(IF(0=LEN(ReferenceData!$G$37),"",ReferenceData!$G$37),"")</f>
        <v>5.18</v>
      </c>
      <c r="H37">
        <f ca="1">IFERROR(IF(0=LEN(ReferenceData!$H$37),"",ReferenceData!$H$37),"")</f>
        <v>0.17100000000000001</v>
      </c>
      <c r="I37">
        <f ca="1">IFERROR(IF(0=LEN(ReferenceData!$I$37),"",ReferenceData!$I$37),"")</f>
        <v>0.20200000000000001</v>
      </c>
      <c r="J37">
        <f ca="1">IFERROR(IF(0=LEN(ReferenceData!$J$37),"",ReferenceData!$J$37),"")</f>
        <v>0.48099999999999998</v>
      </c>
      <c r="K37">
        <f ca="1">IFERROR(IF(0=LEN(ReferenceData!$K$37),"",ReferenceData!$K$37),"")</f>
        <v>8.4000000000000005E-2</v>
      </c>
      <c r="L37">
        <f ca="1">IFERROR(IF(0=LEN(ReferenceData!$L$37),"",ReferenceData!$L$37),"")</f>
        <v>0.56200000000000006</v>
      </c>
      <c r="M37">
        <f ca="1">IFERROR(IF(0=LEN(ReferenceData!$M$37),"",ReferenceData!$M$37),"")</f>
        <v>0.111</v>
      </c>
      <c r="N37">
        <f ca="1">IFERROR(IF(0=LEN(ReferenceData!$N$37),"",ReferenceData!$N$37),"")</f>
        <v>0.11899999999999999</v>
      </c>
      <c r="O37">
        <f ca="1">IFERROR(IF(0=LEN(ReferenceData!$O$37),"",ReferenceData!$O$37),"")</f>
        <v>0.33300000000000002</v>
      </c>
      <c r="P37">
        <f ca="1">IFERROR(IF(0=LEN(ReferenceData!$P$37),"",ReferenceData!$P$37),"")</f>
        <v>7.3999999999999996E-2</v>
      </c>
      <c r="Q37">
        <f ca="1">IFERROR(IF(0=LEN(ReferenceData!$Q$37),"",ReferenceData!$Q$37),"")</f>
        <v>0.17399999999999999</v>
      </c>
      <c r="R37">
        <f ca="1">IFERROR(IF(0=LEN(ReferenceData!$R$37),"",ReferenceData!$R$37),"")</f>
        <v>0.47099999999999997</v>
      </c>
      <c r="S37">
        <f ca="1">IFERROR(IF(0=LEN(ReferenceData!$S$37),"",ReferenceData!$S$37),"")</f>
        <v>3.452</v>
      </c>
      <c r="T37">
        <f ca="1">IFERROR(IF(0=LEN(ReferenceData!$T$37),"",ReferenceData!$T$37),"")</f>
        <v>0.36699999999999999</v>
      </c>
      <c r="U37">
        <f ca="1">IFERROR(IF(0=LEN(ReferenceData!$U$37),"",ReferenceData!$U$37),"")</f>
        <v>0.17299999999999999</v>
      </c>
      <c r="V37">
        <f ca="1">IFERROR(IF(0=LEN(ReferenceData!$V$37),"",ReferenceData!$V$37),"")</f>
        <v>0.27300000000000002</v>
      </c>
      <c r="W37">
        <f ca="1">IFERROR(IF(0=LEN(ReferenceData!$W$37),"",ReferenceData!$W$37),"")</f>
        <v>0.14599999999999999</v>
      </c>
      <c r="X37">
        <f ca="1">IFERROR(IF(0=LEN(ReferenceData!$X$37),"",ReferenceData!$X$37),"")</f>
        <v>6.6000000000000003E-2</v>
      </c>
      <c r="Y37">
        <f ca="1">IFERROR(IF(0=LEN(ReferenceData!$Y$37),"",ReferenceData!$Y$37),"")</f>
        <v>0.79700000000000004</v>
      </c>
      <c r="Z37">
        <f ca="1">IFERROR(IF(0=LEN(ReferenceData!$Z$37),"",ReferenceData!$Z$37),"")</f>
        <v>1.038</v>
      </c>
      <c r="AA37">
        <f ca="1">IFERROR(IF(0=LEN(ReferenceData!$AA$37),"",ReferenceData!$AA$37),"")</f>
        <v>0.66400000000000003</v>
      </c>
      <c r="AB37">
        <f ca="1">IFERROR(IF(0=LEN(ReferenceData!$AB$37),"",ReferenceData!$AB$37),"")</f>
        <v>0.33</v>
      </c>
      <c r="AC37">
        <f ca="1">IFERROR(IF(0=LEN(ReferenceData!$AC$37),"",ReferenceData!$AC$37),"")</f>
        <v>6.5000000000000002E-2</v>
      </c>
      <c r="AD37">
        <f ca="1">IFERROR(IF(0=LEN(ReferenceData!$AD$37),"",ReferenceData!$AD$37),"")</f>
        <v>4.7E-2</v>
      </c>
      <c r="AE37">
        <f ca="1">IFERROR(IF(0=LEN(ReferenceData!$AE$37),"",ReferenceData!$AE$37),"")</f>
        <v>0.68799999999999994</v>
      </c>
      <c r="AF37">
        <f ca="1">IFERROR(IF(0=LEN(ReferenceData!$AF$37),"",ReferenceData!$AF$37),"")</f>
        <v>0.373</v>
      </c>
      <c r="AG37">
        <f ca="1">IFERROR(IF(0=LEN(ReferenceData!$AG$37),"",ReferenceData!$AG$37),"")</f>
        <v>7.8E-2</v>
      </c>
      <c r="AH37">
        <f ca="1">IFERROR(IF(0=LEN(ReferenceData!$AH$37),"",ReferenceData!$AH$37),"")</f>
        <v>7.8E-2</v>
      </c>
      <c r="AI37">
        <f ca="1">IFERROR(IF(0=LEN(ReferenceData!$AI$37),"",ReferenceData!$AI$37),"")</f>
        <v>6.4000000000000001E-2</v>
      </c>
      <c r="AJ37">
        <f ca="1">IFERROR(IF(0=LEN(ReferenceData!$AJ$37),"",ReferenceData!$AJ$37),"")</f>
        <v>3.5000000000000003E-2</v>
      </c>
      <c r="AK37">
        <f ca="1">IFERROR(IF(0=LEN(ReferenceData!$AK$37),"",ReferenceData!$AK$37),"")</f>
        <v>0.122</v>
      </c>
      <c r="AL37">
        <f ca="1">IFERROR(IF(0=LEN(ReferenceData!$AL$37),"",ReferenceData!$AL$37),"")</f>
        <v>0.26300000000000001</v>
      </c>
      <c r="AM37">
        <f ca="1">IFERROR(IF(0=LEN(ReferenceData!$AM$37),"",ReferenceData!$AM$37),"")</f>
        <v>0.34899999999999998</v>
      </c>
      <c r="AN37">
        <f ca="1">IFERROR(IF(0=LEN(ReferenceData!$AN$37),"",ReferenceData!$AN$37),"")</f>
        <v>9.9000000000000005E-2</v>
      </c>
      <c r="AO37">
        <f ca="1">IFERROR(IF(0=LEN(ReferenceData!$AO$37),"",ReferenceData!$AO$37),"")</f>
        <v>0.108</v>
      </c>
      <c r="AP37">
        <f ca="1">IFERROR(IF(0=LEN(ReferenceData!$AP$37),"",ReferenceData!$AP$37),"")</f>
        <v>0.28599999999999998</v>
      </c>
      <c r="AQ37" t="str">
        <f ca="1">IFERROR(IF(0=LEN(ReferenceData!$AQ$37),"",ReferenceData!$AQ$37),"")</f>
        <v/>
      </c>
      <c r="AR37" t="str">
        <f ca="1">IFERROR(IF(0=LEN(ReferenceData!$AR$37),"",ReferenceData!$AR$37),"")</f>
        <v/>
      </c>
      <c r="AS37" t="str">
        <f ca="1">IFERROR(IF(0=LEN(ReferenceData!$AS$37),"",ReferenceData!$AS$37),"")</f>
        <v/>
      </c>
      <c r="AT37" t="str">
        <f ca="1">IFERROR(IF(0=LEN(ReferenceData!$AT$37),"",ReferenceData!$AT$37),"")</f>
        <v/>
      </c>
      <c r="AU37" t="str">
        <f ca="1">IFERROR(IF(0=LEN(ReferenceData!$AU$37),"",ReferenceData!$AU$37),"")</f>
        <v/>
      </c>
      <c r="AV37" t="str">
        <f ca="1">IFERROR(IF(0=LEN(ReferenceData!$AV$37),"",ReferenceData!$AV$37),"")</f>
        <v/>
      </c>
      <c r="AW37" t="str">
        <f ca="1">IFERROR(IF(0=LEN(ReferenceData!$AW$37),"",ReferenceData!$AW$37),"")</f>
        <v/>
      </c>
      <c r="AX37" t="str">
        <f ca="1">IFERROR(IF(0=LEN(ReferenceData!$AX$37),"",ReferenceData!$AX$37),"")</f>
        <v/>
      </c>
      <c r="AY37" t="str">
        <f ca="1">IFERROR(IF(0=LEN(ReferenceData!$AY$37),"",ReferenceData!$AY$37),"")</f>
        <v/>
      </c>
      <c r="AZ37" t="str">
        <f ca="1">IFERROR(IF(0=LEN(ReferenceData!$AZ$37),"",ReferenceData!$AZ$37),"")</f>
        <v/>
      </c>
      <c r="BA37" t="str">
        <f ca="1">IFERROR(IF(0=LEN(ReferenceData!$BA$37),"",ReferenceData!$BA$37),"")</f>
        <v/>
      </c>
      <c r="BB37" t="str">
        <f ca="1">IFERROR(IF(0=LEN(ReferenceData!$BB$37),"",ReferenceData!$BB$37),"")</f>
        <v/>
      </c>
      <c r="BC37" t="str">
        <f ca="1">IFERROR(IF(0=LEN(ReferenceData!$BC$37),"",ReferenceData!$BC$37),"")</f>
        <v/>
      </c>
      <c r="BD37" t="str">
        <f ca="1">IFERROR(IF(0=LEN(ReferenceData!$BD$37),"",ReferenceData!$BD$37),"")</f>
        <v/>
      </c>
      <c r="BE37" t="str">
        <f ca="1">IFERROR(IF(0=LEN(ReferenceData!$BE$37),"",ReferenceData!$BE$37),"")</f>
        <v/>
      </c>
      <c r="BF37" t="str">
        <f ca="1">IFERROR(IF(0=LEN(ReferenceData!$BF$37),"",ReferenceData!$BF$37),"")</f>
        <v/>
      </c>
      <c r="BG37" t="str">
        <f ca="1">IFERROR(IF(0=LEN(ReferenceData!$BG$37),"",ReferenceData!$BG$37),"")</f>
        <v/>
      </c>
      <c r="BH37" t="str">
        <f ca="1">IFERROR(IF(0=LEN(ReferenceData!$BH$37),"",ReferenceData!$BH$37),"")</f>
        <v/>
      </c>
      <c r="BI37" t="str">
        <f ca="1">IFERROR(IF(0=LEN(ReferenceData!$BI$37),"",ReferenceData!$BI$37),"")</f>
        <v/>
      </c>
      <c r="BJ37" t="str">
        <f ca="1">IFERROR(IF(0=LEN(ReferenceData!$BJ$37),"",ReferenceData!$BJ$37),"")</f>
        <v/>
      </c>
      <c r="BK37" t="str">
        <f ca="1">IFERROR(IF(0=LEN(ReferenceData!$BK$37),"",ReferenceData!$BK$37),"")</f>
        <v/>
      </c>
      <c r="BL37" t="str">
        <f ca="1">IFERROR(IF(0=LEN(ReferenceData!$BL$37),"",ReferenceData!$BL$37),"")</f>
        <v/>
      </c>
      <c r="BM37" t="str">
        <f ca="1">IFERROR(IF(0=LEN(ReferenceData!$BM$37),"",ReferenceData!$BM$37),"")</f>
        <v/>
      </c>
    </row>
    <row r="38" spans="1:65">
      <c r="A38" t="str">
        <f>IFERROR(IF(0=LEN(ReferenceData!$A$38),"",ReferenceData!$A$38),"")</f>
        <v xml:space="preserve">    Welltower Inc</v>
      </c>
      <c r="B38" t="str">
        <f>IFERROR(IF(0=LEN(ReferenceData!$B$38),"",ReferenceData!$B$38),"")</f>
        <v>HCN US Equity</v>
      </c>
      <c r="C38" t="str">
        <f>IFERROR(IF(0=LEN(ReferenceData!$C$38),"",ReferenceData!$C$38),"")</f>
        <v>IM281</v>
      </c>
      <c r="D38" t="str">
        <f>IFERROR(IF(0=LEN(ReferenceData!$D$38),"",ReferenceData!$D$38),"")</f>
        <v>IS_NON_REAL_ESTATE_INCOME</v>
      </c>
      <c r="E38" t="str">
        <f>IFERROR(IF(0=LEN(ReferenceData!$E$38),"",ReferenceData!$E$38),"")</f>
        <v>动态</v>
      </c>
      <c r="F38" t="str">
        <f ca="1">IFERROR(IF(0=LEN(ReferenceData!$F$38),"",ReferenceData!$F$38),"")</f>
        <v/>
      </c>
      <c r="G38">
        <f ca="1">IFERROR(IF(0=LEN(ReferenceData!$G$38),"",ReferenceData!$G$38),"")</f>
        <v>14.342000000000001</v>
      </c>
      <c r="H38">
        <f ca="1">IFERROR(IF(0=LEN(ReferenceData!$H$38),"",ReferenceData!$H$38),"")</f>
        <v>26.222999999999999</v>
      </c>
      <c r="I38">
        <f ca="1">IFERROR(IF(0=LEN(ReferenceData!$I$38),"",ReferenceData!$I$38),"")</f>
        <v>25.963000000000001</v>
      </c>
      <c r="J38">
        <f ca="1">IFERROR(IF(0=LEN(ReferenceData!$J$38),"",ReferenceData!$J$38),"")</f>
        <v>24.82</v>
      </c>
      <c r="K38">
        <f ca="1">IFERROR(IF(0=LEN(ReferenceData!$K$38),"",ReferenceData!$K$38),"")</f>
        <v>31.603999999999999</v>
      </c>
      <c r="L38">
        <f ca="1">IFERROR(IF(0=LEN(ReferenceData!$L$38),"",ReferenceData!$L$38),"")</f>
        <v>27.963999999999999</v>
      </c>
      <c r="M38">
        <f ca="1">IFERROR(IF(0=LEN(ReferenceData!$M$38),"",ReferenceData!$M$38),"")</f>
        <v>38.808999999999997</v>
      </c>
      <c r="N38">
        <f ca="1">IFERROR(IF(0=LEN(ReferenceData!$N$38),"",ReferenceData!$N$38),"")</f>
        <v>29.238</v>
      </c>
      <c r="O38">
        <f ca="1">IFERROR(IF(0=LEN(ReferenceData!$O$38),"",ReferenceData!$O$38),"")</f>
        <v>31.324999999999999</v>
      </c>
      <c r="P38">
        <f ca="1">IFERROR(IF(0=LEN(ReferenceData!$P$38),"",ReferenceData!$P$38),"")</f>
        <v>24.452000000000002</v>
      </c>
      <c r="Q38">
        <f ca="1">IFERROR(IF(0=LEN(ReferenceData!$Q$38),"",ReferenceData!$Q$38),"")</f>
        <v>24.99</v>
      </c>
      <c r="R38">
        <f ca="1">IFERROR(IF(0=LEN(ReferenceData!$R$38),"",ReferenceData!$R$38),"")</f>
        <v>22.08</v>
      </c>
      <c r="S38">
        <f ca="1">IFERROR(IF(0=LEN(ReferenceData!$S$38),"",ReferenceData!$S$38),"")</f>
        <v>14.532</v>
      </c>
      <c r="T38">
        <f ca="1">IFERROR(IF(0=LEN(ReferenceData!$T$38),"",ReferenceData!$T$38),"")</f>
        <v>10.962999999999999</v>
      </c>
      <c r="U38">
        <f ca="1">IFERROR(IF(0=LEN(ReferenceData!$U$38),"",ReferenceData!$U$38),"")</f>
        <v>10.96</v>
      </c>
      <c r="V38">
        <f ca="1">IFERROR(IF(0=LEN(ReferenceData!$V$38),"",ReferenceData!$V$38),"")</f>
        <v>9.0869999999999997</v>
      </c>
      <c r="W38">
        <f ca="1">IFERROR(IF(0=LEN(ReferenceData!$W$38),"",ReferenceData!$W$38),"")</f>
        <v>9.2360000000000007</v>
      </c>
      <c r="X38">
        <f ca="1">IFERROR(IF(0=LEN(ReferenceData!$X$38),"",ReferenceData!$X$38),"")</f>
        <v>9.0719999999999992</v>
      </c>
      <c r="Y38">
        <f ca="1">IFERROR(IF(0=LEN(ReferenceData!$Y$38),"",ReferenceData!$Y$38),"")</f>
        <v>8.6649999999999991</v>
      </c>
      <c r="Z38">
        <f ca="1">IFERROR(IF(0=LEN(ReferenceData!$Z$38),"",ReferenceData!$Z$38),"")</f>
        <v>9.7569999999999997</v>
      </c>
      <c r="AA38">
        <f ca="1">IFERROR(IF(0=LEN(ReferenceData!$AA$38),"",ReferenceData!$AA$38),"")</f>
        <v>15.701000000000001</v>
      </c>
      <c r="AB38">
        <f ca="1">IFERROR(IF(0=LEN(ReferenceData!$AB$38),"",ReferenceData!$AB$38),"")</f>
        <v>9.4499999999999993</v>
      </c>
      <c r="AC38">
        <f ca="1">IFERROR(IF(0=LEN(ReferenceData!$AC$38),"",ReferenceData!$AC$38),"")</f>
        <v>9.3610000000000007</v>
      </c>
      <c r="AD38">
        <f ca="1">IFERROR(IF(0=LEN(ReferenceData!$AD$38),"",ReferenceData!$AD$38),"")</f>
        <v>9.827</v>
      </c>
      <c r="AE38">
        <f ca="1">IFERROR(IF(0=LEN(ReferenceData!$AE$38),"",ReferenceData!$AE$38),"")</f>
        <v>9.9540000000000006</v>
      </c>
      <c r="AF38">
        <f ca="1">IFERROR(IF(0=LEN(ReferenceData!$AF$38),"",ReferenceData!$AF$38),"")</f>
        <v>9.6669999999999998</v>
      </c>
      <c r="AG38">
        <f ca="1">IFERROR(IF(0=LEN(ReferenceData!$AG$38),"",ReferenceData!$AG$38),"")</f>
        <v>18.207000000000001</v>
      </c>
      <c r="AH38">
        <f ca="1">IFERROR(IF(0=LEN(ReferenceData!$AH$38),"",ReferenceData!$AH$38),"")</f>
        <v>14.532999999999999</v>
      </c>
      <c r="AI38">
        <f ca="1">IFERROR(IF(0=LEN(ReferenceData!$AI$38),"",ReferenceData!$AI$38),"")</f>
        <v>14.862</v>
      </c>
      <c r="AJ38">
        <f ca="1">IFERROR(IF(0=LEN(ReferenceData!$AJ$38),"",ReferenceData!$AJ$38),"")</f>
        <v>11.21</v>
      </c>
      <c r="AK38">
        <f ca="1">IFERROR(IF(0=LEN(ReferenceData!$AK$38),"",ReferenceData!$AK$38),"")</f>
        <v>11.984999999999999</v>
      </c>
      <c r="AL38">
        <f ca="1">IFERROR(IF(0=LEN(ReferenceData!$AL$38),"",ReferenceData!$AL$38),"")</f>
        <v>10.044</v>
      </c>
      <c r="AM38">
        <f ca="1">IFERROR(IF(0=LEN(ReferenceData!$AM$38),"",ReferenceData!$AM$38),"")</f>
        <v>11.824</v>
      </c>
      <c r="AN38">
        <f ca="1">IFERROR(IF(0=LEN(ReferenceData!$AN$38),"",ReferenceData!$AN$38),"")</f>
        <v>11.617000000000001</v>
      </c>
      <c r="AO38">
        <f ca="1">IFERROR(IF(0=LEN(ReferenceData!$AO$38),"",ReferenceData!$AO$38),"")</f>
        <v>11.395</v>
      </c>
      <c r="AP38">
        <f ca="1">IFERROR(IF(0=LEN(ReferenceData!$AP$38),"",ReferenceData!$AP$38),"")</f>
        <v>11.436999999999999</v>
      </c>
      <c r="AQ38" t="str">
        <f ca="1">IFERROR(IF(0=LEN(ReferenceData!$AQ$38),"",ReferenceData!$AQ$38),"")</f>
        <v/>
      </c>
      <c r="AR38" t="str">
        <f ca="1">IFERROR(IF(0=LEN(ReferenceData!$AR$38),"",ReferenceData!$AR$38),"")</f>
        <v/>
      </c>
      <c r="AS38" t="str">
        <f ca="1">IFERROR(IF(0=LEN(ReferenceData!$AS$38),"",ReferenceData!$AS$38),"")</f>
        <v/>
      </c>
      <c r="AT38" t="str">
        <f ca="1">IFERROR(IF(0=LEN(ReferenceData!$AT$38),"",ReferenceData!$AT$38),"")</f>
        <v/>
      </c>
      <c r="AU38" t="str">
        <f ca="1">IFERROR(IF(0=LEN(ReferenceData!$AU$38),"",ReferenceData!$AU$38),"")</f>
        <v/>
      </c>
      <c r="AV38" t="str">
        <f ca="1">IFERROR(IF(0=LEN(ReferenceData!$AV$38),"",ReferenceData!$AV$38),"")</f>
        <v/>
      </c>
      <c r="AW38" t="str">
        <f ca="1">IFERROR(IF(0=LEN(ReferenceData!$AW$38),"",ReferenceData!$AW$38),"")</f>
        <v/>
      </c>
      <c r="AX38" t="str">
        <f ca="1">IFERROR(IF(0=LEN(ReferenceData!$AX$38),"",ReferenceData!$AX$38),"")</f>
        <v/>
      </c>
      <c r="AY38" t="str">
        <f ca="1">IFERROR(IF(0=LEN(ReferenceData!$AY$38),"",ReferenceData!$AY$38),"")</f>
        <v/>
      </c>
      <c r="AZ38" t="str">
        <f ca="1">IFERROR(IF(0=LEN(ReferenceData!$AZ$38),"",ReferenceData!$AZ$38),"")</f>
        <v/>
      </c>
      <c r="BA38" t="str">
        <f ca="1">IFERROR(IF(0=LEN(ReferenceData!$BA$38),"",ReferenceData!$BA$38),"")</f>
        <v/>
      </c>
      <c r="BB38" t="str">
        <f ca="1">IFERROR(IF(0=LEN(ReferenceData!$BB$38),"",ReferenceData!$BB$38),"")</f>
        <v/>
      </c>
      <c r="BC38" t="str">
        <f ca="1">IFERROR(IF(0=LEN(ReferenceData!$BC$38),"",ReferenceData!$BC$38),"")</f>
        <v/>
      </c>
      <c r="BD38" t="str">
        <f ca="1">IFERROR(IF(0=LEN(ReferenceData!$BD$38),"",ReferenceData!$BD$38),"")</f>
        <v/>
      </c>
      <c r="BE38" t="str">
        <f ca="1">IFERROR(IF(0=LEN(ReferenceData!$BE$38),"",ReferenceData!$BE$38),"")</f>
        <v/>
      </c>
      <c r="BF38" t="str">
        <f ca="1">IFERROR(IF(0=LEN(ReferenceData!$BF$38),"",ReferenceData!$BF$38),"")</f>
        <v/>
      </c>
      <c r="BG38" t="str">
        <f ca="1">IFERROR(IF(0=LEN(ReferenceData!$BG$38),"",ReferenceData!$BG$38),"")</f>
        <v/>
      </c>
      <c r="BH38" t="str">
        <f ca="1">IFERROR(IF(0=LEN(ReferenceData!$BH$38),"",ReferenceData!$BH$38),"")</f>
        <v/>
      </c>
      <c r="BI38" t="str">
        <f ca="1">IFERROR(IF(0=LEN(ReferenceData!$BI$38),"",ReferenceData!$BI$38),"")</f>
        <v/>
      </c>
      <c r="BJ38" t="str">
        <f ca="1">IFERROR(IF(0=LEN(ReferenceData!$BJ$38),"",ReferenceData!$BJ$38),"")</f>
        <v/>
      </c>
      <c r="BK38" t="str">
        <f ca="1">IFERROR(IF(0=LEN(ReferenceData!$BK$38),"",ReferenceData!$BK$38),"")</f>
        <v/>
      </c>
      <c r="BL38" t="str">
        <f ca="1">IFERROR(IF(0=LEN(ReferenceData!$BL$38),"",ReferenceData!$BL$38),"")</f>
        <v/>
      </c>
      <c r="BM38" t="str">
        <f ca="1">IFERROR(IF(0=LEN(ReferenceData!$BM$38),"",ReferenceData!$BM$38),"")</f>
        <v/>
      </c>
    </row>
    <row r="39" spans="1:65">
      <c r="A39" t="str">
        <f>IFERROR(IF(0=LEN(ReferenceData!$A$39),"",ReferenceData!$A$39),"")</f>
        <v>总收入</v>
      </c>
      <c r="B39" t="str">
        <f>IFERROR(IF(0=LEN(ReferenceData!$B$39),"",ReferenceData!$B$39),"")</f>
        <v/>
      </c>
      <c r="C39" t="str">
        <f>IFERROR(IF(0=LEN(ReferenceData!$C$39),"",ReferenceData!$C$39),"")</f>
        <v/>
      </c>
      <c r="D39" t="str">
        <f>IFERROR(IF(0=LEN(ReferenceData!$D$39),"",ReferenceData!$D$39),"")</f>
        <v/>
      </c>
      <c r="E39" t="str">
        <f>IFERROR(IF(0=LEN(ReferenceData!$E$39),"",ReferenceData!$E$39),"")</f>
        <v>Median</v>
      </c>
      <c r="F39" t="str">
        <f ca="1">IFERROR(IF(0=LEN(ReferenceData!$F$39),"",ReferenceData!$F$39),"")</f>
        <v/>
      </c>
      <c r="G39">
        <f ca="1">IFERROR(IF(0=LEN(ReferenceData!$G$39),"",ReferenceData!$G$39),"")</f>
        <v>249.88599999999997</v>
      </c>
      <c r="H39">
        <f ca="1">IFERROR(IF(0=LEN(ReferenceData!$H$39),"",ReferenceData!$H$39),"")</f>
        <v>243.1585</v>
      </c>
      <c r="I39">
        <f ca="1">IFERROR(IF(0=LEN(ReferenceData!$I$39),"",ReferenceData!$I$39),"")</f>
        <v>235.797</v>
      </c>
      <c r="J39">
        <f ca="1">IFERROR(IF(0=LEN(ReferenceData!$J$39),"",ReferenceData!$J$39),"")</f>
        <v>231.744</v>
      </c>
      <c r="K39">
        <f ca="1">IFERROR(IF(0=LEN(ReferenceData!$K$39),"",ReferenceData!$K$39),"")</f>
        <v>234.48599999999999</v>
      </c>
      <c r="L39">
        <f ca="1">IFERROR(IF(0=LEN(ReferenceData!$L$39),"",ReferenceData!$L$39),"")</f>
        <v>224.63800000000001</v>
      </c>
      <c r="M39">
        <f ca="1">IFERROR(IF(0=LEN(ReferenceData!$M$39),"",ReferenceData!$M$39),"")</f>
        <v>226.07599999999999</v>
      </c>
      <c r="N39">
        <f ca="1">IFERROR(IF(0=LEN(ReferenceData!$N$39),"",ReferenceData!$N$39),"")</f>
        <v>212.87899999999999</v>
      </c>
      <c r="O39">
        <f ca="1">IFERROR(IF(0=LEN(ReferenceData!$O$39),"",ReferenceData!$O$39),"")</f>
        <v>210.512</v>
      </c>
      <c r="P39">
        <f ca="1">IFERROR(IF(0=LEN(ReferenceData!$P$39),"",ReferenceData!$P$39),"")</f>
        <v>201.97399999999999</v>
      </c>
      <c r="Q39">
        <f ca="1">IFERROR(IF(0=LEN(ReferenceData!$Q$39),"",ReferenceData!$Q$39),"")</f>
        <v>197.71100000000001</v>
      </c>
      <c r="R39">
        <f ca="1">IFERROR(IF(0=LEN(ReferenceData!$R$39),"",ReferenceData!$R$39),"")</f>
        <v>165.0865</v>
      </c>
      <c r="S39">
        <f ca="1">IFERROR(IF(0=LEN(ReferenceData!$S$39),"",ReferenceData!$S$39),"")</f>
        <v>159.9975</v>
      </c>
      <c r="T39">
        <f ca="1">IFERROR(IF(0=LEN(ReferenceData!$T$39),"",ReferenceData!$T$39),"")</f>
        <v>158.13999999999999</v>
      </c>
      <c r="U39">
        <f ca="1">IFERROR(IF(0=LEN(ReferenceData!$U$39),"",ReferenceData!$U$39),"")</f>
        <v>149.101</v>
      </c>
      <c r="V39">
        <f ca="1">IFERROR(IF(0=LEN(ReferenceData!$V$39),"",ReferenceData!$V$39),"")</f>
        <v>148.59350000000001</v>
      </c>
      <c r="W39">
        <f ca="1">IFERROR(IF(0=LEN(ReferenceData!$W$39),"",ReferenceData!$W$39),"")</f>
        <v>139.98000000000002</v>
      </c>
      <c r="X39">
        <f ca="1">IFERROR(IF(0=LEN(ReferenceData!$X$39),"",ReferenceData!$X$39),"")</f>
        <v>130.80799999999999</v>
      </c>
      <c r="Y39">
        <f ca="1">IFERROR(IF(0=LEN(ReferenceData!$Y$39),"",ReferenceData!$Y$39),"")</f>
        <v>128.2225</v>
      </c>
      <c r="Z39">
        <f ca="1">IFERROR(IF(0=LEN(ReferenceData!$Z$39),"",ReferenceData!$Z$39),"")</f>
        <v>125.922</v>
      </c>
      <c r="AA39">
        <f ca="1">IFERROR(IF(0=LEN(ReferenceData!$AA$39),"",ReferenceData!$AA$39),"")</f>
        <v>123.133</v>
      </c>
      <c r="AB39">
        <f ca="1">IFERROR(IF(0=LEN(ReferenceData!$AB$39),"",ReferenceData!$AB$39),"")</f>
        <v>114.979</v>
      </c>
      <c r="AC39">
        <f ca="1">IFERROR(IF(0=LEN(ReferenceData!$AC$39),"",ReferenceData!$AC$39),"")</f>
        <v>114.10900000000001</v>
      </c>
      <c r="AD39">
        <f ca="1">IFERROR(IF(0=LEN(ReferenceData!$AD$39),"",ReferenceData!$AD$39),"")</f>
        <v>110.113</v>
      </c>
      <c r="AE39">
        <f ca="1">IFERROR(IF(0=LEN(ReferenceData!$AE$39),"",ReferenceData!$AE$39),"")</f>
        <v>106.45350000000001</v>
      </c>
      <c r="AF39">
        <f ca="1">IFERROR(IF(0=LEN(ReferenceData!$AF$39),"",ReferenceData!$AF$39),"")</f>
        <v>93.770499999999998</v>
      </c>
      <c r="AG39">
        <f ca="1">IFERROR(IF(0=LEN(ReferenceData!$AG$39),"",ReferenceData!$AG$39),"")</f>
        <v>86.884</v>
      </c>
      <c r="AH39">
        <f ca="1">IFERROR(IF(0=LEN(ReferenceData!$AH$39),"",ReferenceData!$AH$39),"")</f>
        <v>85.278000000000006</v>
      </c>
      <c r="AI39">
        <f ca="1">IFERROR(IF(0=LEN(ReferenceData!$AI$39),"",ReferenceData!$AI$39),"")</f>
        <v>97.363</v>
      </c>
      <c r="AJ39">
        <f ca="1">IFERROR(IF(0=LEN(ReferenceData!$AJ$39),"",ReferenceData!$AJ$39),"")</f>
        <v>100.63749999999999</v>
      </c>
      <c r="AK39">
        <f ca="1">IFERROR(IF(0=LEN(ReferenceData!$AK$39),"",ReferenceData!$AK$39),"")</f>
        <v>98.887500000000003</v>
      </c>
      <c r="AL39">
        <f ca="1">IFERROR(IF(0=LEN(ReferenceData!$AL$39),"",ReferenceData!$AL$39),"")</f>
        <v>98.47</v>
      </c>
      <c r="AM39">
        <f ca="1">IFERROR(IF(0=LEN(ReferenceData!$AM$39),"",ReferenceData!$AM$39),"")</f>
        <v>115.06</v>
      </c>
      <c r="AN39">
        <f ca="1">IFERROR(IF(0=LEN(ReferenceData!$AN$39),"",ReferenceData!$AN$39),"")</f>
        <v>115.82599999999999</v>
      </c>
      <c r="AO39">
        <f ca="1">IFERROR(IF(0=LEN(ReferenceData!$AO$39),"",ReferenceData!$AO$39),"")</f>
        <v>121.039</v>
      </c>
      <c r="AP39">
        <f ca="1">IFERROR(IF(0=LEN(ReferenceData!$AP$39),"",ReferenceData!$AP$39),"")</f>
        <v>131.559</v>
      </c>
      <c r="AQ39">
        <f ca="1">IFERROR(IF(0=LEN(ReferenceData!$AQ$39),"",ReferenceData!$AQ$39),"")</f>
        <v>124.504</v>
      </c>
      <c r="AR39">
        <f ca="1">IFERROR(IF(0=LEN(ReferenceData!$AR$39),"",ReferenceData!$AR$39),"")</f>
        <v>112.53100000000001</v>
      </c>
      <c r="AS39">
        <f ca="1">IFERROR(IF(0=LEN(ReferenceData!$AS$39),"",ReferenceData!$AS$39),"")</f>
        <v>108.77800000000001</v>
      </c>
      <c r="AT39">
        <f ca="1">IFERROR(IF(0=LEN(ReferenceData!$AT$39),"",ReferenceData!$AT$39),"")</f>
        <v>109.562</v>
      </c>
      <c r="AU39">
        <f ca="1">IFERROR(IF(0=LEN(ReferenceData!$AU$39),"",ReferenceData!$AU$39),"")</f>
        <v>107.596</v>
      </c>
      <c r="AV39">
        <f ca="1">IFERROR(IF(0=LEN(ReferenceData!$AV$39),"",ReferenceData!$AV$39),"")</f>
        <v>102.107</v>
      </c>
      <c r="AW39">
        <f ca="1">IFERROR(IF(0=LEN(ReferenceData!$AW$39),"",ReferenceData!$AW$39),"")</f>
        <v>93.769000000000005</v>
      </c>
      <c r="AX39">
        <f ca="1">IFERROR(IF(0=LEN(ReferenceData!$AX$39),"",ReferenceData!$AX$39),"")</f>
        <v>94.786000000000001</v>
      </c>
      <c r="AY39">
        <f ca="1">IFERROR(IF(0=LEN(ReferenceData!$AY$39),"",ReferenceData!$AY$39),"")</f>
        <v>87.787000000000006</v>
      </c>
      <c r="AZ39">
        <f ca="1">IFERROR(IF(0=LEN(ReferenceData!$AZ$39),"",ReferenceData!$AZ$39),"")</f>
        <v>66.535499999999999</v>
      </c>
      <c r="BA39">
        <f ca="1">IFERROR(IF(0=LEN(ReferenceData!$BA$39),"",ReferenceData!$BA$39),"")</f>
        <v>62.424999999999997</v>
      </c>
      <c r="BB39">
        <f ca="1">IFERROR(IF(0=LEN(ReferenceData!$BB$39),"",ReferenceData!$BB$39),"")</f>
        <v>60.0685</v>
      </c>
      <c r="BC39">
        <f ca="1">IFERROR(IF(0=LEN(ReferenceData!$BC$39),"",ReferenceData!$BC$39),"")</f>
        <v>65.001000000000005</v>
      </c>
      <c r="BD39">
        <f ca="1">IFERROR(IF(0=LEN(ReferenceData!$BD$39),"",ReferenceData!$BD$39),"")</f>
        <v>63.850999999999999</v>
      </c>
      <c r="BE39">
        <f ca="1">IFERROR(IF(0=LEN(ReferenceData!$BE$39),"",ReferenceData!$BE$39),"")</f>
        <v>58.620000000000005</v>
      </c>
      <c r="BF39">
        <f ca="1">IFERROR(IF(0=LEN(ReferenceData!$BF$39),"",ReferenceData!$BF$39),"")</f>
        <v>57.483000000000004</v>
      </c>
      <c r="BG39">
        <f ca="1">IFERROR(IF(0=LEN(ReferenceData!$BG$39),"",ReferenceData!$BG$39),"")</f>
        <v>55.131</v>
      </c>
      <c r="BH39">
        <f ca="1">IFERROR(IF(0=LEN(ReferenceData!$BH$39),"",ReferenceData!$BH$39),"")</f>
        <v>59.783999999999999</v>
      </c>
      <c r="BI39">
        <f ca="1">IFERROR(IF(0=LEN(ReferenceData!$BI$39),"",ReferenceData!$BI$39),"")</f>
        <v>55.944000000000003</v>
      </c>
      <c r="BJ39">
        <f ca="1">IFERROR(IF(0=LEN(ReferenceData!$BJ$39),"",ReferenceData!$BJ$39),"")</f>
        <v>48.793999999999997</v>
      </c>
      <c r="BK39">
        <f ca="1">IFERROR(IF(0=LEN(ReferenceData!$BK$39),"",ReferenceData!$BK$39),"")</f>
        <v>39.287999999999997</v>
      </c>
      <c r="BL39">
        <f ca="1">IFERROR(IF(0=LEN(ReferenceData!$BL$39),"",ReferenceData!$BL$39),"")</f>
        <v>48.076000209999997</v>
      </c>
      <c r="BM39">
        <f ca="1">IFERROR(IF(0=LEN(ReferenceData!$BM$39),"",ReferenceData!$BM$39),"")</f>
        <v>44.822000000000003</v>
      </c>
    </row>
    <row r="40" spans="1:65">
      <c r="A40" t="str">
        <f>IFERROR(IF(0=LEN(ReferenceData!$A$40),"",ReferenceData!$A$40),"")</f>
        <v xml:space="preserve">    Alexandria Real Estate Equitie</v>
      </c>
      <c r="B40" t="str">
        <f>IFERROR(IF(0=LEN(ReferenceData!$B$40),"",ReferenceData!$B$40),"")</f>
        <v>ARE US Equity</v>
      </c>
      <c r="C40" t="str">
        <f>IFERROR(IF(0=LEN(ReferenceData!$C$40),"",ReferenceData!$C$40),"")</f>
        <v>IS010</v>
      </c>
      <c r="D40" t="str">
        <f>IFERROR(IF(0=LEN(ReferenceData!$D$40),"",ReferenceData!$D$40),"")</f>
        <v>SALES_REV_TURN</v>
      </c>
      <c r="E40" t="str">
        <f>IFERROR(IF(0=LEN(ReferenceData!$E$40),"",ReferenceData!$E$40),"")</f>
        <v>动态</v>
      </c>
      <c r="F40" t="str">
        <f ca="1">IFERROR(IF(0=LEN(ReferenceData!$F$40),"",ReferenceData!$F$40),"")</f>
        <v/>
      </c>
      <c r="G40">
        <f ca="1">IFERROR(IF(0=LEN(ReferenceData!$G$40),"",ReferenceData!$G$40),"")</f>
        <v>298.791</v>
      </c>
      <c r="H40">
        <f ca="1">IFERROR(IF(0=LEN(ReferenceData!$H$40),"",ReferenceData!$H$40),"")</f>
        <v>285.37</v>
      </c>
      <c r="I40">
        <f ca="1">IFERROR(IF(0=LEN(ReferenceData!$I$40),"",ReferenceData!$I$40),"")</f>
        <v>273.05900000000003</v>
      </c>
      <c r="J40">
        <f ca="1">IFERROR(IF(0=LEN(ReferenceData!$J$40),"",ReferenceData!$J$40),"")</f>
        <v>270.87700000000001</v>
      </c>
      <c r="K40">
        <f ca="1">IFERROR(IF(0=LEN(ReferenceData!$K$40),"",ReferenceData!$K$40),"")</f>
        <v>249.16200000000001</v>
      </c>
      <c r="L40">
        <f ca="1">IFERROR(IF(0=LEN(ReferenceData!$L$40),"",ReferenceData!$L$40),"")</f>
        <v>230.37899999999999</v>
      </c>
      <c r="M40">
        <f ca="1">IFERROR(IF(0=LEN(ReferenceData!$M$40),"",ReferenceData!$M$40),"")</f>
        <v>226.07599999999999</v>
      </c>
      <c r="N40">
        <f ca="1">IFERROR(IF(0=LEN(ReferenceData!$N$40),"",ReferenceData!$N$40),"")</f>
        <v>216.089</v>
      </c>
      <c r="O40">
        <f ca="1">IFERROR(IF(0=LEN(ReferenceData!$O$40),"",ReferenceData!$O$40),"")</f>
        <v>223.95500000000001</v>
      </c>
      <c r="P40">
        <f ca="1">IFERROR(IF(0=LEN(ReferenceData!$P$40),"",ReferenceData!$P$40),"")</f>
        <v>218.61</v>
      </c>
      <c r="Q40">
        <f ca="1">IFERROR(IF(0=LEN(ReferenceData!$Q$40),"",ReferenceData!$Q$40),"")</f>
        <v>204.15600000000001</v>
      </c>
      <c r="R40">
        <f ca="1">IFERROR(IF(0=LEN(ReferenceData!$R$40),"",ReferenceData!$R$40),"")</f>
        <v>196.75299999999999</v>
      </c>
      <c r="S40">
        <f ca="1">IFERROR(IF(0=LEN(ReferenceData!$S$40),"",ReferenceData!$S$40),"")</f>
        <v>188.67400000000001</v>
      </c>
      <c r="T40">
        <f ca="1">IFERROR(IF(0=LEN(ReferenceData!$T$40),"",ReferenceData!$T$40),"")</f>
        <v>185.61500000000001</v>
      </c>
      <c r="U40">
        <f ca="1">IFERROR(IF(0=LEN(ReferenceData!$U$40),"",ReferenceData!$U$40),"")</f>
        <v>176.40199999999999</v>
      </c>
      <c r="V40">
        <f ca="1">IFERROR(IF(0=LEN(ReferenceData!$V$40),"",ReferenceData!$V$40),"")</f>
        <v>176.18600000000001</v>
      </c>
      <c r="W40">
        <f ca="1">IFERROR(IF(0=LEN(ReferenceData!$W$40),"",ReferenceData!$W$40),"")</f>
        <v>168.82300000000001</v>
      </c>
      <c r="X40">
        <f ca="1">IFERROR(IF(0=LEN(ReferenceData!$X$40),"",ReferenceData!$X$40),"")</f>
        <v>158.315</v>
      </c>
      <c r="Y40">
        <f ca="1">IFERROR(IF(0=LEN(ReferenceData!$Y$40),"",ReferenceData!$Y$40),"")</f>
        <v>153.93</v>
      </c>
      <c r="Z40">
        <f ca="1">IFERROR(IF(0=LEN(ReferenceData!$Z$40),"",ReferenceData!$Z$40),"")</f>
        <v>150.083</v>
      </c>
      <c r="AA40">
        <f ca="1">IFERROR(IF(0=LEN(ReferenceData!$AA$40),"",ReferenceData!$AA$40),"")</f>
        <v>151.25399999999999</v>
      </c>
      <c r="AB40">
        <f ca="1">IFERROR(IF(0=LEN(ReferenceData!$AB$40),"",ReferenceData!$AB$40),"")</f>
        <v>142.85</v>
      </c>
      <c r="AC40">
        <f ca="1">IFERROR(IF(0=LEN(ReferenceData!$AC$40),"",ReferenceData!$AC$40),"")</f>
        <v>145.59299999999999</v>
      </c>
      <c r="AD40">
        <f ca="1">IFERROR(IF(0=LEN(ReferenceData!$AD$40),"",ReferenceData!$AD$40),"")</f>
        <v>135.71100000000001</v>
      </c>
      <c r="AE40">
        <f ca="1">IFERROR(IF(0=LEN(ReferenceData!$AE$40),"",ReferenceData!$AE$40),"")</f>
        <v>139.249</v>
      </c>
      <c r="AF40">
        <f ca="1">IFERROR(IF(0=LEN(ReferenceData!$AF$40),"",ReferenceData!$AF$40),"")</f>
        <v>138.054</v>
      </c>
      <c r="AG40">
        <f ca="1">IFERROR(IF(0=LEN(ReferenceData!$AG$40),"",ReferenceData!$AG$40),"")</f>
        <v>143.321</v>
      </c>
      <c r="AH40">
        <f ca="1">IFERROR(IF(0=LEN(ReferenceData!$AH$40),"",ReferenceData!$AH$40),"")</f>
        <v>139.91999999999999</v>
      </c>
      <c r="AI40">
        <f ca="1">IFERROR(IF(0=LEN(ReferenceData!$AI$40),"",ReferenceData!$AI$40),"")</f>
        <v>131.77799999999999</v>
      </c>
      <c r="AJ40">
        <f ca="1">IFERROR(IF(0=LEN(ReferenceData!$AJ$40),"",ReferenceData!$AJ$40),"")</f>
        <v>120.31399999999999</v>
      </c>
      <c r="AK40">
        <f ca="1">IFERROR(IF(0=LEN(ReferenceData!$AK$40),"",ReferenceData!$AK$40),"")</f>
        <v>117.01</v>
      </c>
      <c r="AL40">
        <f ca="1">IFERROR(IF(0=LEN(ReferenceData!$AL$40),"",ReferenceData!$AL$40),"")</f>
        <v>116.49299999999999</v>
      </c>
      <c r="AM40">
        <f ca="1">IFERROR(IF(0=LEN(ReferenceData!$AM$40),"",ReferenceData!$AM$40),"")</f>
        <v>115.06</v>
      </c>
      <c r="AN40">
        <f ca="1">IFERROR(IF(0=LEN(ReferenceData!$AN$40),"",ReferenceData!$AN$40),"")</f>
        <v>115.82599999999999</v>
      </c>
      <c r="AO40">
        <f ca="1">IFERROR(IF(0=LEN(ReferenceData!$AO$40),"",ReferenceData!$AO$40),"")</f>
        <v>121.039</v>
      </c>
      <c r="AP40">
        <f ca="1">IFERROR(IF(0=LEN(ReferenceData!$AP$40),"",ReferenceData!$AP$40),"")</f>
        <v>131.559</v>
      </c>
      <c r="AQ40">
        <f ca="1">IFERROR(IF(0=LEN(ReferenceData!$AQ$40),"",ReferenceData!$AQ$40),"")</f>
        <v>124.504</v>
      </c>
      <c r="AR40">
        <f ca="1">IFERROR(IF(0=LEN(ReferenceData!$AR$40),"",ReferenceData!$AR$40),"")</f>
        <v>112.53100000000001</v>
      </c>
      <c r="AS40">
        <f ca="1">IFERROR(IF(0=LEN(ReferenceData!$AS$40),"",ReferenceData!$AS$40),"")</f>
        <v>108.77800000000001</v>
      </c>
      <c r="AT40">
        <f ca="1">IFERROR(IF(0=LEN(ReferenceData!$AT$40),"",ReferenceData!$AT$40),"")</f>
        <v>109.562</v>
      </c>
      <c r="AU40">
        <f ca="1">IFERROR(IF(0=LEN(ReferenceData!$AU$40),"",ReferenceData!$AU$40),"")</f>
        <v>107.596</v>
      </c>
      <c r="AV40">
        <f ca="1">IFERROR(IF(0=LEN(ReferenceData!$AV$40),"",ReferenceData!$AV$40),"")</f>
        <v>102.107</v>
      </c>
      <c r="AW40">
        <f ca="1">IFERROR(IF(0=LEN(ReferenceData!$AW$40),"",ReferenceData!$AW$40),"")</f>
        <v>93.769000000000005</v>
      </c>
      <c r="AX40">
        <f ca="1">IFERROR(IF(0=LEN(ReferenceData!$AX$40),"",ReferenceData!$AX$40),"")</f>
        <v>94.786000000000001</v>
      </c>
      <c r="AY40">
        <f ca="1">IFERROR(IF(0=LEN(ReferenceData!$AY$40),"",ReferenceData!$AY$40),"")</f>
        <v>91.906999999999996</v>
      </c>
      <c r="AZ40">
        <f ca="1">IFERROR(IF(0=LEN(ReferenceData!$AZ$40),"",ReferenceData!$AZ$40),"")</f>
        <v>84.754000000000005</v>
      </c>
      <c r="BA40">
        <f ca="1">IFERROR(IF(0=LEN(ReferenceData!$BA$40),"",ReferenceData!$BA$40),"")</f>
        <v>70.186999999999998</v>
      </c>
      <c r="BB40">
        <f ca="1">IFERROR(IF(0=LEN(ReferenceData!$BB$40),"",ReferenceData!$BB$40),"")</f>
        <v>68.283000000000001</v>
      </c>
      <c r="BC40">
        <f ca="1">IFERROR(IF(0=LEN(ReferenceData!$BC$40),"",ReferenceData!$BC$40),"")</f>
        <v>63.78</v>
      </c>
      <c r="BD40">
        <f ca="1">IFERROR(IF(0=LEN(ReferenceData!$BD$40),"",ReferenceData!$BD$40),"")</f>
        <v>62.026000000000003</v>
      </c>
      <c r="BE40">
        <f ca="1">IFERROR(IF(0=LEN(ReferenceData!$BE$40),"",ReferenceData!$BE$40),"")</f>
        <v>57.277000000000001</v>
      </c>
      <c r="BF40">
        <f ca="1">IFERROR(IF(0=LEN(ReferenceData!$BF$40),"",ReferenceData!$BF$40),"")</f>
        <v>55.055</v>
      </c>
      <c r="BG40">
        <f ca="1">IFERROR(IF(0=LEN(ReferenceData!$BG$40),"",ReferenceData!$BG$40),"")</f>
        <v>50.475999999999999</v>
      </c>
      <c r="BH40">
        <f ca="1">IFERROR(IF(0=LEN(ReferenceData!$BH$40),"",ReferenceData!$BH$40),"")</f>
        <v>46.459000000000003</v>
      </c>
      <c r="BI40">
        <f ca="1">IFERROR(IF(0=LEN(ReferenceData!$BI$40),"",ReferenceData!$BI$40),"")</f>
        <v>43.523000000000003</v>
      </c>
      <c r="BJ40">
        <f ca="1">IFERROR(IF(0=LEN(ReferenceData!$BJ$40),"",ReferenceData!$BJ$40),"")</f>
        <v>42.774999999999999</v>
      </c>
      <c r="BK40">
        <f ca="1">IFERROR(IF(0=LEN(ReferenceData!$BK$40),"",ReferenceData!$BK$40),"")</f>
        <v>39.104999999999997</v>
      </c>
      <c r="BL40">
        <f ca="1">IFERROR(IF(0=LEN(ReferenceData!$BL$40),"",ReferenceData!$BL$40),"")</f>
        <v>40.085000000000001</v>
      </c>
      <c r="BM40">
        <f ca="1">IFERROR(IF(0=LEN(ReferenceData!$BM$40),"",ReferenceData!$BM$40),"")</f>
        <v>39.456000000000003</v>
      </c>
    </row>
    <row r="41" spans="1:65">
      <c r="A41" t="str">
        <f>IFERROR(IF(0=LEN(ReferenceData!$A$41),"",ReferenceData!$A$41),"")</f>
        <v xml:space="preserve">    Care Capital Properties Inc</v>
      </c>
      <c r="B41" t="str">
        <f>IFERROR(IF(0=LEN(ReferenceData!$B$41),"",ReferenceData!$B$41),"")</f>
        <v>CCP US Equity</v>
      </c>
      <c r="C41" t="str">
        <f>IFERROR(IF(0=LEN(ReferenceData!$C$41),"",ReferenceData!$C$41),"")</f>
        <v>IS010</v>
      </c>
      <c r="D41" t="str">
        <f>IFERROR(IF(0=LEN(ReferenceData!$D$41),"",ReferenceData!$D$41),"")</f>
        <v>SALES_REV_TURN</v>
      </c>
      <c r="E41" t="str">
        <f>IFERROR(IF(0=LEN(ReferenceData!$E$41),"",ReferenceData!$E$41),"")</f>
        <v>动态</v>
      </c>
      <c r="F41" t="str">
        <f ca="1">IFERROR(IF(0=LEN(ReferenceData!$F$41),"",ReferenceData!$F$41),"")</f>
        <v/>
      </c>
      <c r="G41" t="str">
        <f ca="1">IFERROR(IF(0=LEN(ReferenceData!$G$41),"",ReferenceData!$G$41),"")</f>
        <v/>
      </c>
      <c r="H41" t="str">
        <f ca="1">IFERROR(IF(0=LEN(ReferenceData!$H$41),"",ReferenceData!$H$41),"")</f>
        <v/>
      </c>
      <c r="I41">
        <f ca="1">IFERROR(IF(0=LEN(ReferenceData!$I$41),"",ReferenceData!$I$41),"")</f>
        <v>88.805000000000007</v>
      </c>
      <c r="J41">
        <f ca="1">IFERROR(IF(0=LEN(ReferenceData!$J$41),"",ReferenceData!$J$41),"")</f>
        <v>81.715999999999994</v>
      </c>
      <c r="K41">
        <f ca="1">IFERROR(IF(0=LEN(ReferenceData!$K$41),"",ReferenceData!$K$41),"")</f>
        <v>83.11</v>
      </c>
      <c r="L41">
        <f ca="1">IFERROR(IF(0=LEN(ReferenceData!$L$41),"",ReferenceData!$L$41),"")</f>
        <v>87.290999999999997</v>
      </c>
      <c r="M41">
        <f ca="1">IFERROR(IF(0=LEN(ReferenceData!$M$41),"",ReferenceData!$M$41),"")</f>
        <v>85.662000000000006</v>
      </c>
      <c r="N41">
        <f ca="1">IFERROR(IF(0=LEN(ReferenceData!$N$41),"",ReferenceData!$N$41),"")</f>
        <v>84.543000000000006</v>
      </c>
      <c r="O41">
        <f ca="1">IFERROR(IF(0=LEN(ReferenceData!$O$41),"",ReferenceData!$O$41),"")</f>
        <v>87.331000000000003</v>
      </c>
      <c r="P41">
        <f ca="1">IFERROR(IF(0=LEN(ReferenceData!$P$41),"",ReferenceData!$P$41),"")</f>
        <v>82.316999999999993</v>
      </c>
      <c r="Q41">
        <f ca="1">IFERROR(IF(0=LEN(ReferenceData!$Q$41),"",ReferenceData!$Q$41),"")</f>
        <v>79.72</v>
      </c>
      <c r="R41" t="str">
        <f ca="1">IFERROR(IF(0=LEN(ReferenceData!$R$41),"",ReferenceData!$R$41),"")</f>
        <v/>
      </c>
      <c r="S41" t="str">
        <f ca="1">IFERROR(IF(0=LEN(ReferenceData!$S$41),"",ReferenceData!$S$41),"")</f>
        <v/>
      </c>
      <c r="T41" t="str">
        <f ca="1">IFERROR(IF(0=LEN(ReferenceData!$T$41),"",ReferenceData!$T$41),"")</f>
        <v/>
      </c>
      <c r="U41" t="str">
        <f ca="1">IFERROR(IF(0=LEN(ReferenceData!$U$41),"",ReferenceData!$U$41),"")</f>
        <v/>
      </c>
      <c r="V41" t="str">
        <f ca="1">IFERROR(IF(0=LEN(ReferenceData!$V$41),"",ReferenceData!$V$41),"")</f>
        <v/>
      </c>
      <c r="W41" t="str">
        <f ca="1">IFERROR(IF(0=LEN(ReferenceData!$W$41),"",ReferenceData!$W$41),"")</f>
        <v/>
      </c>
      <c r="X41" t="str">
        <f ca="1">IFERROR(IF(0=LEN(ReferenceData!$X$41),"",ReferenceData!$X$41),"")</f>
        <v/>
      </c>
      <c r="Y41" t="str">
        <f ca="1">IFERROR(IF(0=LEN(ReferenceData!$Y$41),"",ReferenceData!$Y$41),"")</f>
        <v/>
      </c>
      <c r="Z41" t="str">
        <f ca="1">IFERROR(IF(0=LEN(ReferenceData!$Z$41),"",ReferenceData!$Z$41),"")</f>
        <v/>
      </c>
      <c r="AA41" t="str">
        <f ca="1">IFERROR(IF(0=LEN(ReferenceData!$AA$41),"",ReferenceData!$AA$41),"")</f>
        <v/>
      </c>
      <c r="AB41" t="str">
        <f ca="1">IFERROR(IF(0=LEN(ReferenceData!$AB$41),"",ReferenceData!$AB$41),"")</f>
        <v/>
      </c>
      <c r="AC41" t="str">
        <f ca="1">IFERROR(IF(0=LEN(ReferenceData!$AC$41),"",ReferenceData!$AC$41),"")</f>
        <v/>
      </c>
      <c r="AD41" t="str">
        <f ca="1">IFERROR(IF(0=LEN(ReferenceData!$AD$41),"",ReferenceData!$AD$41),"")</f>
        <v/>
      </c>
      <c r="AE41" t="str">
        <f ca="1">IFERROR(IF(0=LEN(ReferenceData!$AE$41),"",ReferenceData!$AE$41),"")</f>
        <v/>
      </c>
      <c r="AF41" t="str">
        <f ca="1">IFERROR(IF(0=LEN(ReferenceData!$AF$41),"",ReferenceData!$AF$41),"")</f>
        <v/>
      </c>
      <c r="AG41" t="str">
        <f ca="1">IFERROR(IF(0=LEN(ReferenceData!$AG$41),"",ReferenceData!$AG$41),"")</f>
        <v/>
      </c>
      <c r="AH41" t="str">
        <f ca="1">IFERROR(IF(0=LEN(ReferenceData!$AH$41),"",ReferenceData!$AH$41),"")</f>
        <v/>
      </c>
      <c r="AI41" t="str">
        <f ca="1">IFERROR(IF(0=LEN(ReferenceData!$AI$41),"",ReferenceData!$AI$41),"")</f>
        <v/>
      </c>
      <c r="AJ41" t="str">
        <f ca="1">IFERROR(IF(0=LEN(ReferenceData!$AJ$41),"",ReferenceData!$AJ$41),"")</f>
        <v/>
      </c>
      <c r="AK41" t="str">
        <f ca="1">IFERROR(IF(0=LEN(ReferenceData!$AK$41),"",ReferenceData!$AK$41),"")</f>
        <v/>
      </c>
      <c r="AL41" t="str">
        <f ca="1">IFERROR(IF(0=LEN(ReferenceData!$AL$41),"",ReferenceData!$AL$41),"")</f>
        <v/>
      </c>
      <c r="AM41" t="str">
        <f ca="1">IFERROR(IF(0=LEN(ReferenceData!$AM$41),"",ReferenceData!$AM$41),"")</f>
        <v/>
      </c>
      <c r="AN41" t="str">
        <f ca="1">IFERROR(IF(0=LEN(ReferenceData!$AN$41),"",ReferenceData!$AN$41),"")</f>
        <v/>
      </c>
      <c r="AO41" t="str">
        <f ca="1">IFERROR(IF(0=LEN(ReferenceData!$AO$41),"",ReferenceData!$AO$41),"")</f>
        <v/>
      </c>
      <c r="AP41" t="str">
        <f ca="1">IFERROR(IF(0=LEN(ReferenceData!$AP$41),"",ReferenceData!$AP$41),"")</f>
        <v/>
      </c>
      <c r="AQ41" t="str">
        <f ca="1">IFERROR(IF(0=LEN(ReferenceData!$AQ$41),"",ReferenceData!$AQ$41),"")</f>
        <v/>
      </c>
      <c r="AR41" t="str">
        <f ca="1">IFERROR(IF(0=LEN(ReferenceData!$AR$41),"",ReferenceData!$AR$41),"")</f>
        <v/>
      </c>
      <c r="AS41" t="str">
        <f ca="1">IFERROR(IF(0=LEN(ReferenceData!$AS$41),"",ReferenceData!$AS$41),"")</f>
        <v/>
      </c>
      <c r="AT41" t="str">
        <f ca="1">IFERROR(IF(0=LEN(ReferenceData!$AT$41),"",ReferenceData!$AT$41),"")</f>
        <v/>
      </c>
      <c r="AU41" t="str">
        <f ca="1">IFERROR(IF(0=LEN(ReferenceData!$AU$41),"",ReferenceData!$AU$41),"")</f>
        <v/>
      </c>
      <c r="AV41" t="str">
        <f ca="1">IFERROR(IF(0=LEN(ReferenceData!$AV$41),"",ReferenceData!$AV$41),"")</f>
        <v/>
      </c>
      <c r="AW41" t="str">
        <f ca="1">IFERROR(IF(0=LEN(ReferenceData!$AW$41),"",ReferenceData!$AW$41),"")</f>
        <v/>
      </c>
      <c r="AX41" t="str">
        <f ca="1">IFERROR(IF(0=LEN(ReferenceData!$AX$41),"",ReferenceData!$AX$41),"")</f>
        <v/>
      </c>
      <c r="AY41" t="str">
        <f ca="1">IFERROR(IF(0=LEN(ReferenceData!$AY$41),"",ReferenceData!$AY$41),"")</f>
        <v/>
      </c>
      <c r="AZ41" t="str">
        <f ca="1">IFERROR(IF(0=LEN(ReferenceData!$AZ$41),"",ReferenceData!$AZ$41),"")</f>
        <v/>
      </c>
      <c r="BA41" t="str">
        <f ca="1">IFERROR(IF(0=LEN(ReferenceData!$BA$41),"",ReferenceData!$BA$41),"")</f>
        <v/>
      </c>
      <c r="BB41" t="str">
        <f ca="1">IFERROR(IF(0=LEN(ReferenceData!$BB$41),"",ReferenceData!$BB$41),"")</f>
        <v/>
      </c>
      <c r="BC41" t="str">
        <f ca="1">IFERROR(IF(0=LEN(ReferenceData!$BC$41),"",ReferenceData!$BC$41),"")</f>
        <v/>
      </c>
      <c r="BD41" t="str">
        <f ca="1">IFERROR(IF(0=LEN(ReferenceData!$BD$41),"",ReferenceData!$BD$41),"")</f>
        <v/>
      </c>
      <c r="BE41" t="str">
        <f ca="1">IFERROR(IF(0=LEN(ReferenceData!$BE$41),"",ReferenceData!$BE$41),"")</f>
        <v/>
      </c>
      <c r="BF41" t="str">
        <f ca="1">IFERROR(IF(0=LEN(ReferenceData!$BF$41),"",ReferenceData!$BF$41),"")</f>
        <v/>
      </c>
      <c r="BG41" t="str">
        <f ca="1">IFERROR(IF(0=LEN(ReferenceData!$BG$41),"",ReferenceData!$BG$41),"")</f>
        <v/>
      </c>
      <c r="BH41" t="str">
        <f ca="1">IFERROR(IF(0=LEN(ReferenceData!$BH$41),"",ReferenceData!$BH$41),"")</f>
        <v/>
      </c>
      <c r="BI41" t="str">
        <f ca="1">IFERROR(IF(0=LEN(ReferenceData!$BI$41),"",ReferenceData!$BI$41),"")</f>
        <v/>
      </c>
      <c r="BJ41" t="str">
        <f ca="1">IFERROR(IF(0=LEN(ReferenceData!$BJ$41),"",ReferenceData!$BJ$41),"")</f>
        <v/>
      </c>
      <c r="BK41" t="str">
        <f ca="1">IFERROR(IF(0=LEN(ReferenceData!$BK$41),"",ReferenceData!$BK$41),"")</f>
        <v/>
      </c>
      <c r="BL41" t="str">
        <f ca="1">IFERROR(IF(0=LEN(ReferenceData!$BL$41),"",ReferenceData!$BL$41),"")</f>
        <v/>
      </c>
      <c r="BM41" t="str">
        <f ca="1">IFERROR(IF(0=LEN(ReferenceData!$BM$41),"",ReferenceData!$BM$41),"")</f>
        <v/>
      </c>
    </row>
    <row r="42" spans="1:65">
      <c r="A42" t="str">
        <f>IFERROR(IF(0=LEN(ReferenceData!$A$42),"",ReferenceData!$A$42),"")</f>
        <v xml:space="preserve">    HCP Inc</v>
      </c>
      <c r="B42" t="str">
        <f>IFERROR(IF(0=LEN(ReferenceData!$B$42),"",ReferenceData!$B$42),"")</f>
        <v>HCP US Equity</v>
      </c>
      <c r="C42" t="str">
        <f>IFERROR(IF(0=LEN(ReferenceData!$C$42),"",ReferenceData!$C$42),"")</f>
        <v>IS010</v>
      </c>
      <c r="D42" t="str">
        <f>IFERROR(IF(0=LEN(ReferenceData!$D$42),"",ReferenceData!$D$42),"")</f>
        <v>SALES_REV_TURN</v>
      </c>
      <c r="E42" t="str">
        <f>IFERROR(IF(0=LEN(ReferenceData!$E$42),"",ReferenceData!$E$42),"")</f>
        <v>动态</v>
      </c>
      <c r="F42" t="str">
        <f ca="1">IFERROR(IF(0=LEN(ReferenceData!$F$42),"",ReferenceData!$F$42),"")</f>
        <v/>
      </c>
      <c r="G42">
        <f ca="1">IFERROR(IF(0=LEN(ReferenceData!$G$42),"",ReferenceData!$G$42),"")</f>
        <v>443.25900000000001</v>
      </c>
      <c r="H42">
        <f ca="1">IFERROR(IF(0=LEN(ReferenceData!$H$42),"",ReferenceData!$H$42),"")</f>
        <v>454.02300000000002</v>
      </c>
      <c r="I42">
        <f ca="1">IFERROR(IF(0=LEN(ReferenceData!$I$42),"",ReferenceData!$I$42),"")</f>
        <v>458.928</v>
      </c>
      <c r="J42">
        <f ca="1">IFERROR(IF(0=LEN(ReferenceData!$J$42),"",ReferenceData!$J$42),"")</f>
        <v>492.16800000000001</v>
      </c>
      <c r="K42">
        <f ca="1">IFERROR(IF(0=LEN(ReferenceData!$K$42),"",ReferenceData!$K$42),"")</f>
        <v>539.95000000000005</v>
      </c>
      <c r="L42">
        <f ca="1">IFERROR(IF(0=LEN(ReferenceData!$L$42),"",ReferenceData!$L$42),"")</f>
        <v>654.27</v>
      </c>
      <c r="M42">
        <f ca="1">IFERROR(IF(0=LEN(ReferenceData!$M$42),"",ReferenceData!$M$42),"")</f>
        <v>662.17600000000004</v>
      </c>
      <c r="N42">
        <f ca="1">IFERROR(IF(0=LEN(ReferenceData!$N$42),"",ReferenceData!$N$42),"")</f>
        <v>640.78200000000004</v>
      </c>
      <c r="O42">
        <f ca="1">IFERROR(IF(0=LEN(ReferenceData!$O$42),"",ReferenceData!$O$42),"")</f>
        <v>520.32500000000005</v>
      </c>
      <c r="P42">
        <f ca="1">IFERROR(IF(0=LEN(ReferenceData!$P$42),"",ReferenceData!$P$42),"")</f>
        <v>657.49900000000002</v>
      </c>
      <c r="Q42">
        <f ca="1">IFERROR(IF(0=LEN(ReferenceData!$Q$42),"",ReferenceData!$Q$42),"")</f>
        <v>607.53200000000004</v>
      </c>
      <c r="R42">
        <f ca="1">IFERROR(IF(0=LEN(ReferenceData!$R$42),"",ReferenceData!$R$42),"")</f>
        <v>610.79100000000005</v>
      </c>
      <c r="S42">
        <f ca="1">IFERROR(IF(0=LEN(ReferenceData!$S$42),"",ReferenceData!$S$42),"")</f>
        <v>603.52800000000002</v>
      </c>
      <c r="T42">
        <f ca="1">IFERROR(IF(0=LEN(ReferenceData!$T$42),"",ReferenceData!$T$42),"")</f>
        <v>596.63800000000003</v>
      </c>
      <c r="U42">
        <f ca="1">IFERROR(IF(0=LEN(ReferenceData!$U$42),"",ReferenceData!$U$42),"")</f>
        <v>536.12099999999998</v>
      </c>
      <c r="V42">
        <f ca="1">IFERROR(IF(0=LEN(ReferenceData!$V$42),"",ReferenceData!$V$42),"")</f>
        <v>529.99199999999996</v>
      </c>
      <c r="W42">
        <f ca="1">IFERROR(IF(0=LEN(ReferenceData!$W$42),"",ReferenceData!$W$42),"")</f>
        <v>530.29700000000003</v>
      </c>
      <c r="X42">
        <f ca="1">IFERROR(IF(0=LEN(ReferenceData!$X$42),"",ReferenceData!$X$42),"")</f>
        <v>546.15700000000004</v>
      </c>
      <c r="Y42">
        <f ca="1">IFERROR(IF(0=LEN(ReferenceData!$Y$42),"",ReferenceData!$Y$42),"")</f>
        <v>512.23900000000003</v>
      </c>
      <c r="Z42">
        <f ca="1">IFERROR(IF(0=LEN(ReferenceData!$Z$42),"",ReferenceData!$Z$42),"")</f>
        <v>511.18599999999998</v>
      </c>
      <c r="AA42">
        <f ca="1">IFERROR(IF(0=LEN(ReferenceData!$AA$42),"",ReferenceData!$AA$42),"")</f>
        <v>503.233</v>
      </c>
      <c r="AB42">
        <f ca="1">IFERROR(IF(0=LEN(ReferenceData!$AB$42),"",ReferenceData!$AB$42),"")</f>
        <v>468.06599999999997</v>
      </c>
      <c r="AC42">
        <f ca="1">IFERROR(IF(0=LEN(ReferenceData!$AC$42),"",ReferenceData!$AC$42),"")</f>
        <v>464.43900000000002</v>
      </c>
      <c r="AD42">
        <f ca="1">IFERROR(IF(0=LEN(ReferenceData!$AD$42),"",ReferenceData!$AD$42),"")</f>
        <v>455.827</v>
      </c>
      <c r="AE42">
        <f ca="1">IFERROR(IF(0=LEN(ReferenceData!$AE$42),"",ReferenceData!$AE$42),"")</f>
        <v>458.28100000000001</v>
      </c>
      <c r="AF42">
        <f ca="1">IFERROR(IF(0=LEN(ReferenceData!$AF$42),"",ReferenceData!$AF$42),"")</f>
        <v>441.22899999999998</v>
      </c>
      <c r="AG42">
        <f ca="1">IFERROR(IF(0=LEN(ReferenceData!$AG$42),"",ReferenceData!$AG$42),"")</f>
        <v>488.125</v>
      </c>
      <c r="AH42">
        <f ca="1">IFERROR(IF(0=LEN(ReferenceData!$AH$42),"",ReferenceData!$AH$42),"")</f>
        <v>331.12799999999999</v>
      </c>
      <c r="AI42">
        <f ca="1">IFERROR(IF(0=LEN(ReferenceData!$AI$42),"",ReferenceData!$AI$42),"")</f>
        <v>340.96600000000001</v>
      </c>
      <c r="AJ42">
        <f ca="1">IFERROR(IF(0=LEN(ReferenceData!$AJ$42),"",ReferenceData!$AJ$42),"")</f>
        <v>317.04899999999998</v>
      </c>
      <c r="AK42">
        <f ca="1">IFERROR(IF(0=LEN(ReferenceData!$AK$42),"",ReferenceData!$AK$42),"")</f>
        <v>301.87700000000001</v>
      </c>
      <c r="AL42">
        <f ca="1">IFERROR(IF(0=LEN(ReferenceData!$AL$42),"",ReferenceData!$AL$42),"")</f>
        <v>294.82</v>
      </c>
      <c r="AM42">
        <f ca="1">IFERROR(IF(0=LEN(ReferenceData!$AM$42),"",ReferenceData!$AM$42),"")</f>
        <v>294.46699999999998</v>
      </c>
      <c r="AN42">
        <f ca="1">IFERROR(IF(0=LEN(ReferenceData!$AN$42),"",ReferenceData!$AN$42),"")</f>
        <v>287.06799999999998</v>
      </c>
      <c r="AO42">
        <f ca="1">IFERROR(IF(0=LEN(ReferenceData!$AO$42),"",ReferenceData!$AO$42),"")</f>
        <v>292.48899999999998</v>
      </c>
      <c r="AP42">
        <f ca="1">IFERROR(IF(0=LEN(ReferenceData!$AP$42),"",ReferenceData!$AP$42),"")</f>
        <v>277.01</v>
      </c>
      <c r="AQ42">
        <f ca="1">IFERROR(IF(0=LEN(ReferenceData!$AQ$42),"",ReferenceData!$AQ$42),"")</f>
        <v>294.94600000000003</v>
      </c>
      <c r="AR42">
        <f ca="1">IFERROR(IF(0=LEN(ReferenceData!$AR$42),"",ReferenceData!$AR$42),"")</f>
        <v>267.85199999999998</v>
      </c>
      <c r="AS42">
        <f ca="1">IFERROR(IF(0=LEN(ReferenceData!$AS$42),"",ReferenceData!$AS$42),"")</f>
        <v>248.77500000000001</v>
      </c>
      <c r="AT42">
        <f ca="1">IFERROR(IF(0=LEN(ReferenceData!$AT$42),"",ReferenceData!$AT$42),"")</f>
        <v>244.79300000000001</v>
      </c>
      <c r="AU42">
        <f ca="1">IFERROR(IF(0=LEN(ReferenceData!$AU$42),"",ReferenceData!$AU$42),"")</f>
        <v>254.28100000000001</v>
      </c>
      <c r="AV42">
        <f ca="1">IFERROR(IF(0=LEN(ReferenceData!$AV$42),"",ReferenceData!$AV$42),"")</f>
        <v>243.57900000000001</v>
      </c>
      <c r="AW42">
        <f ca="1">IFERROR(IF(0=LEN(ReferenceData!$AW$42),"",ReferenceData!$AW$42),"")</f>
        <v>206.846</v>
      </c>
      <c r="AX42">
        <f ca="1">IFERROR(IF(0=LEN(ReferenceData!$AX$42),"",ReferenceData!$AX$42),"")</f>
        <v>213.64400000000001</v>
      </c>
      <c r="AY42">
        <f ca="1">IFERROR(IF(0=LEN(ReferenceData!$AY$42),"",ReferenceData!$AY$42),"")</f>
        <v>177.96</v>
      </c>
      <c r="AZ42">
        <f ca="1">IFERROR(IF(0=LEN(ReferenceData!$AZ$42),"",ReferenceData!$AZ$42),"")</f>
        <v>119.815</v>
      </c>
      <c r="BA42">
        <f ca="1">IFERROR(IF(0=LEN(ReferenceData!$BA$42),"",ReferenceData!$BA$42),"")</f>
        <v>116.232</v>
      </c>
      <c r="BB42">
        <f ca="1">IFERROR(IF(0=LEN(ReferenceData!$BB$42),"",ReferenceData!$BB$42),"")</f>
        <v>120.884</v>
      </c>
      <c r="BC42">
        <f ca="1">IFERROR(IF(0=LEN(ReferenceData!$BC$42),"",ReferenceData!$BC$42),"")</f>
        <v>79.882000000000005</v>
      </c>
      <c r="BD42">
        <f ca="1">IFERROR(IF(0=LEN(ReferenceData!$BD$42),"",ReferenceData!$BD$42),"")</f>
        <v>119.755</v>
      </c>
      <c r="BE42">
        <f ca="1">IFERROR(IF(0=LEN(ReferenceData!$BE$42),"",ReferenceData!$BE$42),"")</f>
        <v>116.23699999999999</v>
      </c>
      <c r="BF42">
        <f ca="1">IFERROR(IF(0=LEN(ReferenceData!$BF$42),"",ReferenceData!$BF$42),"")</f>
        <v>107.036</v>
      </c>
      <c r="BG42">
        <f ca="1">IFERROR(IF(0=LEN(ReferenceData!$BG$42),"",ReferenceData!$BG$42),"")</f>
        <v>102.518</v>
      </c>
      <c r="BH42">
        <f ca="1">IFERROR(IF(0=LEN(ReferenceData!$BH$42),"",ReferenceData!$BH$42),"")</f>
        <v>111.685</v>
      </c>
      <c r="BI42">
        <f ca="1">IFERROR(IF(0=LEN(ReferenceData!$BI$42),"",ReferenceData!$BI$42),"")</f>
        <v>107.18600000000001</v>
      </c>
      <c r="BJ42">
        <f ca="1">IFERROR(IF(0=LEN(ReferenceData!$BJ$42),"",ReferenceData!$BJ$42),"")</f>
        <v>87.700999999999993</v>
      </c>
      <c r="BK42">
        <f ca="1">IFERROR(IF(0=LEN(ReferenceData!$BK$42),"",ReferenceData!$BK$42),"")</f>
        <v>107.76</v>
      </c>
      <c r="BL42">
        <f ca="1">IFERROR(IF(0=LEN(ReferenceData!$BL$42),"",ReferenceData!$BL$42),"")</f>
        <v>96.573999999999998</v>
      </c>
      <c r="BM42">
        <f ca="1">IFERROR(IF(0=LEN(ReferenceData!$BM$42),"",ReferenceData!$BM$42),"")</f>
        <v>92.417000000000002</v>
      </c>
    </row>
    <row r="43" spans="1:65">
      <c r="A43" t="str">
        <f>IFERROR(IF(0=LEN(ReferenceData!$A$43),"",ReferenceData!$A$43),"")</f>
        <v xml:space="preserve">    Healthcare Realty Trust Inc</v>
      </c>
      <c r="B43" t="str">
        <f>IFERROR(IF(0=LEN(ReferenceData!$B$43),"",ReferenceData!$B$43),"")</f>
        <v>HR US Equity</v>
      </c>
      <c r="C43" t="str">
        <f>IFERROR(IF(0=LEN(ReferenceData!$C$43),"",ReferenceData!$C$43),"")</f>
        <v>IS010</v>
      </c>
      <c r="D43" t="str">
        <f>IFERROR(IF(0=LEN(ReferenceData!$D$43),"",ReferenceData!$D$43),"")</f>
        <v>SALES_REV_TURN</v>
      </c>
      <c r="E43" t="str">
        <f>IFERROR(IF(0=LEN(ReferenceData!$E$43),"",ReferenceData!$E$43),"")</f>
        <v>动态</v>
      </c>
      <c r="F43" t="str">
        <f ca="1">IFERROR(IF(0=LEN(ReferenceData!$F$43),"",ReferenceData!$F$43),"")</f>
        <v/>
      </c>
      <c r="G43">
        <f ca="1">IFERROR(IF(0=LEN(ReferenceData!$G$43),"",ReferenceData!$G$43),"")</f>
        <v>107.73099999999999</v>
      </c>
      <c r="H43">
        <f ca="1">IFERROR(IF(0=LEN(ReferenceData!$H$43),"",ReferenceData!$H$43),"")</f>
        <v>106.953</v>
      </c>
      <c r="I43">
        <f ca="1">IFERROR(IF(0=LEN(ReferenceData!$I$43),"",ReferenceData!$I$43),"")</f>
        <v>105.245</v>
      </c>
      <c r="J43">
        <f ca="1">IFERROR(IF(0=LEN(ReferenceData!$J$43),"",ReferenceData!$J$43),"")</f>
        <v>104.569</v>
      </c>
      <c r="K43">
        <f ca="1">IFERROR(IF(0=LEN(ReferenceData!$K$43),"",ReferenceData!$K$43),"")</f>
        <v>105.309</v>
      </c>
      <c r="L43">
        <f ca="1">IFERROR(IF(0=LEN(ReferenceData!$L$43),"",ReferenceData!$L$43),"")</f>
        <v>103.65900000000001</v>
      </c>
      <c r="M43">
        <f ca="1">IFERROR(IF(0=LEN(ReferenceData!$M$43),"",ReferenceData!$M$43),"")</f>
        <v>102.642</v>
      </c>
      <c r="N43">
        <f ca="1">IFERROR(IF(0=LEN(ReferenceData!$N$43),"",ReferenceData!$N$43),"")</f>
        <v>100.021</v>
      </c>
      <c r="O43">
        <f ca="1">IFERROR(IF(0=LEN(ReferenceData!$O$43),"",ReferenceData!$O$43),"")</f>
        <v>98.581999999999994</v>
      </c>
      <c r="P43">
        <f ca="1">IFERROR(IF(0=LEN(ReferenceData!$P$43),"",ReferenceData!$P$43),"")</f>
        <v>96.724999999999994</v>
      </c>
      <c r="Q43">
        <f ca="1">IFERROR(IF(0=LEN(ReferenceData!$Q$43),"",ReferenceData!$Q$43),"")</f>
        <v>96.707999999999998</v>
      </c>
      <c r="R43">
        <f ca="1">IFERROR(IF(0=LEN(ReferenceData!$R$43),"",ReferenceData!$R$43),"")</f>
        <v>96.456000000000003</v>
      </c>
      <c r="S43">
        <f ca="1">IFERROR(IF(0=LEN(ReferenceData!$S$43),"",ReferenceData!$S$43),"")</f>
        <v>95</v>
      </c>
      <c r="T43">
        <f ca="1">IFERROR(IF(0=LEN(ReferenceData!$T$43),"",ReferenceData!$T$43),"")</f>
        <v>93.613</v>
      </c>
      <c r="U43">
        <f ca="1">IFERROR(IF(0=LEN(ReferenceData!$U$43),"",ReferenceData!$U$43),"")</f>
        <v>91.671000000000006</v>
      </c>
      <c r="V43">
        <f ca="1">IFERROR(IF(0=LEN(ReferenceData!$V$43),"",ReferenceData!$V$43),"")</f>
        <v>90.570999999999998</v>
      </c>
      <c r="W43">
        <f ca="1">IFERROR(IF(0=LEN(ReferenceData!$W$43),"",ReferenceData!$W$43),"")</f>
        <v>88.622</v>
      </c>
      <c r="X43">
        <f ca="1">IFERROR(IF(0=LEN(ReferenceData!$X$43),"",ReferenceData!$X$43),"")</f>
        <v>83.665999999999997</v>
      </c>
      <c r="Y43">
        <f ca="1">IFERROR(IF(0=LEN(ReferenceData!$Y$43),"",ReferenceData!$Y$43),"")</f>
        <v>84.054000000000002</v>
      </c>
      <c r="Z43">
        <f ca="1">IFERROR(IF(0=LEN(ReferenceData!$Z$43),"",ReferenceData!$Z$43),"")</f>
        <v>80.272999999999996</v>
      </c>
      <c r="AA43">
        <f ca="1">IFERROR(IF(0=LEN(ReferenceData!$AA$43),"",ReferenceData!$AA$43),"")</f>
        <v>78.25</v>
      </c>
      <c r="AB43">
        <f ca="1">IFERROR(IF(0=LEN(ReferenceData!$AB$43),"",ReferenceData!$AB$43),"")</f>
        <v>76.936999999999998</v>
      </c>
      <c r="AC43">
        <f ca="1">IFERROR(IF(0=LEN(ReferenceData!$AC$43),"",ReferenceData!$AC$43),"")</f>
        <v>77.593000000000004</v>
      </c>
      <c r="AD43">
        <f ca="1">IFERROR(IF(0=LEN(ReferenceData!$AD$43),"",ReferenceData!$AD$43),"")</f>
        <v>76.165000000000006</v>
      </c>
      <c r="AE43">
        <f ca="1">IFERROR(IF(0=LEN(ReferenceData!$AE$43),"",ReferenceData!$AE$43),"")</f>
        <v>75.259</v>
      </c>
      <c r="AF43">
        <f ca="1">IFERROR(IF(0=LEN(ReferenceData!$AF$43),"",ReferenceData!$AF$43),"")</f>
        <v>73.840999999999994</v>
      </c>
      <c r="AG43">
        <f ca="1">IFERROR(IF(0=LEN(ReferenceData!$AG$43),"",ReferenceData!$AG$43),"")</f>
        <v>71.727000000000004</v>
      </c>
      <c r="AH43">
        <f ca="1">IFERROR(IF(0=LEN(ReferenceData!$AH$43),"",ReferenceData!$AH$43),"")</f>
        <v>72.004000000000005</v>
      </c>
      <c r="AI43">
        <f ca="1">IFERROR(IF(0=LEN(ReferenceData!$AI$43),"",ReferenceData!$AI$43),"")</f>
        <v>66.376000000000005</v>
      </c>
      <c r="AJ43">
        <f ca="1">IFERROR(IF(0=LEN(ReferenceData!$AJ$43),"",ReferenceData!$AJ$43),"")</f>
        <v>64.387</v>
      </c>
      <c r="AK43">
        <f ca="1">IFERROR(IF(0=LEN(ReferenceData!$AK$43),"",ReferenceData!$AK$43),"")</f>
        <v>63.935000000000002</v>
      </c>
      <c r="AL43">
        <f ca="1">IFERROR(IF(0=LEN(ReferenceData!$AL$43),"",ReferenceData!$AL$43),"")</f>
        <v>62.997</v>
      </c>
      <c r="AM43">
        <f ca="1">IFERROR(IF(0=LEN(ReferenceData!$AM$43),"",ReferenceData!$AM$43),"")</f>
        <v>62.125999999999998</v>
      </c>
      <c r="AN43">
        <f ca="1">IFERROR(IF(0=LEN(ReferenceData!$AN$43),"",ReferenceData!$AN$43),"")</f>
        <v>62.329000000000001</v>
      </c>
      <c r="AO43">
        <f ca="1">IFERROR(IF(0=LEN(ReferenceData!$AO$43),"",ReferenceData!$AO$43),"")</f>
        <v>64.218000000000004</v>
      </c>
      <c r="AP43">
        <f ca="1">IFERROR(IF(0=LEN(ReferenceData!$AP$43),"",ReferenceData!$AP$43),"")</f>
        <v>62.093000000000004</v>
      </c>
      <c r="AQ43">
        <f ca="1">IFERROR(IF(0=LEN(ReferenceData!$AQ$43),"",ReferenceData!$AQ$43),"")</f>
        <v>54.414000000000001</v>
      </c>
      <c r="AR43">
        <f ca="1">IFERROR(IF(0=LEN(ReferenceData!$AR$43),"",ReferenceData!$AR$43),"")</f>
        <v>54.673999999999999</v>
      </c>
      <c r="AS43">
        <f ca="1">IFERROR(IF(0=LEN(ReferenceData!$AS$43),"",ReferenceData!$AS$43),"")</f>
        <v>52.640999999999998</v>
      </c>
      <c r="AT43">
        <f ca="1">IFERROR(IF(0=LEN(ReferenceData!$AT$43),"",ReferenceData!$AT$43),"")</f>
        <v>52.201999999999998</v>
      </c>
      <c r="AU43">
        <f ca="1">IFERROR(IF(0=LEN(ReferenceData!$AU$43),"",ReferenceData!$AU$43),"")</f>
        <v>42.744999999999997</v>
      </c>
      <c r="AV43">
        <f ca="1">IFERROR(IF(0=LEN(ReferenceData!$AV$43),"",ReferenceData!$AV$43),"")</f>
        <v>50.470999999999997</v>
      </c>
      <c r="AW43">
        <f ca="1">IFERROR(IF(0=LEN(ReferenceData!$AW$43),"",ReferenceData!$AW$43),"")</f>
        <v>51.514000000000003</v>
      </c>
      <c r="AX43">
        <f ca="1">IFERROR(IF(0=LEN(ReferenceData!$AX$43),"",ReferenceData!$AX$43),"")</f>
        <v>52.640999999999998</v>
      </c>
      <c r="AY43">
        <f ca="1">IFERROR(IF(0=LEN(ReferenceData!$AY$43),"",ReferenceData!$AY$43),"")</f>
        <v>52.610999999999997</v>
      </c>
      <c r="AZ43">
        <f ca="1">IFERROR(IF(0=LEN(ReferenceData!$AZ$43),"",ReferenceData!$AZ$43),"")</f>
        <v>54.287999999999997</v>
      </c>
      <c r="BA43">
        <f ca="1">IFERROR(IF(0=LEN(ReferenceData!$BA$43),"",ReferenceData!$BA$43),"")</f>
        <v>54.662999999999997</v>
      </c>
      <c r="BB43">
        <f ca="1">IFERROR(IF(0=LEN(ReferenceData!$BB$43),"",ReferenceData!$BB$43),"")</f>
        <v>51.853999999999999</v>
      </c>
      <c r="BC43">
        <f ca="1">IFERROR(IF(0=LEN(ReferenceData!$BC$43),"",ReferenceData!$BC$43),"")</f>
        <v>66.221999999999994</v>
      </c>
      <c r="BD43">
        <f ca="1">IFERROR(IF(0=LEN(ReferenceData!$BD$43),"",ReferenceData!$BD$43),"")</f>
        <v>65.676000000000002</v>
      </c>
      <c r="BE43">
        <f ca="1">IFERROR(IF(0=LEN(ReferenceData!$BE$43),"",ReferenceData!$BE$43),"")</f>
        <v>59.963000000000001</v>
      </c>
      <c r="BF43">
        <f ca="1">IFERROR(IF(0=LEN(ReferenceData!$BF$43),"",ReferenceData!$BF$43),"")</f>
        <v>59.911000000000001</v>
      </c>
      <c r="BG43">
        <f ca="1">IFERROR(IF(0=LEN(ReferenceData!$BG$43),"",ReferenceData!$BG$43),"")</f>
        <v>65.272000000000006</v>
      </c>
      <c r="BH43">
        <f ca="1">IFERROR(IF(0=LEN(ReferenceData!$BH$43),"",ReferenceData!$BH$43),"")</f>
        <v>59.783999999999999</v>
      </c>
      <c r="BI43">
        <f ca="1">IFERROR(IF(0=LEN(ReferenceData!$BI$43),"",ReferenceData!$BI$43),"")</f>
        <v>55.944000000000003</v>
      </c>
      <c r="BJ43">
        <f ca="1">IFERROR(IF(0=LEN(ReferenceData!$BJ$43),"",ReferenceData!$BJ$43),"")</f>
        <v>48.793999999999997</v>
      </c>
      <c r="BK43">
        <f ca="1">IFERROR(IF(0=LEN(ReferenceData!$BK$43),"",ReferenceData!$BK$43),"")</f>
        <v>39.287999999999997</v>
      </c>
      <c r="BL43">
        <f ca="1">IFERROR(IF(0=LEN(ReferenceData!$BL$43),"",ReferenceData!$BL$43),"")</f>
        <v>48.076000209999997</v>
      </c>
      <c r="BM43">
        <f ca="1">IFERROR(IF(0=LEN(ReferenceData!$BM$43),"",ReferenceData!$BM$43),"")</f>
        <v>46.974998470000003</v>
      </c>
    </row>
    <row r="44" spans="1:65">
      <c r="A44" t="str">
        <f>IFERROR(IF(0=LEN(ReferenceData!$A$44),"",ReferenceData!$A$44),"")</f>
        <v xml:space="preserve">    Healthcare Trust of America In</v>
      </c>
      <c r="B44" t="str">
        <f>IFERROR(IF(0=LEN(ReferenceData!$B$44),"",ReferenceData!$B$44),"")</f>
        <v>HTA US Equity</v>
      </c>
      <c r="C44" t="str">
        <f>IFERROR(IF(0=LEN(ReferenceData!$C$44),"",ReferenceData!$C$44),"")</f>
        <v>IS010</v>
      </c>
      <c r="D44" t="str">
        <f>IFERROR(IF(0=LEN(ReferenceData!$D$44),"",ReferenceData!$D$44),"")</f>
        <v>SALES_REV_TURN</v>
      </c>
      <c r="E44" t="str">
        <f>IFERROR(IF(0=LEN(ReferenceData!$E$44),"",ReferenceData!$E$44),"")</f>
        <v>动态</v>
      </c>
      <c r="F44" t="str">
        <f ca="1">IFERROR(IF(0=LEN(ReferenceData!$F$44),"",ReferenceData!$F$44),"")</f>
        <v/>
      </c>
      <c r="G44">
        <f ca="1">IFERROR(IF(0=LEN(ReferenceData!$G$44),"",ReferenceData!$G$44),"")</f>
        <v>173.77</v>
      </c>
      <c r="H44">
        <f ca="1">IFERROR(IF(0=LEN(ReferenceData!$H$44),"",ReferenceData!$H$44),"")</f>
        <v>175.994</v>
      </c>
      <c r="I44">
        <f ca="1">IFERROR(IF(0=LEN(ReferenceData!$I$44),"",ReferenceData!$I$44),"")</f>
        <v>139.87899999999999</v>
      </c>
      <c r="J44">
        <f ca="1">IFERROR(IF(0=LEN(ReferenceData!$J$44),"",ReferenceData!$J$44),"")</f>
        <v>124.34699999999999</v>
      </c>
      <c r="K44">
        <f ca="1">IFERROR(IF(0=LEN(ReferenceData!$K$44),"",ReferenceData!$K$44),"")</f>
        <v>122.039</v>
      </c>
      <c r="L44">
        <f ca="1">IFERROR(IF(0=LEN(ReferenceData!$L$44),"",ReferenceData!$L$44),"")</f>
        <v>118.34</v>
      </c>
      <c r="M44">
        <f ca="1">IFERROR(IF(0=LEN(ReferenceData!$M$44),"",ReferenceData!$M$44),"")</f>
        <v>113.23399999999999</v>
      </c>
      <c r="N44">
        <f ca="1">IFERROR(IF(0=LEN(ReferenceData!$N$44),"",ReferenceData!$N$44),"")</f>
        <v>107.315</v>
      </c>
      <c r="O44">
        <f ca="1">IFERROR(IF(0=LEN(ReferenceData!$O$44),"",ReferenceData!$O$44),"")</f>
        <v>102.04900000000001</v>
      </c>
      <c r="P44">
        <f ca="1">IFERROR(IF(0=LEN(ReferenceData!$P$44),"",ReferenceData!$P$44),"")</f>
        <v>103.94199999999999</v>
      </c>
      <c r="Q44">
        <f ca="1">IFERROR(IF(0=LEN(ReferenceData!$Q$44),"",ReferenceData!$Q$44),"")</f>
        <v>99.311000000000007</v>
      </c>
      <c r="R44">
        <f ca="1">IFERROR(IF(0=LEN(ReferenceData!$R$44),"",ReferenceData!$R$44),"")</f>
        <v>98.52</v>
      </c>
      <c r="S44">
        <f ca="1">IFERROR(IF(0=LEN(ReferenceData!$S$44),"",ReferenceData!$S$44),"")</f>
        <v>94.995999999999995</v>
      </c>
      <c r="T44">
        <f ca="1">IFERROR(IF(0=LEN(ReferenceData!$T$44),"",ReferenceData!$T$44),"")</f>
        <v>95.534000000000006</v>
      </c>
      <c r="U44">
        <f ca="1">IFERROR(IF(0=LEN(ReferenceData!$U$44),"",ReferenceData!$U$44),"")</f>
        <v>89.671000000000006</v>
      </c>
      <c r="V44">
        <f ca="1">IFERROR(IF(0=LEN(ReferenceData!$V$44),"",ReferenceData!$V$44),"")</f>
        <v>91.304000000000002</v>
      </c>
      <c r="W44">
        <f ca="1">IFERROR(IF(0=LEN(ReferenceData!$W$44),"",ReferenceData!$W$44),"")</f>
        <v>84.132000000000005</v>
      </c>
      <c r="X44">
        <f ca="1">IFERROR(IF(0=LEN(ReferenceData!$X$44),"",ReferenceData!$X$44),"")</f>
        <v>82.540999999999997</v>
      </c>
      <c r="Y44">
        <f ca="1">IFERROR(IF(0=LEN(ReferenceData!$Y$44),"",ReferenceData!$Y$44),"")</f>
        <v>77.623999999999995</v>
      </c>
      <c r="Z44">
        <f ca="1">IFERROR(IF(0=LEN(ReferenceData!$Z$44),"",ReferenceData!$Z$44),"")</f>
        <v>76.861000000000004</v>
      </c>
      <c r="AA44">
        <f ca="1">IFERROR(IF(0=LEN(ReferenceData!$AA$44),"",ReferenceData!$AA$44),"")</f>
        <v>73.474999999999994</v>
      </c>
      <c r="AB44">
        <f ca="1">IFERROR(IF(0=LEN(ReferenceData!$AB$44),"",ReferenceData!$AB$44),"")</f>
        <v>77.531999999999996</v>
      </c>
      <c r="AC44">
        <f ca="1">IFERROR(IF(0=LEN(ReferenceData!$AC$44),"",ReferenceData!$AC$44),"")</f>
        <v>75.697000000000003</v>
      </c>
      <c r="AD44">
        <f ca="1">IFERROR(IF(0=LEN(ReferenceData!$AD$44),"",ReferenceData!$AD$44),"")</f>
        <v>70.676000000000002</v>
      </c>
      <c r="AE44">
        <f ca="1">IFERROR(IF(0=LEN(ReferenceData!$AE$44),"",ReferenceData!$AE$44),"")</f>
        <v>65.531999999999996</v>
      </c>
      <c r="AF44">
        <f ca="1">IFERROR(IF(0=LEN(ReferenceData!$AF$44),"",ReferenceData!$AF$44),"")</f>
        <v>69.94</v>
      </c>
      <c r="AG44">
        <f ca="1">IFERROR(IF(0=LEN(ReferenceData!$AG$44),"",ReferenceData!$AG$44),"")</f>
        <v>68.073999999999998</v>
      </c>
      <c r="AH44">
        <f ca="1">IFERROR(IF(0=LEN(ReferenceData!$AH$44),"",ReferenceData!$AH$44),"")</f>
        <v>70.891999999999996</v>
      </c>
      <c r="AI44">
        <f ca="1">IFERROR(IF(0=LEN(ReferenceData!$AI$44),"",ReferenceData!$AI$44),"")</f>
        <v>59.16</v>
      </c>
      <c r="AJ44">
        <f ca="1">IFERROR(IF(0=LEN(ReferenceData!$AJ$44),"",ReferenceData!$AJ$44),"")</f>
        <v>52.496000000000002</v>
      </c>
      <c r="AK44">
        <f ca="1">IFERROR(IF(0=LEN(ReferenceData!$AK$44),"",ReferenceData!$AK$44),"")</f>
        <v>46.521999999999998</v>
      </c>
      <c r="AL44">
        <f ca="1">IFERROR(IF(0=LEN(ReferenceData!$AL$44),"",ReferenceData!$AL$44),"")</f>
        <v>44.948</v>
      </c>
      <c r="AM44" t="str">
        <f ca="1">IFERROR(IF(0=LEN(ReferenceData!$AM$44),"",ReferenceData!$AM$44),"")</f>
        <v/>
      </c>
      <c r="AN44" t="str">
        <f ca="1">IFERROR(IF(0=LEN(ReferenceData!$AN$44),"",ReferenceData!$AN$44),"")</f>
        <v/>
      </c>
      <c r="AO44" t="str">
        <f ca="1">IFERROR(IF(0=LEN(ReferenceData!$AO$44),"",ReferenceData!$AO$44),"")</f>
        <v/>
      </c>
      <c r="AP44" t="str">
        <f ca="1">IFERROR(IF(0=LEN(ReferenceData!$AP$44),"",ReferenceData!$AP$44),"")</f>
        <v/>
      </c>
      <c r="AQ44" t="str">
        <f ca="1">IFERROR(IF(0=LEN(ReferenceData!$AQ$44),"",ReferenceData!$AQ$44),"")</f>
        <v/>
      </c>
      <c r="AR44" t="str">
        <f ca="1">IFERROR(IF(0=LEN(ReferenceData!$AR$44),"",ReferenceData!$AR$44),"")</f>
        <v/>
      </c>
      <c r="AS44" t="str">
        <f ca="1">IFERROR(IF(0=LEN(ReferenceData!$AS$44),"",ReferenceData!$AS$44),"")</f>
        <v/>
      </c>
      <c r="AT44" t="str">
        <f ca="1">IFERROR(IF(0=LEN(ReferenceData!$AT$44),"",ReferenceData!$AT$44),"")</f>
        <v/>
      </c>
      <c r="AU44" t="str">
        <f ca="1">IFERROR(IF(0=LEN(ReferenceData!$AU$44),"",ReferenceData!$AU$44),"")</f>
        <v/>
      </c>
      <c r="AV44" t="str">
        <f ca="1">IFERROR(IF(0=LEN(ReferenceData!$AV$44),"",ReferenceData!$AV$44),"")</f>
        <v/>
      </c>
      <c r="AW44" t="str">
        <f ca="1">IFERROR(IF(0=LEN(ReferenceData!$AW$44),"",ReferenceData!$AW$44),"")</f>
        <v/>
      </c>
      <c r="AX44" t="str">
        <f ca="1">IFERROR(IF(0=LEN(ReferenceData!$AX$44),"",ReferenceData!$AX$44),"")</f>
        <v/>
      </c>
      <c r="AY44" t="str">
        <f ca="1">IFERROR(IF(0=LEN(ReferenceData!$AY$44),"",ReferenceData!$AY$44),"")</f>
        <v/>
      </c>
      <c r="AZ44" t="str">
        <f ca="1">IFERROR(IF(0=LEN(ReferenceData!$AZ$44),"",ReferenceData!$AZ$44),"")</f>
        <v/>
      </c>
      <c r="BA44" t="str">
        <f ca="1">IFERROR(IF(0=LEN(ReferenceData!$BA$44),"",ReferenceData!$BA$44),"")</f>
        <v/>
      </c>
      <c r="BB44" t="str">
        <f ca="1">IFERROR(IF(0=LEN(ReferenceData!$BB$44),"",ReferenceData!$BB$44),"")</f>
        <v/>
      </c>
      <c r="BC44" t="str">
        <f ca="1">IFERROR(IF(0=LEN(ReferenceData!$BC$44),"",ReferenceData!$BC$44),"")</f>
        <v/>
      </c>
      <c r="BD44" t="str">
        <f ca="1">IFERROR(IF(0=LEN(ReferenceData!$BD$44),"",ReferenceData!$BD$44),"")</f>
        <v/>
      </c>
      <c r="BE44" t="str">
        <f ca="1">IFERROR(IF(0=LEN(ReferenceData!$BE$44),"",ReferenceData!$BE$44),"")</f>
        <v/>
      </c>
      <c r="BF44" t="str">
        <f ca="1">IFERROR(IF(0=LEN(ReferenceData!$BF$44),"",ReferenceData!$BF$44),"")</f>
        <v/>
      </c>
      <c r="BG44" t="str">
        <f ca="1">IFERROR(IF(0=LEN(ReferenceData!$BG$44),"",ReferenceData!$BG$44),"")</f>
        <v/>
      </c>
      <c r="BH44" t="str">
        <f ca="1">IFERROR(IF(0=LEN(ReferenceData!$BH$44),"",ReferenceData!$BH$44),"")</f>
        <v/>
      </c>
      <c r="BI44" t="str">
        <f ca="1">IFERROR(IF(0=LEN(ReferenceData!$BI$44),"",ReferenceData!$BI$44),"")</f>
        <v/>
      </c>
      <c r="BJ44" t="str">
        <f ca="1">IFERROR(IF(0=LEN(ReferenceData!$BJ$44),"",ReferenceData!$BJ$44),"")</f>
        <v/>
      </c>
      <c r="BK44" t="str">
        <f ca="1">IFERROR(IF(0=LEN(ReferenceData!$BK$44),"",ReferenceData!$BK$44),"")</f>
        <v/>
      </c>
      <c r="BL44" t="str">
        <f ca="1">IFERROR(IF(0=LEN(ReferenceData!$BL$44),"",ReferenceData!$BL$44),"")</f>
        <v/>
      </c>
      <c r="BM44" t="str">
        <f ca="1">IFERROR(IF(0=LEN(ReferenceData!$BM$44),"",ReferenceData!$BM$44),"")</f>
        <v/>
      </c>
    </row>
    <row r="45" spans="1:65">
      <c r="A45" t="str">
        <f>IFERROR(IF(0=LEN(ReferenceData!$A$45),"",ReferenceData!$A$45),"")</f>
        <v xml:space="preserve">    Medical Properties Trust Inc</v>
      </c>
      <c r="B45" t="str">
        <f>IFERROR(IF(0=LEN(ReferenceData!$B$45),"",ReferenceData!$B$45),"")</f>
        <v>MPW US Equity</v>
      </c>
      <c r="C45" t="str">
        <f>IFERROR(IF(0=LEN(ReferenceData!$C$45),"",ReferenceData!$C$45),"")</f>
        <v>IS010</v>
      </c>
      <c r="D45" t="str">
        <f>IFERROR(IF(0=LEN(ReferenceData!$D$45),"",ReferenceData!$D$45),"")</f>
        <v>SALES_REV_TURN</v>
      </c>
      <c r="E45" t="str">
        <f>IFERROR(IF(0=LEN(ReferenceData!$E$45),"",ReferenceData!$E$45),"")</f>
        <v>动态</v>
      </c>
      <c r="F45" t="str">
        <f ca="1">IFERROR(IF(0=LEN(ReferenceData!$F$45),"",ReferenceData!$F$45),"")</f>
        <v/>
      </c>
      <c r="G45">
        <f ca="1">IFERROR(IF(0=LEN(ReferenceData!$G$45),"",ReferenceData!$G$45),"")</f>
        <v>204.96100000000001</v>
      </c>
      <c r="H45">
        <f ca="1">IFERROR(IF(0=LEN(ReferenceData!$H$45),"",ReferenceData!$H$45),"")</f>
        <v>176.58</v>
      </c>
      <c r="I45">
        <f ca="1">IFERROR(IF(0=LEN(ReferenceData!$I$45),"",ReferenceData!$I$45),"")</f>
        <v>166.80699999999999</v>
      </c>
      <c r="J45">
        <f ca="1">IFERROR(IF(0=LEN(ReferenceData!$J$45),"",ReferenceData!$J$45),"")</f>
        <v>156.39699999999999</v>
      </c>
      <c r="K45">
        <f ca="1">IFERROR(IF(0=LEN(ReferenceData!$K$45),"",ReferenceData!$K$45),"")</f>
        <v>153.28299999999999</v>
      </c>
      <c r="L45">
        <f ca="1">IFERROR(IF(0=LEN(ReferenceData!$L$45),"",ReferenceData!$L$45),"")</f>
        <v>126.55500000000001</v>
      </c>
      <c r="M45">
        <f ca="1">IFERROR(IF(0=LEN(ReferenceData!$M$45),"",ReferenceData!$M$45),"")</f>
        <v>126.3</v>
      </c>
      <c r="N45">
        <f ca="1">IFERROR(IF(0=LEN(ReferenceData!$N$45),"",ReferenceData!$N$45),"")</f>
        <v>134.999</v>
      </c>
      <c r="O45">
        <f ca="1">IFERROR(IF(0=LEN(ReferenceData!$O$45),"",ReferenceData!$O$45),"")</f>
        <v>131.54599999999999</v>
      </c>
      <c r="P45">
        <f ca="1">IFERROR(IF(0=LEN(ReferenceData!$P$45),"",ReferenceData!$P$45),"")</f>
        <v>114.57</v>
      </c>
      <c r="Q45">
        <f ca="1">IFERROR(IF(0=LEN(ReferenceData!$Q$45),"",ReferenceData!$Q$45),"")</f>
        <v>99.801000000000002</v>
      </c>
      <c r="R45">
        <f ca="1">IFERROR(IF(0=LEN(ReferenceData!$R$45),"",ReferenceData!$R$45),"")</f>
        <v>95.960999999999999</v>
      </c>
      <c r="S45">
        <f ca="1">IFERROR(IF(0=LEN(ReferenceData!$S$45),"",ReferenceData!$S$45),"")</f>
        <v>82.105401999999998</v>
      </c>
      <c r="T45">
        <f ca="1">IFERROR(IF(0=LEN(ReferenceData!$T$45),"",ReferenceData!$T$45),"")</f>
        <v>80.777000000000001</v>
      </c>
      <c r="U45">
        <f ca="1">IFERROR(IF(0=LEN(ReferenceData!$U$45),"",ReferenceData!$U$45),"")</f>
        <v>76.56</v>
      </c>
      <c r="V45">
        <f ca="1">IFERROR(IF(0=LEN(ReferenceData!$V$45),"",ReferenceData!$V$45),"")</f>
        <v>73.088999999999999</v>
      </c>
      <c r="W45">
        <f ca="1">IFERROR(IF(0=LEN(ReferenceData!$W$45),"",ReferenceData!$W$45),"")</f>
        <v>67.679485</v>
      </c>
      <c r="X45">
        <f ca="1">IFERROR(IF(0=LEN(ReferenceData!$X$45),"",ReferenceData!$X$45),"")</f>
        <v>60.106000000000002</v>
      </c>
      <c r="Y45">
        <f ca="1">IFERROR(IF(0=LEN(ReferenceData!$Y$45),"",ReferenceData!$Y$45),"")</f>
        <v>57.124000000000002</v>
      </c>
      <c r="Z45">
        <f ca="1">IFERROR(IF(0=LEN(ReferenceData!$Z$45),"",ReferenceData!$Z$45),"")</f>
        <v>57.613</v>
      </c>
      <c r="AA45">
        <f ca="1">IFERROR(IF(0=LEN(ReferenceData!$AA$45),"",ReferenceData!$AA$45),"")</f>
        <v>56.597330999999997</v>
      </c>
      <c r="AB45">
        <f ca="1">IFERROR(IF(0=LEN(ReferenceData!$AB$45),"",ReferenceData!$AB$45),"")</f>
        <v>52.853000000000002</v>
      </c>
      <c r="AC45">
        <f ca="1">IFERROR(IF(0=LEN(ReferenceData!$AC$45),"",ReferenceData!$AC$45),"")</f>
        <v>48.917999999999999</v>
      </c>
      <c r="AD45">
        <f ca="1">IFERROR(IF(0=LEN(ReferenceData!$AD$45),"",ReferenceData!$AD$45),"")</f>
        <v>41.267000000000003</v>
      </c>
      <c r="AE45">
        <f ca="1">IFERROR(IF(0=LEN(ReferenceData!$AE$45),"",ReferenceData!$AE$45),"")</f>
        <v>34.417450000000002</v>
      </c>
      <c r="AF45">
        <f ca="1">IFERROR(IF(0=LEN(ReferenceData!$AF$45),"",ReferenceData!$AF$45),"")</f>
        <v>34.631999999999998</v>
      </c>
      <c r="AG45">
        <f ca="1">IFERROR(IF(0=LEN(ReferenceData!$AG$45),"",ReferenceData!$AG$45),"")</f>
        <v>34.956000000000003</v>
      </c>
      <c r="AH45">
        <f ca="1">IFERROR(IF(0=LEN(ReferenceData!$AH$45),"",ReferenceData!$AH$45),"")</f>
        <v>34.347000000000001</v>
      </c>
      <c r="AI45">
        <f ca="1">IFERROR(IF(0=LEN(ReferenceData!$AI$45),"",ReferenceData!$AI$45),"")</f>
        <v>30.676684000000002</v>
      </c>
      <c r="AJ45">
        <f ca="1">IFERROR(IF(0=LEN(ReferenceData!$AJ$45),"",ReferenceData!$AJ$45),"")</f>
        <v>28.643999999999998</v>
      </c>
      <c r="AK45">
        <f ca="1">IFERROR(IF(0=LEN(ReferenceData!$AK$45),"",ReferenceData!$AK$45),"")</f>
        <v>30.593</v>
      </c>
      <c r="AL45">
        <f ca="1">IFERROR(IF(0=LEN(ReferenceData!$AL$45),"",ReferenceData!$AL$45),"")</f>
        <v>30.858000000000001</v>
      </c>
      <c r="AM45">
        <f ca="1">IFERROR(IF(0=LEN(ReferenceData!$AM$45),"",ReferenceData!$AM$45),"")</f>
        <v>30.069489000000001</v>
      </c>
      <c r="AN45">
        <f ca="1">IFERROR(IF(0=LEN(ReferenceData!$AN$45),"",ReferenceData!$AN$45),"")</f>
        <v>31.338999999999999</v>
      </c>
      <c r="AO45">
        <f ca="1">IFERROR(IF(0=LEN(ReferenceData!$AO$45),"",ReferenceData!$AO$45),"")</f>
        <v>29.34</v>
      </c>
      <c r="AP45">
        <f ca="1">IFERROR(IF(0=LEN(ReferenceData!$AP$45),"",ReferenceData!$AP$45),"")</f>
        <v>31.972999999999999</v>
      </c>
      <c r="AQ45">
        <f ca="1">IFERROR(IF(0=LEN(ReferenceData!$AQ$45),"",ReferenceData!$AQ$45),"")</f>
        <v>29.540704000000002</v>
      </c>
      <c r="AR45">
        <f ca="1">IFERROR(IF(0=LEN(ReferenceData!$AR$45),"",ReferenceData!$AR$45),"")</f>
        <v>33.116999999999997</v>
      </c>
      <c r="AS45">
        <f ca="1">IFERROR(IF(0=LEN(ReferenceData!$AS$45),"",ReferenceData!$AS$45),"")</f>
        <v>31.170999999999999</v>
      </c>
      <c r="AT45">
        <f ca="1">IFERROR(IF(0=LEN(ReferenceData!$AT$45),"",ReferenceData!$AT$45),"")</f>
        <v>23.341000000000001</v>
      </c>
      <c r="AU45">
        <f ca="1">IFERROR(IF(0=LEN(ReferenceData!$AU$45),"",ReferenceData!$AU$45),"")</f>
        <v>24.338346999999999</v>
      </c>
      <c r="AV45">
        <f ca="1">IFERROR(IF(0=LEN(ReferenceData!$AV$45),"",ReferenceData!$AV$45),"")</f>
        <v>21.511612</v>
      </c>
      <c r="AW45">
        <f ca="1">IFERROR(IF(0=LEN(ReferenceData!$AW$45),"",ReferenceData!$AW$45),"")</f>
        <v>21.384903999999999</v>
      </c>
      <c r="AX45">
        <f ca="1">IFERROR(IF(0=LEN(ReferenceData!$AX$45),"",ReferenceData!$AX$45),"")</f>
        <v>14.911667</v>
      </c>
      <c r="AY45">
        <f ca="1">IFERROR(IF(0=LEN(ReferenceData!$AY$45),"",ReferenceData!$AY$45),"")</f>
        <v>15.966319</v>
      </c>
      <c r="AZ45">
        <f ca="1">IFERROR(IF(0=LEN(ReferenceData!$AZ$45),"",ReferenceData!$AZ$45),"")</f>
        <v>12.915675</v>
      </c>
      <c r="BA45">
        <f ca="1">IFERROR(IF(0=LEN(ReferenceData!$BA$45),"",ReferenceData!$BA$45),"")</f>
        <v>11.2316</v>
      </c>
      <c r="BB45">
        <f ca="1">IFERROR(IF(0=LEN(ReferenceData!$BB$45),"",ReferenceData!$BB$45),"")</f>
        <v>11.009950999999999</v>
      </c>
      <c r="BC45">
        <f ca="1">IFERROR(IF(0=LEN(ReferenceData!$BC$45),"",ReferenceData!$BC$45),"")</f>
        <v>9.1078279999999996</v>
      </c>
      <c r="BD45">
        <f ca="1">IFERROR(IF(0=LEN(ReferenceData!$BD$45),"",ReferenceData!$BD$45),"")</f>
        <v>8.9728580000000004</v>
      </c>
      <c r="BE45">
        <f ca="1">IFERROR(IF(0=LEN(ReferenceData!$BE$45),"",ReferenceData!$BE$45),"")</f>
        <v>7.5999908449999998</v>
      </c>
      <c r="BF45">
        <f ca="1">IFERROR(IF(0=LEN(ReferenceData!$BF$45),"",ReferenceData!$BF$45),"")</f>
        <v>6.8629999159999997</v>
      </c>
      <c r="BG45" t="str">
        <f ca="1">IFERROR(IF(0=LEN(ReferenceData!$BG$45),"",ReferenceData!$BG$45),"")</f>
        <v/>
      </c>
      <c r="BH45" t="str">
        <f ca="1">IFERROR(IF(0=LEN(ReferenceData!$BH$45),"",ReferenceData!$BH$45),"")</f>
        <v/>
      </c>
      <c r="BI45" t="str">
        <f ca="1">IFERROR(IF(0=LEN(ReferenceData!$BI$45),"",ReferenceData!$BI$45),"")</f>
        <v/>
      </c>
      <c r="BJ45" t="str">
        <f ca="1">IFERROR(IF(0=LEN(ReferenceData!$BJ$45),"",ReferenceData!$BJ$45),"")</f>
        <v/>
      </c>
      <c r="BK45" t="str">
        <f ca="1">IFERROR(IF(0=LEN(ReferenceData!$BK$45),"",ReferenceData!$BK$45),"")</f>
        <v/>
      </c>
      <c r="BL45" t="str">
        <f ca="1">IFERROR(IF(0=LEN(ReferenceData!$BL$45),"",ReferenceData!$BL$45),"")</f>
        <v/>
      </c>
      <c r="BM45" t="str">
        <f ca="1">IFERROR(IF(0=LEN(ReferenceData!$BM$45),"",ReferenceData!$BM$45),"")</f>
        <v/>
      </c>
    </row>
    <row r="46" spans="1:65">
      <c r="A46" t="str">
        <f>IFERROR(IF(0=LEN(ReferenceData!$A$46),"",ReferenceData!$A$46),"")</f>
        <v xml:space="preserve">    Omega Healthcare Investors Inc</v>
      </c>
      <c r="B46" t="str">
        <f>IFERROR(IF(0=LEN(ReferenceData!$B$46),"",ReferenceData!$B$46),"")</f>
        <v>OHI US Equity</v>
      </c>
      <c r="C46" t="str">
        <f>IFERROR(IF(0=LEN(ReferenceData!$C$46),"",ReferenceData!$C$46),"")</f>
        <v>IS010</v>
      </c>
      <c r="D46" t="str">
        <f>IFERROR(IF(0=LEN(ReferenceData!$D$46),"",ReferenceData!$D$46),"")</f>
        <v>SALES_REV_TURN</v>
      </c>
      <c r="E46" t="str">
        <f>IFERROR(IF(0=LEN(ReferenceData!$E$46),"",ReferenceData!$E$46),"")</f>
        <v>动态</v>
      </c>
      <c r="F46" t="str">
        <f ca="1">IFERROR(IF(0=LEN(ReferenceData!$F$46),"",ReferenceData!$F$46),"")</f>
        <v/>
      </c>
      <c r="G46">
        <f ca="1">IFERROR(IF(0=LEN(ReferenceData!$G$46),"",ReferenceData!$G$46),"")</f>
        <v>221.20599999999999</v>
      </c>
      <c r="H46">
        <f ca="1">IFERROR(IF(0=LEN(ReferenceData!$H$46),"",ReferenceData!$H$46),"")</f>
        <v>219.63800000000001</v>
      </c>
      <c r="I46">
        <f ca="1">IFERROR(IF(0=LEN(ReferenceData!$I$46),"",ReferenceData!$I$46),"")</f>
        <v>235.797</v>
      </c>
      <c r="J46">
        <f ca="1">IFERROR(IF(0=LEN(ReferenceData!$J$46),"",ReferenceData!$J$46),"")</f>
        <v>231.744</v>
      </c>
      <c r="K46">
        <f ca="1">IFERROR(IF(0=LEN(ReferenceData!$K$46),"",ReferenceData!$K$46),"")</f>
        <v>234.48599999999999</v>
      </c>
      <c r="L46">
        <f ca="1">IFERROR(IF(0=LEN(ReferenceData!$L$46),"",ReferenceData!$L$46),"")</f>
        <v>224.63800000000001</v>
      </c>
      <c r="M46">
        <f ca="1">IFERROR(IF(0=LEN(ReferenceData!$M$46),"",ReferenceData!$M$46),"")</f>
        <v>228.82400000000001</v>
      </c>
      <c r="N46">
        <f ca="1">IFERROR(IF(0=LEN(ReferenceData!$N$46),"",ReferenceData!$N$46),"")</f>
        <v>212.87899999999999</v>
      </c>
      <c r="O46">
        <f ca="1">IFERROR(IF(0=LEN(ReferenceData!$O$46),"",ReferenceData!$O$46),"")</f>
        <v>210.512</v>
      </c>
      <c r="P46">
        <f ca="1">IFERROR(IF(0=LEN(ReferenceData!$P$46),"",ReferenceData!$P$46),"")</f>
        <v>201.97399999999999</v>
      </c>
      <c r="Q46">
        <f ca="1">IFERROR(IF(0=LEN(ReferenceData!$Q$46),"",ReferenceData!$Q$46),"")</f>
        <v>197.71100000000001</v>
      </c>
      <c r="R46">
        <f ca="1">IFERROR(IF(0=LEN(ReferenceData!$R$46),"",ReferenceData!$R$46),"")</f>
        <v>133.41999999999999</v>
      </c>
      <c r="S46">
        <f ca="1">IFERROR(IF(0=LEN(ReferenceData!$S$46),"",ReferenceData!$S$46),"")</f>
        <v>131.321</v>
      </c>
      <c r="T46">
        <f ca="1">IFERROR(IF(0=LEN(ReferenceData!$T$46),"",ReferenceData!$T$46),"")</f>
        <v>130.66499999999999</v>
      </c>
      <c r="U46">
        <f ca="1">IFERROR(IF(0=LEN(ReferenceData!$U$46),"",ReferenceData!$U$46),"")</f>
        <v>121.8</v>
      </c>
      <c r="V46">
        <f ca="1">IFERROR(IF(0=LEN(ReferenceData!$V$46),"",ReferenceData!$V$46),"")</f>
        <v>121.001</v>
      </c>
      <c r="W46">
        <f ca="1">IFERROR(IF(0=LEN(ReferenceData!$W$46),"",ReferenceData!$W$46),"")</f>
        <v>111.137</v>
      </c>
      <c r="X46">
        <f ca="1">IFERROR(IF(0=LEN(ReferenceData!$X$46),"",ReferenceData!$X$46),"")</f>
        <v>103.301</v>
      </c>
      <c r="Y46">
        <f ca="1">IFERROR(IF(0=LEN(ReferenceData!$Y$46),"",ReferenceData!$Y$46),"")</f>
        <v>102.515</v>
      </c>
      <c r="Z46">
        <f ca="1">IFERROR(IF(0=LEN(ReferenceData!$Z$46),"",ReferenceData!$Z$46),"")</f>
        <v>101.761</v>
      </c>
      <c r="AA46">
        <f ca="1">IFERROR(IF(0=LEN(ReferenceData!$AA$46),"",ReferenceData!$AA$46),"")</f>
        <v>95.012</v>
      </c>
      <c r="AB46">
        <f ca="1">IFERROR(IF(0=LEN(ReferenceData!$AB$46),"",ReferenceData!$AB$46),"")</f>
        <v>87.108000000000004</v>
      </c>
      <c r="AC46">
        <f ca="1">IFERROR(IF(0=LEN(ReferenceData!$AC$46),"",ReferenceData!$AC$46),"")</f>
        <v>83.825000000000003</v>
      </c>
      <c r="AD46">
        <f ca="1">IFERROR(IF(0=LEN(ReferenceData!$AD$46),"",ReferenceData!$AD$46),"")</f>
        <v>84.515000000000001</v>
      </c>
      <c r="AE46">
        <f ca="1">IFERROR(IF(0=LEN(ReferenceData!$AE$46),"",ReferenceData!$AE$46),"")</f>
        <v>76.304000000000002</v>
      </c>
      <c r="AF46">
        <f ca="1">IFERROR(IF(0=LEN(ReferenceData!$AF$46),"",ReferenceData!$AF$46),"")</f>
        <v>72.817999999999998</v>
      </c>
      <c r="AG46">
        <f ca="1">IFERROR(IF(0=LEN(ReferenceData!$AG$46),"",ReferenceData!$AG$46),"")</f>
        <v>72.605999999999995</v>
      </c>
      <c r="AH46">
        <f ca="1">IFERROR(IF(0=LEN(ReferenceData!$AH$46),"",ReferenceData!$AH$46),"")</f>
        <v>70.475999999999999</v>
      </c>
      <c r="AI46">
        <f ca="1">IFERROR(IF(0=LEN(ReferenceData!$AI$46),"",ReferenceData!$AI$46),"")</f>
        <v>71.114000000000004</v>
      </c>
      <c r="AJ46">
        <f ca="1">IFERROR(IF(0=LEN(ReferenceData!$AJ$46),"",ReferenceData!$AJ$46),"")</f>
        <v>69.724000000000004</v>
      </c>
      <c r="AK46">
        <f ca="1">IFERROR(IF(0=LEN(ReferenceData!$AK$46),"",ReferenceData!$AK$46),"")</f>
        <v>58.805</v>
      </c>
      <c r="AL46">
        <f ca="1">IFERROR(IF(0=LEN(ReferenceData!$AL$46),"",ReferenceData!$AL$46),"")</f>
        <v>58.677999999999997</v>
      </c>
      <c r="AM46">
        <f ca="1">IFERROR(IF(0=LEN(ReferenceData!$AM$46),"",ReferenceData!$AM$46),"")</f>
        <v>49.372999999999998</v>
      </c>
      <c r="AN46">
        <f ca="1">IFERROR(IF(0=LEN(ReferenceData!$AN$46),"",ReferenceData!$AN$46),"")</f>
        <v>49.753</v>
      </c>
      <c r="AO46">
        <f ca="1">IFERROR(IF(0=LEN(ReferenceData!$AO$46),"",ReferenceData!$AO$46),"")</f>
        <v>49.152000000000001</v>
      </c>
      <c r="AP46">
        <f ca="1">IFERROR(IF(0=LEN(ReferenceData!$AP$46),"",ReferenceData!$AP$46),"")</f>
        <v>49.16</v>
      </c>
      <c r="AQ46">
        <f ca="1">IFERROR(IF(0=LEN(ReferenceData!$AQ$46),"",ReferenceData!$AQ$46),"")</f>
        <v>49.161999999999999</v>
      </c>
      <c r="AR46">
        <f ca="1">IFERROR(IF(0=LEN(ReferenceData!$AR$46),"",ReferenceData!$AR$46),"")</f>
        <v>59.999000000000002</v>
      </c>
      <c r="AS46">
        <f ca="1">IFERROR(IF(0=LEN(ReferenceData!$AS$46),"",ReferenceData!$AS$46),"")</f>
        <v>43.734999999999999</v>
      </c>
      <c r="AT46">
        <f ca="1">IFERROR(IF(0=LEN(ReferenceData!$AT$46),"",ReferenceData!$AT$46),"")</f>
        <v>40.930999999999997</v>
      </c>
      <c r="AU46">
        <f ca="1">IFERROR(IF(0=LEN(ReferenceData!$AU$46),"",ReferenceData!$AU$46),"")</f>
        <v>39.716999999999999</v>
      </c>
      <c r="AV46">
        <f ca="1">IFERROR(IF(0=LEN(ReferenceData!$AV$46),"",ReferenceData!$AV$46),"")</f>
        <v>39.26</v>
      </c>
      <c r="AW46">
        <f ca="1">IFERROR(IF(0=LEN(ReferenceData!$AW$46),"",ReferenceData!$AW$46),"")</f>
        <v>38.116999999999997</v>
      </c>
      <c r="AX46">
        <f ca="1">IFERROR(IF(0=LEN(ReferenceData!$AX$46),"",ReferenceData!$AX$46),"")</f>
        <v>42.662999999999997</v>
      </c>
      <c r="AY46">
        <f ca="1">IFERROR(IF(0=LEN(ReferenceData!$AY$46),"",ReferenceData!$AY$46),"")</f>
        <v>36.158000000000001</v>
      </c>
      <c r="AZ46">
        <f ca="1">IFERROR(IF(0=LEN(ReferenceData!$AZ$46),"",ReferenceData!$AZ$46),"")</f>
        <v>35.295000000000002</v>
      </c>
      <c r="BA46">
        <f ca="1">IFERROR(IF(0=LEN(ReferenceData!$BA$46),"",ReferenceData!$BA$46),"")</f>
        <v>32.381999999999998</v>
      </c>
      <c r="BB46">
        <f ca="1">IFERROR(IF(0=LEN(ReferenceData!$BB$46),"",ReferenceData!$BB$46),"")</f>
        <v>32.18</v>
      </c>
      <c r="BC46">
        <f ca="1">IFERROR(IF(0=LEN(ReferenceData!$BC$46),"",ReferenceData!$BC$46),"")</f>
        <v>30.236000000000001</v>
      </c>
      <c r="BD46">
        <f ca="1">IFERROR(IF(0=LEN(ReferenceData!$BD$46),"",ReferenceData!$BD$46),"")</f>
        <v>27.111999999999998</v>
      </c>
      <c r="BE46">
        <f ca="1">IFERROR(IF(0=LEN(ReferenceData!$BE$46),"",ReferenceData!$BE$46),"")</f>
        <v>25.309000000000001</v>
      </c>
      <c r="BF46">
        <f ca="1">IFERROR(IF(0=LEN(ReferenceData!$BF$46),"",ReferenceData!$BF$46),"")</f>
        <v>27.166</v>
      </c>
      <c r="BG46">
        <f ca="1">IFERROR(IF(0=LEN(ReferenceData!$BG$46),"",ReferenceData!$BG$46),"")</f>
        <v>18.303999999999998</v>
      </c>
      <c r="BH46">
        <f ca="1">IFERROR(IF(0=LEN(ReferenceData!$BH$46),"",ReferenceData!$BH$46),"")</f>
        <v>22.60700035</v>
      </c>
      <c r="BI46">
        <f ca="1">IFERROR(IF(0=LEN(ReferenceData!$BI$46),"",ReferenceData!$BI$46),"")</f>
        <v>22.344999309999999</v>
      </c>
      <c r="BJ46">
        <f ca="1">IFERROR(IF(0=LEN(ReferenceData!$BJ$46),"",ReferenceData!$BJ$46),"")</f>
        <v>21.5359993</v>
      </c>
      <c r="BK46">
        <f ca="1">IFERROR(IF(0=LEN(ReferenceData!$BK$46),"",ReferenceData!$BK$46),"")</f>
        <v>21.691998999999999</v>
      </c>
      <c r="BL46">
        <f ca="1">IFERROR(IF(0=LEN(ReferenceData!$BL$46),"",ReferenceData!$BL$46),"")</f>
        <v>20.926000599999998</v>
      </c>
      <c r="BM46">
        <f ca="1">IFERROR(IF(0=LEN(ReferenceData!$BM$46),"",ReferenceData!$BM$46),"")</f>
        <v>20.788999560000001</v>
      </c>
    </row>
    <row r="47" spans="1:65">
      <c r="A47" t="str">
        <f>IFERROR(IF(0=LEN(ReferenceData!$A$47),"",ReferenceData!$A$47),"")</f>
        <v xml:space="preserve">    Sabra Health Care REIT Inc</v>
      </c>
      <c r="B47" t="str">
        <f>IFERROR(IF(0=LEN(ReferenceData!$B$47),"",ReferenceData!$B$47),"")</f>
        <v>SBRA US Equity</v>
      </c>
      <c r="C47" t="str">
        <f>IFERROR(IF(0=LEN(ReferenceData!$C$47),"",ReferenceData!$C$47),"")</f>
        <v>IS010</v>
      </c>
      <c r="D47" t="str">
        <f>IFERROR(IF(0=LEN(ReferenceData!$D$47),"",ReferenceData!$D$47),"")</f>
        <v>SALES_REV_TURN</v>
      </c>
      <c r="E47" t="str">
        <f>IFERROR(IF(0=LEN(ReferenceData!$E$47),"",ReferenceData!$E$47),"")</f>
        <v>动态</v>
      </c>
      <c r="F47" t="str">
        <f ca="1">IFERROR(IF(0=LEN(ReferenceData!$F$47),"",ReferenceData!$F$47),"")</f>
        <v/>
      </c>
      <c r="G47">
        <f ca="1">IFERROR(IF(0=LEN(ReferenceData!$G$47),"",ReferenceData!$G$47),"")</f>
        <v>166.47200000000001</v>
      </c>
      <c r="H47">
        <f ca="1">IFERROR(IF(0=LEN(ReferenceData!$H$47),"",ReferenceData!$H$47),"")</f>
        <v>111.789</v>
      </c>
      <c r="I47">
        <f ca="1">IFERROR(IF(0=LEN(ReferenceData!$I$47),"",ReferenceData!$I$47),"")</f>
        <v>64.736000000000004</v>
      </c>
      <c r="J47">
        <f ca="1">IFERROR(IF(0=LEN(ReferenceData!$J$47),"",ReferenceData!$J$47),"")</f>
        <v>62.65</v>
      </c>
      <c r="K47">
        <f ca="1">IFERROR(IF(0=LEN(ReferenceData!$K$47),"",ReferenceData!$K$47),"")</f>
        <v>61.790999999999997</v>
      </c>
      <c r="L47">
        <f ca="1">IFERROR(IF(0=LEN(ReferenceData!$L$47),"",ReferenceData!$L$47),"")</f>
        <v>61.927</v>
      </c>
      <c r="M47">
        <f ca="1">IFERROR(IF(0=LEN(ReferenceData!$M$47),"",ReferenceData!$M$47),"")</f>
        <v>74.248999999999995</v>
      </c>
      <c r="N47">
        <f ca="1">IFERROR(IF(0=LEN(ReferenceData!$N$47),"",ReferenceData!$N$47),"")</f>
        <v>62.558999999999997</v>
      </c>
      <c r="O47">
        <f ca="1">IFERROR(IF(0=LEN(ReferenceData!$O$47),"",ReferenceData!$O$47),"")</f>
        <v>66.772000000000006</v>
      </c>
      <c r="P47">
        <f ca="1">IFERROR(IF(0=LEN(ReferenceData!$P$47),"",ReferenceData!$P$47),"")</f>
        <v>59.933999999999997</v>
      </c>
      <c r="Q47">
        <f ca="1">IFERROR(IF(0=LEN(ReferenceData!$Q$47),"",ReferenceData!$Q$47),"")</f>
        <v>56.585999999999999</v>
      </c>
      <c r="R47">
        <f ca="1">IFERROR(IF(0=LEN(ReferenceData!$R$47),"",ReferenceData!$R$47),"")</f>
        <v>55.572000000000003</v>
      </c>
      <c r="S47">
        <f ca="1">IFERROR(IF(0=LEN(ReferenceData!$S$47),"",ReferenceData!$S$47),"")</f>
        <v>55.710999999999999</v>
      </c>
      <c r="T47">
        <f ca="1">IFERROR(IF(0=LEN(ReferenceData!$T$47),"",ReferenceData!$T$47),"")</f>
        <v>43.984000000000002</v>
      </c>
      <c r="U47">
        <f ca="1">IFERROR(IF(0=LEN(ReferenceData!$U$47),"",ReferenceData!$U$47),"")</f>
        <v>42.972999999999999</v>
      </c>
      <c r="V47">
        <f ca="1">IFERROR(IF(0=LEN(ReferenceData!$V$47),"",ReferenceData!$V$47),"")</f>
        <v>40.85</v>
      </c>
      <c r="W47">
        <f ca="1">IFERROR(IF(0=LEN(ReferenceData!$W$47),"",ReferenceData!$W$47),"")</f>
        <v>37.557000000000002</v>
      </c>
      <c r="X47">
        <f ca="1">IFERROR(IF(0=LEN(ReferenceData!$X$47),"",ReferenceData!$X$47),"")</f>
        <v>32.926000000000002</v>
      </c>
      <c r="Y47">
        <f ca="1">IFERROR(IF(0=LEN(ReferenceData!$Y$47),"",ReferenceData!$Y$47),"")</f>
        <v>32.274999999999999</v>
      </c>
      <c r="Z47">
        <f ca="1">IFERROR(IF(0=LEN(ReferenceData!$Z$47),"",ReferenceData!$Z$47),"")</f>
        <v>32.021999999999998</v>
      </c>
      <c r="AA47">
        <f ca="1">IFERROR(IF(0=LEN(ReferenceData!$AA$47),"",ReferenceData!$AA$47),"")</f>
        <v>28.288</v>
      </c>
      <c r="AB47">
        <f ca="1">IFERROR(IF(0=LEN(ReferenceData!$AB$47),"",ReferenceData!$AB$47),"")</f>
        <v>26.038</v>
      </c>
      <c r="AC47">
        <f ca="1">IFERROR(IF(0=LEN(ReferenceData!$AC$47),"",ReferenceData!$AC$47),"")</f>
        <v>25.117000000000001</v>
      </c>
      <c r="AD47">
        <f ca="1">IFERROR(IF(0=LEN(ReferenceData!$AD$47),"",ReferenceData!$AD$47),"")</f>
        <v>23.727</v>
      </c>
      <c r="AE47">
        <f ca="1">IFERROR(IF(0=LEN(ReferenceData!$AE$47),"",ReferenceData!$AE$47),"")</f>
        <v>26.349</v>
      </c>
      <c r="AF47">
        <f ca="1">IFERROR(IF(0=LEN(ReferenceData!$AF$47),"",ReferenceData!$AF$47),"")</f>
        <v>21.47</v>
      </c>
      <c r="AG47">
        <f ca="1">IFERROR(IF(0=LEN(ReferenceData!$AG$47),"",ReferenceData!$AG$47),"")</f>
        <v>18.805</v>
      </c>
      <c r="AH47">
        <f ca="1">IFERROR(IF(0=LEN(ReferenceData!$AH$47),"",ReferenceData!$AH$47),"")</f>
        <v>17.600999999999999</v>
      </c>
      <c r="AI47" t="str">
        <f ca="1">IFERROR(IF(0=LEN(ReferenceData!$AI$47),"",ReferenceData!$AI$47),"")</f>
        <v/>
      </c>
      <c r="AJ47">
        <f ca="1">IFERROR(IF(0=LEN(ReferenceData!$AJ$47),"",ReferenceData!$AJ$47),"")</f>
        <v>475.99700000000001</v>
      </c>
      <c r="AK47">
        <f ca="1">IFERROR(IF(0=LEN(ReferenceData!$AK$47),"",ReferenceData!$AK$47),"")</f>
        <v>474.61799999999999</v>
      </c>
      <c r="AL47">
        <f ca="1">IFERROR(IF(0=LEN(ReferenceData!$AL$47),"",ReferenceData!$AL$47),"")</f>
        <v>473.255</v>
      </c>
      <c r="AM47">
        <f ca="1">IFERROR(IF(0=LEN(ReferenceData!$AM$47),"",ReferenceData!$AM$47),"")</f>
        <v>474.06400000000002</v>
      </c>
      <c r="AN47">
        <f ca="1">IFERROR(IF(0=LEN(ReferenceData!$AN$47),"",ReferenceData!$AN$47),"")</f>
        <v>470.89299999999997</v>
      </c>
      <c r="AO47">
        <f ca="1">IFERROR(IF(0=LEN(ReferenceData!$AO$47),"",ReferenceData!$AO$47),"")</f>
        <v>468.88400000000001</v>
      </c>
      <c r="AP47">
        <f ca="1">IFERROR(IF(0=LEN(ReferenceData!$AP$47),"",ReferenceData!$AP$47),"")</f>
        <v>468.29599999999999</v>
      </c>
      <c r="AQ47">
        <f ca="1">IFERROR(IF(0=LEN(ReferenceData!$AQ$47),"",ReferenceData!$AQ$47),"")</f>
        <v>466.96800000000002</v>
      </c>
      <c r="AR47">
        <f ca="1">IFERROR(IF(0=LEN(ReferenceData!$AR$47),"",ReferenceData!$AR$47),"")</f>
        <v>456.72199999999998</v>
      </c>
      <c r="AS47">
        <f ca="1">IFERROR(IF(0=LEN(ReferenceData!$AS$47),"",ReferenceData!$AS$47),"")</f>
        <v>454.19200000000001</v>
      </c>
      <c r="AT47">
        <f ca="1">IFERROR(IF(0=LEN(ReferenceData!$AT$47),"",ReferenceData!$AT$47),"")</f>
        <v>458.24200000000002</v>
      </c>
      <c r="AU47">
        <f ca="1">IFERROR(IF(0=LEN(ReferenceData!$AU$47),"",ReferenceData!$AU$47),"")</f>
        <v>450.54899999999998</v>
      </c>
      <c r="AV47">
        <f ca="1">IFERROR(IF(0=LEN(ReferenceData!$AV$47),"",ReferenceData!$AV$47),"")</f>
        <v>439.57</v>
      </c>
      <c r="AW47">
        <f ca="1">IFERROR(IF(0=LEN(ReferenceData!$AW$47),"",ReferenceData!$AW$47),"")</f>
        <v>446.66500000000002</v>
      </c>
      <c r="AX47">
        <f ca="1">IFERROR(IF(0=LEN(ReferenceData!$AX$47),"",ReferenceData!$AX$47),"")</f>
        <v>273.56900000000002</v>
      </c>
      <c r="AY47">
        <f ca="1">IFERROR(IF(0=LEN(ReferenceData!$AY$47),"",ReferenceData!$AY$47),"")</f>
        <v>268.30399999999997</v>
      </c>
      <c r="AZ47" t="str">
        <f ca="1">IFERROR(IF(0=LEN(ReferenceData!$AZ$47),"",ReferenceData!$AZ$47),"")</f>
        <v/>
      </c>
      <c r="BA47" t="str">
        <f ca="1">IFERROR(IF(0=LEN(ReferenceData!$BA$47),"",ReferenceData!$BA$47),"")</f>
        <v/>
      </c>
      <c r="BB47" t="str">
        <f ca="1">IFERROR(IF(0=LEN(ReferenceData!$BB$47),"",ReferenceData!$BB$47),"")</f>
        <v/>
      </c>
      <c r="BC47" t="str">
        <f ca="1">IFERROR(IF(0=LEN(ReferenceData!$BC$47),"",ReferenceData!$BC$47),"")</f>
        <v/>
      </c>
      <c r="BD47" t="str">
        <f ca="1">IFERROR(IF(0=LEN(ReferenceData!$BD$47),"",ReferenceData!$BD$47),"")</f>
        <v/>
      </c>
      <c r="BE47" t="str">
        <f ca="1">IFERROR(IF(0=LEN(ReferenceData!$BE$47),"",ReferenceData!$BE$47),"")</f>
        <v/>
      </c>
      <c r="BF47" t="str">
        <f ca="1">IFERROR(IF(0=LEN(ReferenceData!$BF$47),"",ReferenceData!$BF$47),"")</f>
        <v/>
      </c>
      <c r="BG47" t="str">
        <f ca="1">IFERROR(IF(0=LEN(ReferenceData!$BG$47),"",ReferenceData!$BG$47),"")</f>
        <v/>
      </c>
      <c r="BH47" t="str">
        <f ca="1">IFERROR(IF(0=LEN(ReferenceData!$BH$47),"",ReferenceData!$BH$47),"")</f>
        <v/>
      </c>
      <c r="BI47" t="str">
        <f ca="1">IFERROR(IF(0=LEN(ReferenceData!$BI$47),"",ReferenceData!$BI$47),"")</f>
        <v/>
      </c>
      <c r="BJ47" t="str">
        <f ca="1">IFERROR(IF(0=LEN(ReferenceData!$BJ$47),"",ReferenceData!$BJ$47),"")</f>
        <v/>
      </c>
      <c r="BK47" t="str">
        <f ca="1">IFERROR(IF(0=LEN(ReferenceData!$BK$47),"",ReferenceData!$BK$47),"")</f>
        <v/>
      </c>
      <c r="BL47" t="str">
        <f ca="1">IFERROR(IF(0=LEN(ReferenceData!$BL$47),"",ReferenceData!$BL$47),"")</f>
        <v/>
      </c>
      <c r="BM47" t="str">
        <f ca="1">IFERROR(IF(0=LEN(ReferenceData!$BM$47),"",ReferenceData!$BM$47),"")</f>
        <v/>
      </c>
    </row>
    <row r="48" spans="1:65">
      <c r="A48" t="str">
        <f>IFERROR(IF(0=LEN(ReferenceData!$A$48),"",ReferenceData!$A$48),"")</f>
        <v xml:space="preserve">    Senior Housing Properties Trus</v>
      </c>
      <c r="B48" t="str">
        <f>IFERROR(IF(0=LEN(ReferenceData!$B$48),"",ReferenceData!$B$48),"")</f>
        <v>SNH US Equity</v>
      </c>
      <c r="C48" t="str">
        <f>IFERROR(IF(0=LEN(ReferenceData!$C$48),"",ReferenceData!$C$48),"")</f>
        <v>IS010</v>
      </c>
      <c r="D48" t="str">
        <f>IFERROR(IF(0=LEN(ReferenceData!$D$48),"",ReferenceData!$D$48),"")</f>
        <v>SALES_REV_TURN</v>
      </c>
      <c r="E48" t="str">
        <f>IFERROR(IF(0=LEN(ReferenceData!$E$48),"",ReferenceData!$E$48),"")</f>
        <v>动态</v>
      </c>
      <c r="F48" t="str">
        <f ca="1">IFERROR(IF(0=LEN(ReferenceData!$F$48),"",ReferenceData!$F$48),"")</f>
        <v/>
      </c>
      <c r="G48">
        <f ca="1">IFERROR(IF(0=LEN(ReferenceData!$G$48),"",ReferenceData!$G$48),"")</f>
        <v>278.56599999999997</v>
      </c>
      <c r="H48">
        <f ca="1">IFERROR(IF(0=LEN(ReferenceData!$H$48),"",ReferenceData!$H$48),"")</f>
        <v>266.67899999999997</v>
      </c>
      <c r="I48">
        <f ca="1">IFERROR(IF(0=LEN(ReferenceData!$I$48),"",ReferenceData!$I$48),"")</f>
        <v>265.01299999999998</v>
      </c>
      <c r="J48">
        <f ca="1">IFERROR(IF(0=LEN(ReferenceData!$J$48),"",ReferenceData!$J$48),"")</f>
        <v>264.56099999999998</v>
      </c>
      <c r="K48">
        <f ca="1">IFERROR(IF(0=LEN(ReferenceData!$K$48),"",ReferenceData!$K$48),"")</f>
        <v>274.29599999999999</v>
      </c>
      <c r="L48">
        <f ca="1">IFERROR(IF(0=LEN(ReferenceData!$L$48),"",ReferenceData!$L$48),"")</f>
        <v>263.983</v>
      </c>
      <c r="M48">
        <f ca="1">IFERROR(IF(0=LEN(ReferenceData!$M$48),"",ReferenceData!$M$48),"")</f>
        <v>261.36700000000002</v>
      </c>
      <c r="N48">
        <f ca="1">IFERROR(IF(0=LEN(ReferenceData!$N$48),"",ReferenceData!$N$48),"")</f>
        <v>258.375</v>
      </c>
      <c r="O48">
        <f ca="1">IFERROR(IF(0=LEN(ReferenceData!$O$48),"",ReferenceData!$O$48),"")</f>
        <v>267.51900000000001</v>
      </c>
      <c r="P48">
        <f ca="1">IFERROR(IF(0=LEN(ReferenceData!$P$48),"",ReferenceData!$P$48),"")</f>
        <v>255.27500000000001</v>
      </c>
      <c r="Q48">
        <f ca="1">IFERROR(IF(0=LEN(ReferenceData!$Q$48),"",ReferenceData!$Q$48),"")</f>
        <v>247.40199999999999</v>
      </c>
      <c r="R48">
        <f ca="1">IFERROR(IF(0=LEN(ReferenceData!$R$48),"",ReferenceData!$R$48),"")</f>
        <v>228.577</v>
      </c>
      <c r="S48">
        <f ca="1">IFERROR(IF(0=LEN(ReferenceData!$S$48),"",ReferenceData!$S$48),"")</f>
        <v>229.809</v>
      </c>
      <c r="T48">
        <f ca="1">IFERROR(IF(0=LEN(ReferenceData!$T$48),"",ReferenceData!$T$48),"")</f>
        <v>216.87299999999999</v>
      </c>
      <c r="U48">
        <f ca="1">IFERROR(IF(0=LEN(ReferenceData!$U$48),"",ReferenceData!$U$48),"")</f>
        <v>206.708</v>
      </c>
      <c r="V48">
        <f ca="1">IFERROR(IF(0=LEN(ReferenceData!$V$48),"",ReferenceData!$V$48),"")</f>
        <v>191.49700000000001</v>
      </c>
      <c r="W48">
        <f ca="1">IFERROR(IF(0=LEN(ReferenceData!$W$48),"",ReferenceData!$W$48),"")</f>
        <v>200.33600000000001</v>
      </c>
      <c r="X48">
        <f ca="1">IFERROR(IF(0=LEN(ReferenceData!$X$48),"",ReferenceData!$X$48),"")</f>
        <v>187.26499999999999</v>
      </c>
      <c r="Y48">
        <f ca="1">IFERROR(IF(0=LEN(ReferenceData!$Y$48),"",ReferenceData!$Y$48),"")</f>
        <v>186.928</v>
      </c>
      <c r="Z48">
        <f ca="1">IFERROR(IF(0=LEN(ReferenceData!$Z$48),"",ReferenceData!$Z$48),"")</f>
        <v>186.90799999999999</v>
      </c>
      <c r="AA48">
        <f ca="1">IFERROR(IF(0=LEN(ReferenceData!$AA$48),"",ReferenceData!$AA$48),"")</f>
        <v>194.16399999999999</v>
      </c>
      <c r="AB48">
        <f ca="1">IFERROR(IF(0=LEN(ReferenceData!$AB$48),"",ReferenceData!$AB$48),"")</f>
        <v>156.108</v>
      </c>
      <c r="AC48">
        <f ca="1">IFERROR(IF(0=LEN(ReferenceData!$AC$48),"",ReferenceData!$AC$48),"")</f>
        <v>144.393</v>
      </c>
      <c r="AD48">
        <f ca="1">IFERROR(IF(0=LEN(ReferenceData!$AD$48),"",ReferenceData!$AD$48),"")</f>
        <v>145.07300000000001</v>
      </c>
      <c r="AE48">
        <f ca="1">IFERROR(IF(0=LEN(ReferenceData!$AE$48),"",ReferenceData!$AE$48),"")</f>
        <v>136.60300000000001</v>
      </c>
      <c r="AF48">
        <f ca="1">IFERROR(IF(0=LEN(ReferenceData!$AF$48),"",ReferenceData!$AF$48),"")</f>
        <v>113.7</v>
      </c>
      <c r="AG48">
        <f ca="1">IFERROR(IF(0=LEN(ReferenceData!$AG$48),"",ReferenceData!$AG$48),"")</f>
        <v>101.16200000000001</v>
      </c>
      <c r="AH48">
        <f ca="1">IFERROR(IF(0=LEN(ReferenceData!$AH$48),"",ReferenceData!$AH$48),"")</f>
        <v>98.552000000000007</v>
      </c>
      <c r="AI48">
        <f ca="1">IFERROR(IF(0=LEN(ReferenceData!$AI$48),"",ReferenceData!$AI$48),"")</f>
        <v>97.363</v>
      </c>
      <c r="AJ48">
        <f ca="1">IFERROR(IF(0=LEN(ReferenceData!$AJ$48),"",ReferenceData!$AJ$48),"")</f>
        <v>80.960999999999999</v>
      </c>
      <c r="AK48">
        <f ca="1">IFERROR(IF(0=LEN(ReferenceData!$AK$48),"",ReferenceData!$AK$48),"")</f>
        <v>80.765000000000001</v>
      </c>
      <c r="AL48">
        <f ca="1">IFERROR(IF(0=LEN(ReferenceData!$AL$48),"",ReferenceData!$AL$48),"")</f>
        <v>80.447000000000003</v>
      </c>
      <c r="AM48">
        <f ca="1">IFERROR(IF(0=LEN(ReferenceData!$AM$48),"",ReferenceData!$AM$48),"")</f>
        <v>86.992000000000004</v>
      </c>
      <c r="AN48">
        <f ca="1">IFERROR(IF(0=LEN(ReferenceData!$AN$48),"",ReferenceData!$AN$48),"")</f>
        <v>72.010000000000005</v>
      </c>
      <c r="AO48">
        <f ca="1">IFERROR(IF(0=LEN(ReferenceData!$AO$48),"",ReferenceData!$AO$48),"")</f>
        <v>69.399000000000001</v>
      </c>
      <c r="AP48">
        <f ca="1">IFERROR(IF(0=LEN(ReferenceData!$AP$48),"",ReferenceData!$AP$48),"")</f>
        <v>68.376999999999995</v>
      </c>
      <c r="AQ48">
        <f ca="1">IFERROR(IF(0=LEN(ReferenceData!$AQ$48),"",ReferenceData!$AQ$48),"")</f>
        <v>72.921000000000006</v>
      </c>
      <c r="AR48">
        <f ca="1">IFERROR(IF(0=LEN(ReferenceData!$AR$48),"",ReferenceData!$AR$48),"")</f>
        <v>59.673000000000002</v>
      </c>
      <c r="AS48">
        <f ca="1">IFERROR(IF(0=LEN(ReferenceData!$AS$48),"",ReferenceData!$AS$48),"")</f>
        <v>53.39</v>
      </c>
      <c r="AT48">
        <f ca="1">IFERROR(IF(0=LEN(ReferenceData!$AT$48),"",ReferenceData!$AT$48),"")</f>
        <v>49.552999999999997</v>
      </c>
      <c r="AU48">
        <f ca="1">IFERROR(IF(0=LEN(ReferenceData!$AU$48),"",ReferenceData!$AU$48),"")</f>
        <v>53.084000000000003</v>
      </c>
      <c r="AV48">
        <f ca="1">IFERROR(IF(0=LEN(ReferenceData!$AV$48),"",ReferenceData!$AV$48),"")</f>
        <v>45.223999999999997</v>
      </c>
      <c r="AW48">
        <f ca="1">IFERROR(IF(0=LEN(ReferenceData!$AW$48),"",ReferenceData!$AW$48),"")</f>
        <v>44.962000000000003</v>
      </c>
      <c r="AX48">
        <f ca="1">IFERROR(IF(0=LEN(ReferenceData!$AX$48),"",ReferenceData!$AX$48),"")</f>
        <v>44.752000000000002</v>
      </c>
      <c r="AY48">
        <f ca="1">IFERROR(IF(0=LEN(ReferenceData!$AY$48),"",ReferenceData!$AY$48),"")</f>
        <v>55.043999999999997</v>
      </c>
      <c r="AZ48">
        <f ca="1">IFERROR(IF(0=LEN(ReferenceData!$AZ$48),"",ReferenceData!$AZ$48),"")</f>
        <v>42.317</v>
      </c>
      <c r="BA48">
        <f ca="1">IFERROR(IF(0=LEN(ReferenceData!$BA$48),"",ReferenceData!$BA$48),"")</f>
        <v>41.276000000000003</v>
      </c>
      <c r="BB48">
        <f ca="1">IFERROR(IF(0=LEN(ReferenceData!$BB$48),"",ReferenceData!$BB$48),"")</f>
        <v>41.168999999999997</v>
      </c>
      <c r="BC48">
        <f ca="1">IFERROR(IF(0=LEN(ReferenceData!$BC$48),"",ReferenceData!$BC$48),"")</f>
        <v>44.110999999999997</v>
      </c>
      <c r="BD48">
        <f ca="1">IFERROR(IF(0=LEN(ReferenceData!$BD$48),"",ReferenceData!$BD$48),"")</f>
        <v>40.243999479999999</v>
      </c>
      <c r="BE48">
        <f ca="1">IFERROR(IF(0=LEN(ReferenceData!$BE$48),"",ReferenceData!$BE$48),"")</f>
        <v>39.604999540000001</v>
      </c>
      <c r="BF48">
        <f ca="1">IFERROR(IF(0=LEN(ReferenceData!$BF$48),"",ReferenceData!$BF$48),"")</f>
        <v>39.227001190000003</v>
      </c>
      <c r="BG48">
        <f ca="1">IFERROR(IF(0=LEN(ReferenceData!$BG$48),"",ReferenceData!$BG$48),"")</f>
        <v>40.729999999999997</v>
      </c>
      <c r="BH48">
        <f ca="1">IFERROR(IF(0=LEN(ReferenceData!$BH$48),"",ReferenceData!$BH$48),"")</f>
        <v>35.743999479999999</v>
      </c>
      <c r="BI48">
        <f ca="1">IFERROR(IF(0=LEN(ReferenceData!$BI$48),"",ReferenceData!$BI$48),"")</f>
        <v>35.506000520000001</v>
      </c>
      <c r="BJ48">
        <f ca="1">IFERROR(IF(0=LEN(ReferenceData!$BJ$48),"",ReferenceData!$BJ$48),"")</f>
        <v>36.542999270000003</v>
      </c>
      <c r="BK48">
        <f ca="1">IFERROR(IF(0=LEN(ReferenceData!$BK$48),"",ReferenceData!$BK$48),"")</f>
        <v>35.854999540000001</v>
      </c>
      <c r="BL48">
        <f ca="1">IFERROR(IF(0=LEN(ReferenceData!$BL$48),"",ReferenceData!$BL$48),"")</f>
        <v>32.100999999999999</v>
      </c>
      <c r="BM48">
        <f ca="1">IFERROR(IF(0=LEN(ReferenceData!$BM$48),"",ReferenceData!$BM$48),"")</f>
        <v>31.841999999999999</v>
      </c>
    </row>
    <row r="49" spans="1:65">
      <c r="A49" t="str">
        <f>IFERROR(IF(0=LEN(ReferenceData!$A$49),"",ReferenceData!$A$49),"")</f>
        <v xml:space="preserve">    Ventas Inc</v>
      </c>
      <c r="B49" t="str">
        <f>IFERROR(IF(0=LEN(ReferenceData!$B$49),"",ReferenceData!$B$49),"")</f>
        <v>VTR US Equity</v>
      </c>
      <c r="C49" t="str">
        <f>IFERROR(IF(0=LEN(ReferenceData!$C$49),"",ReferenceData!$C$49),"")</f>
        <v>IS010</v>
      </c>
      <c r="D49" t="str">
        <f>IFERROR(IF(0=LEN(ReferenceData!$D$49),"",ReferenceData!$D$49),"")</f>
        <v>SALES_REV_TURN</v>
      </c>
      <c r="E49" t="str">
        <f>IFERROR(IF(0=LEN(ReferenceData!$E$49),"",ReferenceData!$E$49),"")</f>
        <v>动态</v>
      </c>
      <c r="F49" t="str">
        <f ca="1">IFERROR(IF(0=LEN(ReferenceData!$F$49),"",ReferenceData!$F$49),"")</f>
        <v/>
      </c>
      <c r="G49">
        <f ca="1">IFERROR(IF(0=LEN(ReferenceData!$G$49),"",ReferenceData!$G$49),"")</f>
        <v>895.28800000000001</v>
      </c>
      <c r="H49">
        <f ca="1">IFERROR(IF(0=LEN(ReferenceData!$H$49),"",ReferenceData!$H$49),"")</f>
        <v>899.928</v>
      </c>
      <c r="I49">
        <f ca="1">IFERROR(IF(0=LEN(ReferenceData!$I$49),"",ReferenceData!$I$49),"")</f>
        <v>895.49</v>
      </c>
      <c r="J49">
        <f ca="1">IFERROR(IF(0=LEN(ReferenceData!$J$49),"",ReferenceData!$J$49),"")</f>
        <v>883.44299999999998</v>
      </c>
      <c r="K49">
        <f ca="1">IFERROR(IF(0=LEN(ReferenceData!$K$49),"",ReferenceData!$K$49),"")</f>
        <v>875.71299999999997</v>
      </c>
      <c r="L49">
        <f ca="1">IFERROR(IF(0=LEN(ReferenceData!$L$49),"",ReferenceData!$L$49),"")</f>
        <v>867.11599999999999</v>
      </c>
      <c r="M49">
        <f ca="1">IFERROR(IF(0=LEN(ReferenceData!$M$49),"",ReferenceData!$M$49),"")</f>
        <v>848.404</v>
      </c>
      <c r="N49">
        <f ca="1">IFERROR(IF(0=LEN(ReferenceData!$N$49),"",ReferenceData!$N$49),"")</f>
        <v>852.28899999999999</v>
      </c>
      <c r="O49">
        <f ca="1">IFERROR(IF(0=LEN(ReferenceData!$O$49),"",ReferenceData!$O$49),"")</f>
        <v>841.274</v>
      </c>
      <c r="P49">
        <f ca="1">IFERROR(IF(0=LEN(ReferenceData!$P$49),"",ReferenceData!$P$49),"")</f>
        <v>827.60599999999999</v>
      </c>
      <c r="Q49">
        <f ca="1">IFERROR(IF(0=LEN(ReferenceData!$Q$49),"",ReferenceData!$Q$49),"")</f>
        <v>811.92</v>
      </c>
      <c r="R49">
        <f ca="1">IFERROR(IF(0=LEN(ReferenceData!$R$49),"",ReferenceData!$R$49),"")</f>
        <v>805.59799999999996</v>
      </c>
      <c r="S49">
        <f ca="1">IFERROR(IF(0=LEN(ReferenceData!$S$49),"",ReferenceData!$S$49),"")</f>
        <v>732.09</v>
      </c>
      <c r="T49">
        <f ca="1">IFERROR(IF(0=LEN(ReferenceData!$T$49),"",ReferenceData!$T$49),"")</f>
        <v>704.93200000000002</v>
      </c>
      <c r="U49">
        <f ca="1">IFERROR(IF(0=LEN(ReferenceData!$U$49),"",ReferenceData!$U$49),"")</f>
        <v>751.25400000000002</v>
      </c>
      <c r="V49">
        <f ca="1">IFERROR(IF(0=LEN(ReferenceData!$V$49),"",ReferenceData!$V$49),"")</f>
        <v>741.47</v>
      </c>
      <c r="W49">
        <f ca="1">IFERROR(IF(0=LEN(ReferenceData!$W$49),"",ReferenceData!$W$49),"")</f>
        <v>733.18499999999995</v>
      </c>
      <c r="X49">
        <f ca="1">IFERROR(IF(0=LEN(ReferenceData!$X$49),"",ReferenceData!$X$49),"")</f>
        <v>711.24900000000002</v>
      </c>
      <c r="Y49">
        <f ca="1">IFERROR(IF(0=LEN(ReferenceData!$Y$49),"",ReferenceData!$Y$49),"")</f>
        <v>684.10900000000004</v>
      </c>
      <c r="Z49">
        <f ca="1">IFERROR(IF(0=LEN(ReferenceData!$Z$49),"",ReferenceData!$Z$49),"")</f>
        <v>682.90899999999999</v>
      </c>
      <c r="AA49">
        <f ca="1">IFERROR(IF(0=LEN(ReferenceData!$AA$49),"",ReferenceData!$AA$49),"")</f>
        <v>655.73</v>
      </c>
      <c r="AB49">
        <f ca="1">IFERROR(IF(0=LEN(ReferenceData!$AB$49),"",ReferenceData!$AB$49),"")</f>
        <v>638.65499999999997</v>
      </c>
      <c r="AC49">
        <f ca="1">IFERROR(IF(0=LEN(ReferenceData!$AC$49),"",ReferenceData!$AC$49),"")</f>
        <v>611.96400000000006</v>
      </c>
      <c r="AD49">
        <f ca="1">IFERROR(IF(0=LEN(ReferenceData!$AD$49),"",ReferenceData!$AD$49),"")</f>
        <v>566.42399999999998</v>
      </c>
      <c r="AE49">
        <f ca="1">IFERROR(IF(0=LEN(ReferenceData!$AE$49),"",ReferenceData!$AE$49),"")</f>
        <v>563.14499999999998</v>
      </c>
      <c r="AF49">
        <f ca="1">IFERROR(IF(0=LEN(ReferenceData!$AF$49),"",ReferenceData!$AF$49),"")</f>
        <v>555.37800000000004</v>
      </c>
      <c r="AG49">
        <f ca="1">IFERROR(IF(0=LEN(ReferenceData!$AG$49),"",ReferenceData!$AG$49),"")</f>
        <v>359.50599999999997</v>
      </c>
      <c r="AH49">
        <f ca="1">IFERROR(IF(0=LEN(ReferenceData!$AH$49),"",ReferenceData!$AH$49),"")</f>
        <v>268.43200000000002</v>
      </c>
      <c r="AI49">
        <f ca="1">IFERROR(IF(0=LEN(ReferenceData!$AI$49),"",ReferenceData!$AI$49),"")</f>
        <v>265.96499999999997</v>
      </c>
      <c r="AJ49">
        <f ca="1">IFERROR(IF(0=LEN(ReferenceData!$AJ$49),"",ReferenceData!$AJ$49),"")</f>
        <v>264.66500000000002</v>
      </c>
      <c r="AK49">
        <f ca="1">IFERROR(IF(0=LEN(ReferenceData!$AK$49),"",ReferenceData!$AK$49),"")</f>
        <v>243.32</v>
      </c>
      <c r="AL49">
        <f ca="1">IFERROR(IF(0=LEN(ReferenceData!$AL$49),"",ReferenceData!$AL$49),"")</f>
        <v>240.88800000000001</v>
      </c>
      <c r="AM49">
        <f ca="1">IFERROR(IF(0=LEN(ReferenceData!$AM$49),"",ReferenceData!$AM$49),"")</f>
        <v>237.89599999999999</v>
      </c>
      <c r="AN49">
        <f ca="1">IFERROR(IF(0=LEN(ReferenceData!$AN$49),"",ReferenceData!$AN$49),"")</f>
        <v>234.637</v>
      </c>
      <c r="AO49">
        <f ca="1">IFERROR(IF(0=LEN(ReferenceData!$AO$49),"",ReferenceData!$AO$49),"")</f>
        <v>231.452</v>
      </c>
      <c r="AP49">
        <f ca="1">IFERROR(IF(0=LEN(ReferenceData!$AP$49),"",ReferenceData!$AP$49),"")</f>
        <v>228.904</v>
      </c>
      <c r="AQ49">
        <f ca="1">IFERROR(IF(0=LEN(ReferenceData!$AQ$49),"",ReferenceData!$AQ$49),"")</f>
        <v>232.453</v>
      </c>
      <c r="AR49">
        <f ca="1">IFERROR(IF(0=LEN(ReferenceData!$AR$49),"",ReferenceData!$AR$49),"")</f>
        <v>235.12100000000001</v>
      </c>
      <c r="AS49">
        <f ca="1">IFERROR(IF(0=LEN(ReferenceData!$AS$49),"",ReferenceData!$AS$49),"")</f>
        <v>229.03100000000001</v>
      </c>
      <c r="AT49">
        <f ca="1">IFERROR(IF(0=LEN(ReferenceData!$AT$49),"",ReferenceData!$AT$49),"")</f>
        <v>228.672</v>
      </c>
      <c r="AU49">
        <f ca="1">IFERROR(IF(0=LEN(ReferenceData!$AU$49),"",ReferenceData!$AU$49),"")</f>
        <v>227.74100000000001</v>
      </c>
      <c r="AV49">
        <f ca="1">IFERROR(IF(0=LEN(ReferenceData!$AV$49),"",ReferenceData!$AV$49),"")</f>
        <v>223.49199999999999</v>
      </c>
      <c r="AW49">
        <f ca="1">IFERROR(IF(0=LEN(ReferenceData!$AW$49),"",ReferenceData!$AW$49),"")</f>
        <v>191.917</v>
      </c>
      <c r="AX49">
        <f ca="1">IFERROR(IF(0=LEN(ReferenceData!$AX$49),"",ReferenceData!$AX$49),"")</f>
        <v>117.417</v>
      </c>
      <c r="AY49">
        <f ca="1">IFERROR(IF(0=LEN(ReferenceData!$AY$49),"",ReferenceData!$AY$49),"")</f>
        <v>114.447</v>
      </c>
      <c r="AZ49">
        <f ca="1">IFERROR(IF(0=LEN(ReferenceData!$AZ$49),"",ReferenceData!$AZ$49),"")</f>
        <v>106.85523000000001</v>
      </c>
      <c r="BA49">
        <f ca="1">IFERROR(IF(0=LEN(ReferenceData!$BA$49),"",ReferenceData!$BA$49),"")</f>
        <v>96.736000000000004</v>
      </c>
      <c r="BB49">
        <f ca="1">IFERROR(IF(0=LEN(ReferenceData!$BB$49),"",ReferenceData!$BB$49),"")</f>
        <v>97.813999999999993</v>
      </c>
      <c r="BC49">
        <f ca="1">IFERROR(IF(0=LEN(ReferenceData!$BC$49),"",ReferenceData!$BC$49),"")</f>
        <v>98.302999999999997</v>
      </c>
      <c r="BD49">
        <f ca="1">IFERROR(IF(0=LEN(ReferenceData!$BD$49),"",ReferenceData!$BD$49),"")</f>
        <v>95.933000000000007</v>
      </c>
      <c r="BE49">
        <f ca="1">IFERROR(IF(0=LEN(ReferenceData!$BE$49),"",ReferenceData!$BE$49),"")</f>
        <v>74.951999999999998</v>
      </c>
      <c r="BF49">
        <f ca="1">IFERROR(IF(0=LEN(ReferenceData!$BF$49),"",ReferenceData!$BF$49),"")</f>
        <v>64.003</v>
      </c>
      <c r="BG49">
        <f ca="1">IFERROR(IF(0=LEN(ReferenceData!$BG$49),"",ReferenceData!$BG$49),"")</f>
        <v>62.225999999999999</v>
      </c>
      <c r="BH49">
        <f ca="1">IFERROR(IF(0=LEN(ReferenceData!$BH$49),"",ReferenceData!$BH$49),"")</f>
        <v>61.262</v>
      </c>
      <c r="BI49">
        <f ca="1">IFERROR(IF(0=LEN(ReferenceData!$BI$49),"",ReferenceData!$BI$49),"")</f>
        <v>59.767000000000003</v>
      </c>
      <c r="BJ49">
        <f ca="1">IFERROR(IF(0=LEN(ReferenceData!$BJ$49),"",ReferenceData!$BJ$49),"")</f>
        <v>54.277000000000001</v>
      </c>
      <c r="BK49">
        <f ca="1">IFERROR(IF(0=LEN(ReferenceData!$BK$49),"",ReferenceData!$BK$49),"")</f>
        <v>50.209999080000003</v>
      </c>
      <c r="BL49">
        <f ca="1">IFERROR(IF(0=LEN(ReferenceData!$BL$49),"",ReferenceData!$BL$49),"")</f>
        <v>50.401000979999999</v>
      </c>
      <c r="BM49">
        <f ca="1">IFERROR(IF(0=LEN(ReferenceData!$BM$49),"",ReferenceData!$BM$49),"")</f>
        <v>48.015999999999998</v>
      </c>
    </row>
    <row r="50" spans="1:65">
      <c r="A50" t="str">
        <f>IFERROR(IF(0=LEN(ReferenceData!$A$50),"",ReferenceData!$A$50),"")</f>
        <v xml:space="preserve">    Welltower Inc</v>
      </c>
      <c r="B50" t="str">
        <f>IFERROR(IF(0=LEN(ReferenceData!$B$50),"",ReferenceData!$B$50),"")</f>
        <v>HCN US Equity</v>
      </c>
      <c r="C50" t="str">
        <f>IFERROR(IF(0=LEN(ReferenceData!$C$50),"",ReferenceData!$C$50),"")</f>
        <v>IS010</v>
      </c>
      <c r="D50" t="str">
        <f>IFERROR(IF(0=LEN(ReferenceData!$D$50),"",ReferenceData!$D$50),"")</f>
        <v>SALES_REV_TURN</v>
      </c>
      <c r="E50" t="str">
        <f>IFERROR(IF(0=LEN(ReferenceData!$E$50),"",ReferenceData!$E$50),"")</f>
        <v>动态</v>
      </c>
      <c r="F50" t="str">
        <f ca="1">IFERROR(IF(0=LEN(ReferenceData!$F$50),"",ReferenceData!$F$50),"")</f>
        <v/>
      </c>
      <c r="G50">
        <f ca="1">IFERROR(IF(0=LEN(ReferenceData!$G$50),"",ReferenceData!$G$50),"")</f>
        <v>1104.2570000000001</v>
      </c>
      <c r="H50">
        <f ca="1">IFERROR(IF(0=LEN(ReferenceData!$H$50),"",ReferenceData!$H$50),"")</f>
        <v>1091.4829999999999</v>
      </c>
      <c r="I50">
        <f ca="1">IFERROR(IF(0=LEN(ReferenceData!$I$50),"",ReferenceData!$I$50),"")</f>
        <v>1058.6020000000001</v>
      </c>
      <c r="J50">
        <f ca="1">IFERROR(IF(0=LEN(ReferenceData!$J$50),"",ReferenceData!$J$50),"")</f>
        <v>1062.298</v>
      </c>
      <c r="K50">
        <f ca="1">IFERROR(IF(0=LEN(ReferenceData!$K$50),"",ReferenceData!$K$50),"")</f>
        <v>1078.3209999999999</v>
      </c>
      <c r="L50">
        <f ca="1">IFERROR(IF(0=LEN(ReferenceData!$L$50),"",ReferenceData!$L$50),"")</f>
        <v>1079.133</v>
      </c>
      <c r="M50">
        <f ca="1">IFERROR(IF(0=LEN(ReferenceData!$M$50),"",ReferenceData!$M$50),"")</f>
        <v>1076.6569999999999</v>
      </c>
      <c r="N50">
        <f ca="1">IFERROR(IF(0=LEN(ReferenceData!$N$50),"",ReferenceData!$N$50),"")</f>
        <v>1047.05</v>
      </c>
      <c r="O50">
        <f ca="1">IFERROR(IF(0=LEN(ReferenceData!$O$50),"",ReferenceData!$O$50),"")</f>
        <v>1029.4839999999999</v>
      </c>
      <c r="P50">
        <f ca="1">IFERROR(IF(0=LEN(ReferenceData!$P$50),"",ReferenceData!$P$50),"")</f>
        <v>978.99699999999996</v>
      </c>
      <c r="Q50">
        <f ca="1">IFERROR(IF(0=LEN(ReferenceData!$Q$50),"",ReferenceData!$Q$50),"")</f>
        <v>957.16899999999998</v>
      </c>
      <c r="R50">
        <f ca="1">IFERROR(IF(0=LEN(ReferenceData!$R$50),"",ReferenceData!$R$50),"")</f>
        <v>894.17700000000002</v>
      </c>
      <c r="S50">
        <f ca="1">IFERROR(IF(0=LEN(ReferenceData!$S$50),"",ReferenceData!$S$50),"")</f>
        <v>867.76900000000001</v>
      </c>
      <c r="T50">
        <f ca="1">IFERROR(IF(0=LEN(ReferenceData!$T$50),"",ReferenceData!$T$50),"")</f>
        <v>847.52300000000002</v>
      </c>
      <c r="U50">
        <f ca="1">IFERROR(IF(0=LEN(ReferenceData!$U$50),"",ReferenceData!$U$50),"")</f>
        <v>826.44600000000003</v>
      </c>
      <c r="V50">
        <f ca="1">IFERROR(IF(0=LEN(ReferenceData!$V$50),"",ReferenceData!$V$50),"")</f>
        <v>801.80700000000002</v>
      </c>
      <c r="W50">
        <f ca="1">IFERROR(IF(0=LEN(ReferenceData!$W$50),"",ReferenceData!$W$50),"")</f>
        <v>788.577</v>
      </c>
      <c r="X50">
        <f ca="1">IFERROR(IF(0=LEN(ReferenceData!$X$50),"",ReferenceData!$X$50),"")</f>
        <v>783.71100000000001</v>
      </c>
      <c r="Y50">
        <f ca="1">IFERROR(IF(0=LEN(ReferenceData!$Y$50),"",ReferenceData!$Y$50),"")</f>
        <v>678.53300000000002</v>
      </c>
      <c r="Z50">
        <f ca="1">IFERROR(IF(0=LEN(ReferenceData!$Z$50),"",ReferenceData!$Z$50),"")</f>
        <v>629.72400000000005</v>
      </c>
      <c r="AA50">
        <f ca="1">IFERROR(IF(0=LEN(ReferenceData!$AA$50),"",ReferenceData!$AA$50),"")</f>
        <v>496.964</v>
      </c>
      <c r="AB50">
        <f ca="1">IFERROR(IF(0=LEN(ReferenceData!$AB$50),"",ReferenceData!$AB$50),"")</f>
        <v>461.83300000000003</v>
      </c>
      <c r="AC50">
        <f ca="1">IFERROR(IF(0=LEN(ReferenceData!$AC$50),"",ReferenceData!$AC$50),"")</f>
        <v>438.71899999999999</v>
      </c>
      <c r="AD50">
        <f ca="1">IFERROR(IF(0=LEN(ReferenceData!$AD$50),"",ReferenceData!$AD$50),"")</f>
        <v>417.99599999999998</v>
      </c>
      <c r="AE50">
        <f ca="1">IFERROR(IF(0=LEN(ReferenceData!$AE$50),"",ReferenceData!$AE$50),"")</f>
        <v>384.565</v>
      </c>
      <c r="AF50">
        <f ca="1">IFERROR(IF(0=LEN(ReferenceData!$AF$50),"",ReferenceData!$AF$50),"")</f>
        <v>370.73</v>
      </c>
      <c r="AG50">
        <f ca="1">IFERROR(IF(0=LEN(ReferenceData!$AG$50),"",ReferenceData!$AG$50),"")</f>
        <v>369.60199999999998</v>
      </c>
      <c r="AH50">
        <f ca="1">IFERROR(IF(0=LEN(ReferenceData!$AH$50),"",ReferenceData!$AH$50),"")</f>
        <v>245.756</v>
      </c>
      <c r="AI50">
        <f ca="1">IFERROR(IF(0=LEN(ReferenceData!$AI$50),"",ReferenceData!$AI$50),"")</f>
        <v>196.423</v>
      </c>
      <c r="AJ50">
        <f ca="1">IFERROR(IF(0=LEN(ReferenceData!$AJ$50),"",ReferenceData!$AJ$50),"")</f>
        <v>168.94300000000001</v>
      </c>
      <c r="AK50">
        <f ca="1">IFERROR(IF(0=LEN(ReferenceData!$AK$50),"",ReferenceData!$AK$50),"")</f>
        <v>153.749</v>
      </c>
      <c r="AL50">
        <f ca="1">IFERROR(IF(0=LEN(ReferenceData!$AL$50),"",ReferenceData!$AL$50),"")</f>
        <v>145.37700000000001</v>
      </c>
      <c r="AM50">
        <f ca="1">IFERROR(IF(0=LEN(ReferenceData!$AM$50),"",ReferenceData!$AM$50),"")</f>
        <v>141.40299999999999</v>
      </c>
      <c r="AN50">
        <f ca="1">IFERROR(IF(0=LEN(ReferenceData!$AN$50),"",ReferenceData!$AN$50),"")</f>
        <v>140.14400000000001</v>
      </c>
      <c r="AO50">
        <f ca="1">IFERROR(IF(0=LEN(ReferenceData!$AO$50),"",ReferenceData!$AO$50),"")</f>
        <v>139.03899999999999</v>
      </c>
      <c r="AP50">
        <f ca="1">IFERROR(IF(0=LEN(ReferenceData!$AP$50),"",ReferenceData!$AP$50),"")</f>
        <v>138.846</v>
      </c>
      <c r="AQ50">
        <f ca="1">IFERROR(IF(0=LEN(ReferenceData!$AQ$50),"",ReferenceData!$AQ$50),"")</f>
        <v>131.239</v>
      </c>
      <c r="AR50">
        <f ca="1">IFERROR(IF(0=LEN(ReferenceData!$AR$50),"",ReferenceData!$AR$50),"")</f>
        <v>139.34899999999999</v>
      </c>
      <c r="AS50">
        <f ca="1">IFERROR(IF(0=LEN(ReferenceData!$AS$50),"",ReferenceData!$AS$50),"")</f>
        <v>129.185</v>
      </c>
      <c r="AT50">
        <f ca="1">IFERROR(IF(0=LEN(ReferenceData!$AT$50),"",ReferenceData!$AT$50),"")</f>
        <v>126.633</v>
      </c>
      <c r="AU50">
        <f ca="1">IFERROR(IF(0=LEN(ReferenceData!$AU$50),"",ReferenceData!$AU$50),"")</f>
        <v>125.286</v>
      </c>
      <c r="AV50">
        <f ca="1">IFERROR(IF(0=LEN(ReferenceData!$AV$50),"",ReferenceData!$AV$50),"")</f>
        <v>118.745</v>
      </c>
      <c r="AW50">
        <f ca="1">IFERROR(IF(0=LEN(ReferenceData!$AW$50),"",ReferenceData!$AW$50),"")</f>
        <v>112.74299999999999</v>
      </c>
      <c r="AX50">
        <f ca="1">IFERROR(IF(0=LEN(ReferenceData!$AX$50),"",ReferenceData!$AX$50),"")</f>
        <v>110.23699999999999</v>
      </c>
      <c r="AY50">
        <f ca="1">IFERROR(IF(0=LEN(ReferenceData!$AY$50),"",ReferenceData!$AY$50),"")</f>
        <v>87.787000000000006</v>
      </c>
      <c r="AZ50">
        <f ca="1">IFERROR(IF(0=LEN(ReferenceData!$AZ$50),"",ReferenceData!$AZ$50),"")</f>
        <v>78.783000000000001</v>
      </c>
      <c r="BA50">
        <f ca="1">IFERROR(IF(0=LEN(ReferenceData!$BA$50),"",ReferenceData!$BA$50),"")</f>
        <v>77.902000000000001</v>
      </c>
      <c r="BB50">
        <f ca="1">IFERROR(IF(0=LEN(ReferenceData!$BB$50),"",ReferenceData!$BB$50),"")</f>
        <v>76.007999999999996</v>
      </c>
      <c r="BC50">
        <f ca="1">IFERROR(IF(0=LEN(ReferenceData!$BC$50),"",ReferenceData!$BC$50),"")</f>
        <v>76.013999999999996</v>
      </c>
      <c r="BD50">
        <f ca="1">IFERROR(IF(0=LEN(ReferenceData!$BD$50),"",ReferenceData!$BD$50),"")</f>
        <v>70.286000000000001</v>
      </c>
      <c r="BE50">
        <f ca="1">IFERROR(IF(0=LEN(ReferenceData!$BE$50),"",ReferenceData!$BE$50),"")</f>
        <v>65.393000000000001</v>
      </c>
      <c r="BF50">
        <f ca="1">IFERROR(IF(0=LEN(ReferenceData!$BF$50),"",ReferenceData!$BF$50),"")</f>
        <v>65.197999999999993</v>
      </c>
      <c r="BG50">
        <f ca="1">IFERROR(IF(0=LEN(ReferenceData!$BG$50),"",ReferenceData!$BG$50),"")</f>
        <v>55.131</v>
      </c>
      <c r="BH50">
        <f ca="1">IFERROR(IF(0=LEN(ReferenceData!$BH$50),"",ReferenceData!$BH$50),"")</f>
        <v>63.628999999999998</v>
      </c>
      <c r="BI50">
        <f ca="1">IFERROR(IF(0=LEN(ReferenceData!$BI$50),"",ReferenceData!$BI$50),"")</f>
        <v>59.334000000000003</v>
      </c>
      <c r="BJ50">
        <f ca="1">IFERROR(IF(0=LEN(ReferenceData!$BJ$50),"",ReferenceData!$BJ$50),"")</f>
        <v>60.960999999999999</v>
      </c>
      <c r="BK50">
        <f ca="1">IFERROR(IF(0=LEN(ReferenceData!$BK$50),"",ReferenceData!$BK$50),"")</f>
        <v>61.240001999999997</v>
      </c>
      <c r="BL50">
        <f ca="1">IFERROR(IF(0=LEN(ReferenceData!$BL$50),"",ReferenceData!$BL$50),"")</f>
        <v>49.085999999999999</v>
      </c>
      <c r="BM50">
        <f ca="1">IFERROR(IF(0=LEN(ReferenceData!$BM$50),"",ReferenceData!$BM$50),"")</f>
        <v>44.822000000000003</v>
      </c>
    </row>
    <row r="51" spans="1:65">
      <c r="A51" t="str">
        <f>IFERROR(IF(0=LEN(ReferenceData!$A$51),"",ReferenceData!$A$51),"")</f>
        <v>营业净利润</v>
      </c>
      <c r="B51" t="str">
        <f>IFERROR(IF(0=LEN(ReferenceData!$B$51),"",ReferenceData!$B$51),"")</f>
        <v/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Median</v>
      </c>
      <c r="F51" t="str">
        <f ca="1">IFERROR(IF(0=LEN(ReferenceData!$F$51),"",ReferenceData!$F$51),"")</f>
        <v/>
      </c>
      <c r="G51">
        <f ca="1">IFERROR(IF(0=LEN(ReferenceData!$G$51),"",ReferenceData!$G$51),"")</f>
        <v>178.05950000000001</v>
      </c>
      <c r="H51">
        <f ca="1">IFERROR(IF(0=LEN(ReferenceData!$H$51),"",ReferenceData!$H$51),"")</f>
        <v>170.35399999999998</v>
      </c>
      <c r="I51">
        <f ca="1">IFERROR(IF(0=LEN(ReferenceData!$I$51),"",ReferenceData!$I$51),"")</f>
        <v>166.1575</v>
      </c>
      <c r="J51">
        <f ca="1">IFERROR(IF(0=LEN(ReferenceData!$J$51),"",ReferenceData!$J$51),"")</f>
        <v>158.773</v>
      </c>
      <c r="K51">
        <f ca="1">IFERROR(IF(0=LEN(ReferenceData!$K$51),"",ReferenceData!$K$51),"")</f>
        <v>123.425</v>
      </c>
      <c r="L51">
        <f ca="1">IFERROR(IF(0=LEN(ReferenceData!$L$51),"",ReferenceData!$L$51),"")</f>
        <v>106.899</v>
      </c>
      <c r="M51">
        <f ca="1">IFERROR(IF(0=LEN(ReferenceData!$M$51),"",ReferenceData!$M$51),"")</f>
        <v>99.278999999999996</v>
      </c>
      <c r="N51">
        <f ca="1">IFERROR(IF(0=LEN(ReferenceData!$N$51),"",ReferenceData!$N$51),"")</f>
        <v>100.328</v>
      </c>
      <c r="O51">
        <f ca="1">IFERROR(IF(0=LEN(ReferenceData!$O$51),"",ReferenceData!$O$51),"")</f>
        <v>96.100999999999999</v>
      </c>
      <c r="P51">
        <f ca="1">IFERROR(IF(0=LEN(ReferenceData!$P$51),"",ReferenceData!$P$51),"")</f>
        <v>88.346000000000004</v>
      </c>
      <c r="Q51">
        <f ca="1">IFERROR(IF(0=LEN(ReferenceData!$Q$51),"",ReferenceData!$Q$51),"")</f>
        <v>78.968000000000004</v>
      </c>
      <c r="R51">
        <f ca="1">IFERROR(IF(0=LEN(ReferenceData!$R$51),"",ReferenceData!$R$51),"")</f>
        <v>92.670999999999992</v>
      </c>
      <c r="S51">
        <f ca="1">IFERROR(IF(0=LEN(ReferenceData!$S$51),"",ReferenceData!$S$51),"")</f>
        <v>89.795999999999992</v>
      </c>
      <c r="T51">
        <f ca="1">IFERROR(IF(0=LEN(ReferenceData!$T$51),"",ReferenceData!$T$51),"")</f>
        <v>89.248999999999995</v>
      </c>
      <c r="U51">
        <f ca="1">IFERROR(IF(0=LEN(ReferenceData!$U$51),"",ReferenceData!$U$51),"")</f>
        <v>86.135000000000005</v>
      </c>
      <c r="V51">
        <f ca="1">IFERROR(IF(0=LEN(ReferenceData!$V$51),"",ReferenceData!$V$51),"")</f>
        <v>85.432500000000005</v>
      </c>
      <c r="W51">
        <f ca="1">IFERROR(IF(0=LEN(ReferenceData!$W$51),"",ReferenceData!$W$51),"")</f>
        <v>79.444999999999993</v>
      </c>
      <c r="X51">
        <f ca="1">IFERROR(IF(0=LEN(ReferenceData!$X$51),"",ReferenceData!$X$51),"")</f>
        <v>74.984499999999997</v>
      </c>
      <c r="Y51">
        <f ca="1">IFERROR(IF(0=LEN(ReferenceData!$Y$51),"",ReferenceData!$Y$51),"")</f>
        <v>73.722499999999997</v>
      </c>
      <c r="Z51">
        <f ca="1">IFERROR(IF(0=LEN(ReferenceData!$Z$51),"",ReferenceData!$Z$51),"")</f>
        <v>72.6905</v>
      </c>
      <c r="AA51">
        <f ca="1">IFERROR(IF(0=LEN(ReferenceData!$AA$51),"",ReferenceData!$AA$51),"")</f>
        <v>67.960999999999999</v>
      </c>
      <c r="AB51">
        <f ca="1">IFERROR(IF(0=LEN(ReferenceData!$AB$51),"",ReferenceData!$AB$51),"")</f>
        <v>72.56049999999999</v>
      </c>
      <c r="AC51">
        <f ca="1">IFERROR(IF(0=LEN(ReferenceData!$AC$51),"",ReferenceData!$AC$51),"")</f>
        <v>71.908500000000004</v>
      </c>
      <c r="AD51">
        <f ca="1">IFERROR(IF(0=LEN(ReferenceData!$AD$51),"",ReferenceData!$AD$51),"")</f>
        <v>73.073000000000008</v>
      </c>
      <c r="AE51">
        <f ca="1">IFERROR(IF(0=LEN(ReferenceData!$AE$51),"",ReferenceData!$AE$51),"")</f>
        <v>81.659500000000008</v>
      </c>
      <c r="AF51">
        <f ca="1">IFERROR(IF(0=LEN(ReferenceData!$AF$51),"",ReferenceData!$AF$51),"")</f>
        <v>81.084499999999991</v>
      </c>
      <c r="AG51">
        <f ca="1">IFERROR(IF(0=LEN(ReferenceData!$AG$51),"",ReferenceData!$AG$51),"")</f>
        <v>78.751499999999993</v>
      </c>
      <c r="AH51">
        <f ca="1">IFERROR(IF(0=LEN(ReferenceData!$AH$51),"",ReferenceData!$AH$51),"")</f>
        <v>77.228000000000009</v>
      </c>
      <c r="AI51">
        <f ca="1">IFERROR(IF(0=LEN(ReferenceData!$AI$51),"",ReferenceData!$AI$51),"")</f>
        <v>90.959000000000003</v>
      </c>
      <c r="AJ51">
        <f ca="1">IFERROR(IF(0=LEN(ReferenceData!$AJ$51),"",ReferenceData!$AJ$51),"")</f>
        <v>76.366</v>
      </c>
      <c r="AK51">
        <f ca="1">IFERROR(IF(0=LEN(ReferenceData!$AK$51),"",ReferenceData!$AK$51),"")</f>
        <v>76.620999999999995</v>
      </c>
      <c r="AL51">
        <f ca="1">IFERROR(IF(0=LEN(ReferenceData!$AL$51),"",ReferenceData!$AL$51),"")</f>
        <v>76.072000000000003</v>
      </c>
      <c r="AM51">
        <f ca="1">IFERROR(IF(0=LEN(ReferenceData!$AM$51),"",ReferenceData!$AM$51),"")</f>
        <v>83.81049999999999</v>
      </c>
      <c r="AN51">
        <f ca="1">IFERROR(IF(0=LEN(ReferenceData!$AN$51),"",ReferenceData!$AN$51),"")</f>
        <v>75.664500000000004</v>
      </c>
      <c r="AO51">
        <f ca="1">IFERROR(IF(0=LEN(ReferenceData!$AO$51),"",ReferenceData!$AO$51),"")</f>
        <v>74.542500000000004</v>
      </c>
      <c r="AP51">
        <f ca="1">IFERROR(IF(0=LEN(ReferenceData!$AP$51),"",ReferenceData!$AP$51),"")</f>
        <v>81.897500000000008</v>
      </c>
      <c r="AQ51">
        <f ca="1">IFERROR(IF(0=LEN(ReferenceData!$AQ$51),"",ReferenceData!$AQ$51),"")</f>
        <v>82.28</v>
      </c>
      <c r="AR51">
        <f ca="1">IFERROR(IF(0=LEN(ReferenceData!$AR$51),"",ReferenceData!$AR$51),"")</f>
        <v>69.353499999999997</v>
      </c>
      <c r="AS51">
        <f ca="1">IFERROR(IF(0=LEN(ReferenceData!$AS$51),"",ReferenceData!$AS$51),"")</f>
        <v>78.742000000000004</v>
      </c>
      <c r="AT51">
        <f ca="1">IFERROR(IF(0=LEN(ReferenceData!$AT$51),"",ReferenceData!$AT$51),"")</f>
        <v>63.516999999999996</v>
      </c>
      <c r="AU51">
        <f ca="1">IFERROR(IF(0=LEN(ReferenceData!$AU$51),"",ReferenceData!$AU$51),"")</f>
        <v>64.649500000000003</v>
      </c>
      <c r="AV51">
        <f ca="1">IFERROR(IF(0=LEN(ReferenceData!$AV$51),"",ReferenceData!$AV$51),"")</f>
        <v>59.049499999999995</v>
      </c>
      <c r="AW51">
        <f ca="1">IFERROR(IF(0=LEN(ReferenceData!$AW$51),"",ReferenceData!$AW$51),"")</f>
        <v>68.200999999999993</v>
      </c>
      <c r="AX51">
        <f ca="1">IFERROR(IF(0=LEN(ReferenceData!$AX$51),"",ReferenceData!$AX$51),"")</f>
        <v>56.036000000000001</v>
      </c>
      <c r="AY51">
        <f ca="1">IFERROR(IF(0=LEN(ReferenceData!$AY$51),"",ReferenceData!$AY$51),"")</f>
        <v>60.504500000000007</v>
      </c>
      <c r="AZ51">
        <f ca="1">IFERROR(IF(0=LEN(ReferenceData!$AZ$51),"",ReferenceData!$AZ$51),"")</f>
        <v>51.7545</v>
      </c>
      <c r="BA51">
        <f ca="1">IFERROR(IF(0=LEN(ReferenceData!$BA$51),"",ReferenceData!$BA$51),"")</f>
        <v>47.1995</v>
      </c>
      <c r="BB51">
        <f ca="1">IFERROR(IF(0=LEN(ReferenceData!$BB$51),"",ReferenceData!$BB$51),"")</f>
        <v>45.883499999999998</v>
      </c>
      <c r="BC51">
        <f ca="1">IFERROR(IF(0=LEN(ReferenceData!$BC$51),"",ReferenceData!$BC$51),"")</f>
        <v>45.814</v>
      </c>
      <c r="BD51">
        <f ca="1">IFERROR(IF(0=LEN(ReferenceData!$BD$51),"",ReferenceData!$BD$51),"")</f>
        <v>39.506000520000001</v>
      </c>
      <c r="BE51">
        <f ca="1">IFERROR(IF(0=LEN(ReferenceData!$BE$51),"",ReferenceData!$BE$51),"")</f>
        <v>39.094001769999998</v>
      </c>
      <c r="BF51">
        <f ca="1">IFERROR(IF(0=LEN(ReferenceData!$BF$51),"",ReferenceData!$BF$51),"")</f>
        <v>38.888000490000003</v>
      </c>
      <c r="BG51">
        <f ca="1">IFERROR(IF(0=LEN(ReferenceData!$BG$51),"",ReferenceData!$BG$51),"")</f>
        <v>40.286000000000001</v>
      </c>
      <c r="BH51">
        <f ca="1">IFERROR(IF(0=LEN(ReferenceData!$BH$51),"",ReferenceData!$BH$51),"")</f>
        <v>35.361499344999999</v>
      </c>
      <c r="BI51">
        <f ca="1">IFERROR(IF(0=LEN(ReferenceData!$BI$51),"",ReferenceData!$BI$51),"")</f>
        <v>34.647999589999998</v>
      </c>
      <c r="BJ51">
        <f ca="1">IFERROR(IF(0=LEN(ReferenceData!$BJ$51),"",ReferenceData!$BJ$51),"")</f>
        <v>34.090999285000002</v>
      </c>
      <c r="BK51">
        <f ca="1">IFERROR(IF(0=LEN(ReferenceData!$BK$51),"",ReferenceData!$BK$51),"")</f>
        <v>35.541000369999999</v>
      </c>
      <c r="BL51">
        <f ca="1">IFERROR(IF(0=LEN(ReferenceData!$BL$51),"",ReferenceData!$BL$51),"")</f>
        <v>32.140998840000002</v>
      </c>
      <c r="BM51">
        <f ca="1">IFERROR(IF(0=LEN(ReferenceData!$BM$51),"",ReferenceData!$BM$51),"")</f>
        <v>35.289998050000001</v>
      </c>
    </row>
    <row r="52" spans="1:65">
      <c r="A52" t="str">
        <f>IFERROR(IF(0=LEN(ReferenceData!$A$52),"",ReferenceData!$A$52),"")</f>
        <v xml:space="preserve">    Alexandria Real Estate Equitie</v>
      </c>
      <c r="B52" t="str">
        <f>IFERROR(IF(0=LEN(ReferenceData!$B$52),"",ReferenceData!$B$52),"")</f>
        <v>ARE US Equity</v>
      </c>
      <c r="C52" t="str">
        <f>IFERROR(IF(0=LEN(ReferenceData!$C$52),"",ReferenceData!$C$52),"")</f>
        <v>RR502</v>
      </c>
      <c r="D52" t="str">
        <f>IFERROR(IF(0=LEN(ReferenceData!$D$52),"",ReferenceData!$D$52),"")</f>
        <v>NET_OPER_INCOME</v>
      </c>
      <c r="E52" t="str">
        <f>IFERROR(IF(0=LEN(ReferenceData!$E$52),"",ReferenceData!$E$52),"")</f>
        <v>动态</v>
      </c>
      <c r="F52" t="str">
        <f ca="1">IFERROR(IF(0=LEN(ReferenceData!$F$52),"",ReferenceData!$F$52),"")</f>
        <v/>
      </c>
      <c r="G52">
        <f ca="1">IFERROR(IF(0=LEN(ReferenceData!$G$52),"",ReferenceData!$G$52),"")</f>
        <v>210.22200000000001</v>
      </c>
      <c r="H52">
        <f ca="1">IFERROR(IF(0=LEN(ReferenceData!$H$52),"",ReferenceData!$H$52),"")</f>
        <v>199.61</v>
      </c>
      <c r="I52">
        <f ca="1">IFERROR(IF(0=LEN(ReferenceData!$I$52),"",ReferenceData!$I$52),"")</f>
        <v>195.43199999999999</v>
      </c>
      <c r="J52">
        <f ca="1">IFERROR(IF(0=LEN(ReferenceData!$J$52),"",ReferenceData!$J$52),"")</f>
        <v>191.452</v>
      </c>
      <c r="K52">
        <f ca="1">IFERROR(IF(0=LEN(ReferenceData!$K$52),"",ReferenceData!$K$52),"")</f>
        <v>172.34100000000001</v>
      </c>
      <c r="L52">
        <f ca="1">IFERROR(IF(0=LEN(ReferenceData!$L$52),"",ReferenceData!$L$52),"")</f>
        <v>153.27000000000001</v>
      </c>
      <c r="M52">
        <f ca="1">IFERROR(IF(0=LEN(ReferenceData!$M$52),"",ReferenceData!$M$52),"")</f>
        <v>148.41999999999999</v>
      </c>
      <c r="N52">
        <f ca="1">IFERROR(IF(0=LEN(ReferenceData!$N$52),"",ReferenceData!$N$52),"")</f>
        <v>145.036</v>
      </c>
      <c r="O52">
        <f ca="1">IFERROR(IF(0=LEN(ReferenceData!$O$52),"",ReferenceData!$O$52),"")</f>
        <v>144.143</v>
      </c>
      <c r="P52">
        <f ca="1">IFERROR(IF(0=LEN(ReferenceData!$P$52),"",ReferenceData!$P$52),"")</f>
        <v>142.584</v>
      </c>
      <c r="Q52">
        <f ca="1">IFERROR(IF(0=LEN(ReferenceData!$Q$52),"",ReferenceData!$Q$52),"")</f>
        <v>139.149</v>
      </c>
      <c r="R52">
        <f ca="1">IFERROR(IF(0=LEN(ReferenceData!$R$52),"",ReferenceData!$R$52),"")</f>
        <v>130.779</v>
      </c>
      <c r="S52">
        <f ca="1">IFERROR(IF(0=LEN(ReferenceData!$S$52),"",ReferenceData!$S$52),"")</f>
        <v>129.274</v>
      </c>
      <c r="T52">
        <f ca="1">IFERROR(IF(0=LEN(ReferenceData!$T$52),"",ReferenceData!$T$52),"")</f>
        <v>125.867</v>
      </c>
      <c r="U52">
        <f ca="1">IFERROR(IF(0=LEN(ReferenceData!$U$52),"",ReferenceData!$U$52),"")</f>
        <v>123.583</v>
      </c>
      <c r="V52">
        <f ca="1">IFERROR(IF(0=LEN(ReferenceData!$V$52),"",ReferenceData!$V$52),"")</f>
        <v>119.745</v>
      </c>
      <c r="W52">
        <f ca="1">IFERROR(IF(0=LEN(ReferenceData!$W$52),"",ReferenceData!$W$52),"")</f>
        <v>115.771</v>
      </c>
      <c r="X52">
        <f ca="1">IFERROR(IF(0=LEN(ReferenceData!$X$52),"",ReferenceData!$X$52),"")</f>
        <v>107.059</v>
      </c>
      <c r="Y52">
        <f ca="1">IFERROR(IF(0=LEN(ReferenceData!$Y$52),"",ReferenceData!$Y$52),"")</f>
        <v>104.08499999999999</v>
      </c>
      <c r="Z52">
        <f ca="1">IFERROR(IF(0=LEN(ReferenceData!$Z$52),"",ReferenceData!$Z$52),"")</f>
        <v>101.905</v>
      </c>
      <c r="AA52">
        <f ca="1">IFERROR(IF(0=LEN(ReferenceData!$AA$52),"",ReferenceData!$AA$52),"")</f>
        <v>101.337</v>
      </c>
      <c r="AB52">
        <f ca="1">IFERROR(IF(0=LEN(ReferenceData!$AB$52),"",ReferenceData!$AB$52),"")</f>
        <v>96.019000000000005</v>
      </c>
      <c r="AC52">
        <f ca="1">IFERROR(IF(0=LEN(ReferenceData!$AC$52),"",ReferenceData!$AC$52),"")</f>
        <v>94.108000000000004</v>
      </c>
      <c r="AD52">
        <f ca="1">IFERROR(IF(0=LEN(ReferenceData!$AD$52),"",ReferenceData!$AD$52),"")</f>
        <v>92.63</v>
      </c>
      <c r="AE52">
        <f ca="1">IFERROR(IF(0=LEN(ReferenceData!$AE$52),"",ReferenceData!$AE$52),"")</f>
        <v>96.111999999999995</v>
      </c>
      <c r="AF52">
        <f ca="1">IFERROR(IF(0=LEN(ReferenceData!$AF$52),"",ReferenceData!$AF$52),"")</f>
        <v>94.72</v>
      </c>
      <c r="AG52">
        <f ca="1">IFERROR(IF(0=LEN(ReferenceData!$AG$52),"",ReferenceData!$AG$52),"")</f>
        <v>101.8</v>
      </c>
      <c r="AH52">
        <f ca="1">IFERROR(IF(0=LEN(ReferenceData!$AH$52),"",ReferenceData!$AH$52),"")</f>
        <v>98.081999999999994</v>
      </c>
      <c r="AI52">
        <f ca="1">IFERROR(IF(0=LEN(ReferenceData!$AI$52),"",ReferenceData!$AI$52),"")</f>
        <v>93.456999999999994</v>
      </c>
      <c r="AJ52">
        <f ca="1">IFERROR(IF(0=LEN(ReferenceData!$AJ$52),"",ReferenceData!$AJ$52),"")</f>
        <v>85.591999999999999</v>
      </c>
      <c r="AK52">
        <f ca="1">IFERROR(IF(0=LEN(ReferenceData!$AK$52),"",ReferenceData!$AK$52),"")</f>
        <v>85.753</v>
      </c>
      <c r="AL52">
        <f ca="1">IFERROR(IF(0=LEN(ReferenceData!$AL$52),"",ReferenceData!$AL$52),"")</f>
        <v>83.873000000000005</v>
      </c>
      <c r="AM52">
        <f ca="1">IFERROR(IF(0=LEN(ReferenceData!$AM$52),"",ReferenceData!$AM$52),"")</f>
        <v>84.616</v>
      </c>
      <c r="AN52">
        <f ca="1">IFERROR(IF(0=LEN(ReferenceData!$AN$52),"",ReferenceData!$AN$52),"")</f>
        <v>83.430999999999997</v>
      </c>
      <c r="AO52">
        <f ca="1">IFERROR(IF(0=LEN(ReferenceData!$AO$52),"",ReferenceData!$AO$52),"")</f>
        <v>82.905000000000001</v>
      </c>
      <c r="AP52">
        <f ca="1">IFERROR(IF(0=LEN(ReferenceData!$AP$52),"",ReferenceData!$AP$52),"")</f>
        <v>98.373000000000005</v>
      </c>
      <c r="AQ52">
        <f ca="1">IFERROR(IF(0=LEN(ReferenceData!$AQ$52),"",ReferenceData!$AQ$52),"")</f>
        <v>93.608999999999995</v>
      </c>
      <c r="AR52">
        <f ca="1">IFERROR(IF(0=LEN(ReferenceData!$AR$52),"",ReferenceData!$AR$52),"")</f>
        <v>80.834000000000003</v>
      </c>
      <c r="AS52">
        <f ca="1">IFERROR(IF(0=LEN(ReferenceData!$AS$52),"",ReferenceData!$AS$52),"")</f>
        <v>78.742000000000004</v>
      </c>
      <c r="AT52">
        <f ca="1">IFERROR(IF(0=LEN(ReferenceData!$AT$52),"",ReferenceData!$AT$52),"")</f>
        <v>78.051000000000002</v>
      </c>
      <c r="AU52">
        <f ca="1">IFERROR(IF(0=LEN(ReferenceData!$AU$52),"",ReferenceData!$AU$52),"")</f>
        <v>76.707999999999998</v>
      </c>
      <c r="AV52">
        <f ca="1">IFERROR(IF(0=LEN(ReferenceData!$AV$52),"",ReferenceData!$AV$52),"")</f>
        <v>73.445999999999998</v>
      </c>
      <c r="AW52">
        <f ca="1">IFERROR(IF(0=LEN(ReferenceData!$AW$52),"",ReferenceData!$AW$52),"")</f>
        <v>68.200999999999993</v>
      </c>
      <c r="AX52">
        <f ca="1">IFERROR(IF(0=LEN(ReferenceData!$AX$52),"",ReferenceData!$AX$52),"")</f>
        <v>67.771000000000001</v>
      </c>
      <c r="AY52">
        <f ca="1">IFERROR(IF(0=LEN(ReferenceData!$AY$52),"",ReferenceData!$AY$52),"")</f>
        <v>66.364000000000004</v>
      </c>
      <c r="AZ52">
        <f ca="1">IFERROR(IF(0=LEN(ReferenceData!$AZ$52),"",ReferenceData!$AZ$52),"")</f>
        <v>61.526000000000003</v>
      </c>
      <c r="BA52">
        <f ca="1">IFERROR(IF(0=LEN(ReferenceData!$BA$52),"",ReferenceData!$BA$52),"")</f>
        <v>53.478000000000002</v>
      </c>
      <c r="BB52">
        <f ca="1">IFERROR(IF(0=LEN(ReferenceData!$BB$52),"",ReferenceData!$BB$52),"")</f>
        <v>50.944000000000003</v>
      </c>
      <c r="BC52">
        <f ca="1">IFERROR(IF(0=LEN(ReferenceData!$BC$52),"",ReferenceData!$BC$52),"")</f>
        <v>47.850999999999999</v>
      </c>
      <c r="BD52">
        <f ca="1">IFERROR(IF(0=LEN(ReferenceData!$BD$52),"",ReferenceData!$BD$52),"")</f>
        <v>46.725999999999999</v>
      </c>
      <c r="BE52">
        <f ca="1">IFERROR(IF(0=LEN(ReferenceData!$BE$52),"",ReferenceData!$BE$52),"")</f>
        <v>43.722999999999999</v>
      </c>
      <c r="BF52">
        <f ca="1">IFERROR(IF(0=LEN(ReferenceData!$BF$52),"",ReferenceData!$BF$52),"")</f>
        <v>41.933</v>
      </c>
      <c r="BG52">
        <f ca="1">IFERROR(IF(0=LEN(ReferenceData!$BG$52),"",ReferenceData!$BG$52),"")</f>
        <v>38.524000000000001</v>
      </c>
      <c r="BH52">
        <f ca="1">IFERROR(IF(0=LEN(ReferenceData!$BH$52),"",ReferenceData!$BH$52),"")</f>
        <v>35.296999999999997</v>
      </c>
      <c r="BI52">
        <f ca="1">IFERROR(IF(0=LEN(ReferenceData!$BI$52),"",ReferenceData!$BI$52),"")</f>
        <v>34.106999999999999</v>
      </c>
      <c r="BJ52">
        <f ca="1">IFERROR(IF(0=LEN(ReferenceData!$BJ$52),"",ReferenceData!$BJ$52),"")</f>
        <v>33.353000000000002</v>
      </c>
      <c r="BK52">
        <f ca="1">IFERROR(IF(0=LEN(ReferenceData!$BK$52),"",ReferenceData!$BK$52),"")</f>
        <v>31.321000000000002</v>
      </c>
      <c r="BL52">
        <f ca="1">IFERROR(IF(0=LEN(ReferenceData!$BL$52),"",ReferenceData!$BL$52),"")</f>
        <v>31.209</v>
      </c>
      <c r="BM52">
        <f ca="1">IFERROR(IF(0=LEN(ReferenceData!$BM$52),"",ReferenceData!$BM$52),"")</f>
        <v>30.942</v>
      </c>
    </row>
    <row r="53" spans="1:65">
      <c r="A53" t="str">
        <f>IFERROR(IF(0=LEN(ReferenceData!$A$53),"",ReferenceData!$A$53),"")</f>
        <v xml:space="preserve">    Care Capital Properties Inc</v>
      </c>
      <c r="B53" t="str">
        <f>IFERROR(IF(0=LEN(ReferenceData!$B$53),"",ReferenceData!$B$53),"")</f>
        <v>CCP US Equity</v>
      </c>
      <c r="C53" t="str">
        <f>IFERROR(IF(0=LEN(ReferenceData!$C$53),"",ReferenceData!$C$53),"")</f>
        <v>RR502</v>
      </c>
      <c r="D53" t="str">
        <f>IFERROR(IF(0=LEN(ReferenceData!$D$53),"",ReferenceData!$D$53),"")</f>
        <v>NET_OPER_INCOME</v>
      </c>
      <c r="E53" t="str">
        <f>IFERROR(IF(0=LEN(ReferenceData!$E$53),"",ReferenceData!$E$53),"")</f>
        <v>动态</v>
      </c>
      <c r="F53" t="str">
        <f ca="1">IFERROR(IF(0=LEN(ReferenceData!$F$53),"",ReferenceData!$F$53),"")</f>
        <v/>
      </c>
      <c r="G53" t="str">
        <f ca="1">IFERROR(IF(0=LEN(ReferenceData!$G$53),"",ReferenceData!$G$53),"")</f>
        <v/>
      </c>
      <c r="H53" t="str">
        <f ca="1">IFERROR(IF(0=LEN(ReferenceData!$H$53),"",ReferenceData!$H$53),"")</f>
        <v/>
      </c>
      <c r="I53" t="str">
        <f ca="1">IFERROR(IF(0=LEN(ReferenceData!$I$53),"",ReferenceData!$I$53),"")</f>
        <v/>
      </c>
      <c r="J53" t="str">
        <f ca="1">IFERROR(IF(0=LEN(ReferenceData!$J$53),"",ReferenceData!$J$53),"")</f>
        <v/>
      </c>
      <c r="K53">
        <f ca="1">IFERROR(IF(0=LEN(ReferenceData!$K$53),"",ReferenceData!$K$53),"")</f>
        <v>82.361999999999995</v>
      </c>
      <c r="L53">
        <f ca="1">IFERROR(IF(0=LEN(ReferenceData!$L$53),"",ReferenceData!$L$53),"")</f>
        <v>82.518000000000001</v>
      </c>
      <c r="M53">
        <f ca="1">IFERROR(IF(0=LEN(ReferenceData!$M$53),"",ReferenceData!$M$53),"")</f>
        <v>85.123999999999995</v>
      </c>
      <c r="N53">
        <f ca="1">IFERROR(IF(0=LEN(ReferenceData!$N$53),"",ReferenceData!$N$53),"")</f>
        <v>84.144000000000005</v>
      </c>
      <c r="O53">
        <f ca="1">IFERROR(IF(0=LEN(ReferenceData!$O$53),"",ReferenceData!$O$53),"")</f>
        <v>87.119</v>
      </c>
      <c r="P53">
        <f ca="1">IFERROR(IF(0=LEN(ReferenceData!$P$53),"",ReferenceData!$P$53),"")</f>
        <v>82.155000000000001</v>
      </c>
      <c r="Q53">
        <f ca="1">IFERROR(IF(0=LEN(ReferenceData!$Q$53),"",ReferenceData!$Q$53),"")</f>
        <v>78.968000000000004</v>
      </c>
      <c r="R53" t="str">
        <f ca="1">IFERROR(IF(0=LEN(ReferenceData!$R$53),"",ReferenceData!$R$53),"")</f>
        <v/>
      </c>
      <c r="S53" t="str">
        <f ca="1">IFERROR(IF(0=LEN(ReferenceData!$S$53),"",ReferenceData!$S$53),"")</f>
        <v/>
      </c>
      <c r="T53" t="str">
        <f ca="1">IFERROR(IF(0=LEN(ReferenceData!$T$53),"",ReferenceData!$T$53),"")</f>
        <v/>
      </c>
      <c r="U53" t="str">
        <f ca="1">IFERROR(IF(0=LEN(ReferenceData!$U$53),"",ReferenceData!$U$53),"")</f>
        <v/>
      </c>
      <c r="V53" t="str">
        <f ca="1">IFERROR(IF(0=LEN(ReferenceData!$V$53),"",ReferenceData!$V$53),"")</f>
        <v/>
      </c>
      <c r="W53" t="str">
        <f ca="1">IFERROR(IF(0=LEN(ReferenceData!$W$53),"",ReferenceData!$W$53),"")</f>
        <v/>
      </c>
      <c r="X53" t="str">
        <f ca="1">IFERROR(IF(0=LEN(ReferenceData!$X$53),"",ReferenceData!$X$53),"")</f>
        <v/>
      </c>
      <c r="Y53" t="str">
        <f ca="1">IFERROR(IF(0=LEN(ReferenceData!$Y$53),"",ReferenceData!$Y$53),"")</f>
        <v/>
      </c>
      <c r="Z53" t="str">
        <f ca="1">IFERROR(IF(0=LEN(ReferenceData!$Z$53),"",ReferenceData!$Z$53),"")</f>
        <v/>
      </c>
      <c r="AA53" t="str">
        <f ca="1">IFERROR(IF(0=LEN(ReferenceData!$AA$53),"",ReferenceData!$AA$53),"")</f>
        <v/>
      </c>
      <c r="AB53" t="str">
        <f ca="1">IFERROR(IF(0=LEN(ReferenceData!$AB$53),"",ReferenceData!$AB$53),"")</f>
        <v/>
      </c>
      <c r="AC53" t="str">
        <f ca="1">IFERROR(IF(0=LEN(ReferenceData!$AC$53),"",ReferenceData!$AC$53),"")</f>
        <v/>
      </c>
      <c r="AD53" t="str">
        <f ca="1">IFERROR(IF(0=LEN(ReferenceData!$AD$53),"",ReferenceData!$AD$53),"")</f>
        <v/>
      </c>
      <c r="AE53" t="str">
        <f ca="1">IFERROR(IF(0=LEN(ReferenceData!$AE$53),"",ReferenceData!$AE$53),"")</f>
        <v/>
      </c>
      <c r="AF53" t="str">
        <f ca="1">IFERROR(IF(0=LEN(ReferenceData!$AF$53),"",ReferenceData!$AF$53),"")</f>
        <v/>
      </c>
      <c r="AG53" t="str">
        <f ca="1">IFERROR(IF(0=LEN(ReferenceData!$AG$53),"",ReferenceData!$AG$53),"")</f>
        <v/>
      </c>
      <c r="AH53" t="str">
        <f ca="1">IFERROR(IF(0=LEN(ReferenceData!$AH$53),"",ReferenceData!$AH$53),"")</f>
        <v/>
      </c>
      <c r="AI53" t="str">
        <f ca="1">IFERROR(IF(0=LEN(ReferenceData!$AI$53),"",ReferenceData!$AI$53),"")</f>
        <v/>
      </c>
      <c r="AJ53" t="str">
        <f ca="1">IFERROR(IF(0=LEN(ReferenceData!$AJ$53),"",ReferenceData!$AJ$53),"")</f>
        <v/>
      </c>
      <c r="AK53" t="str">
        <f ca="1">IFERROR(IF(0=LEN(ReferenceData!$AK$53),"",ReferenceData!$AK$53),"")</f>
        <v/>
      </c>
      <c r="AL53" t="str">
        <f ca="1">IFERROR(IF(0=LEN(ReferenceData!$AL$53),"",ReferenceData!$AL$53),"")</f>
        <v/>
      </c>
      <c r="AM53" t="str">
        <f ca="1">IFERROR(IF(0=LEN(ReferenceData!$AM$53),"",ReferenceData!$AM$53),"")</f>
        <v/>
      </c>
      <c r="AN53" t="str">
        <f ca="1">IFERROR(IF(0=LEN(ReferenceData!$AN$53),"",ReferenceData!$AN$53),"")</f>
        <v/>
      </c>
      <c r="AO53" t="str">
        <f ca="1">IFERROR(IF(0=LEN(ReferenceData!$AO$53),"",ReferenceData!$AO$53),"")</f>
        <v/>
      </c>
      <c r="AP53" t="str">
        <f ca="1">IFERROR(IF(0=LEN(ReferenceData!$AP$53),"",ReferenceData!$AP$53),"")</f>
        <v/>
      </c>
      <c r="AQ53" t="str">
        <f ca="1">IFERROR(IF(0=LEN(ReferenceData!$AQ$53),"",ReferenceData!$AQ$53),"")</f>
        <v/>
      </c>
      <c r="AR53" t="str">
        <f ca="1">IFERROR(IF(0=LEN(ReferenceData!$AR$53),"",ReferenceData!$AR$53),"")</f>
        <v/>
      </c>
      <c r="AS53" t="str">
        <f ca="1">IFERROR(IF(0=LEN(ReferenceData!$AS$53),"",ReferenceData!$AS$53),"")</f>
        <v/>
      </c>
      <c r="AT53" t="str">
        <f ca="1">IFERROR(IF(0=LEN(ReferenceData!$AT$53),"",ReferenceData!$AT$53),"")</f>
        <v/>
      </c>
      <c r="AU53" t="str">
        <f ca="1">IFERROR(IF(0=LEN(ReferenceData!$AU$53),"",ReferenceData!$AU$53),"")</f>
        <v/>
      </c>
      <c r="AV53" t="str">
        <f ca="1">IFERROR(IF(0=LEN(ReferenceData!$AV$53),"",ReferenceData!$AV$53),"")</f>
        <v/>
      </c>
      <c r="AW53" t="str">
        <f ca="1">IFERROR(IF(0=LEN(ReferenceData!$AW$53),"",ReferenceData!$AW$53),"")</f>
        <v/>
      </c>
      <c r="AX53" t="str">
        <f ca="1">IFERROR(IF(0=LEN(ReferenceData!$AX$53),"",ReferenceData!$AX$53),"")</f>
        <v/>
      </c>
      <c r="AY53" t="str">
        <f ca="1">IFERROR(IF(0=LEN(ReferenceData!$AY$53),"",ReferenceData!$AY$53),"")</f>
        <v/>
      </c>
      <c r="AZ53" t="str">
        <f ca="1">IFERROR(IF(0=LEN(ReferenceData!$AZ$53),"",ReferenceData!$AZ$53),"")</f>
        <v/>
      </c>
      <c r="BA53" t="str">
        <f ca="1">IFERROR(IF(0=LEN(ReferenceData!$BA$53),"",ReferenceData!$BA$53),"")</f>
        <v/>
      </c>
      <c r="BB53" t="str">
        <f ca="1">IFERROR(IF(0=LEN(ReferenceData!$BB$53),"",ReferenceData!$BB$53),"")</f>
        <v/>
      </c>
      <c r="BC53" t="str">
        <f ca="1">IFERROR(IF(0=LEN(ReferenceData!$BC$53),"",ReferenceData!$BC$53),"")</f>
        <v/>
      </c>
      <c r="BD53" t="str">
        <f ca="1">IFERROR(IF(0=LEN(ReferenceData!$BD$53),"",ReferenceData!$BD$53),"")</f>
        <v/>
      </c>
      <c r="BE53" t="str">
        <f ca="1">IFERROR(IF(0=LEN(ReferenceData!$BE$53),"",ReferenceData!$BE$53),"")</f>
        <v/>
      </c>
      <c r="BF53" t="str">
        <f ca="1">IFERROR(IF(0=LEN(ReferenceData!$BF$53),"",ReferenceData!$BF$53),"")</f>
        <v/>
      </c>
      <c r="BG53" t="str">
        <f ca="1">IFERROR(IF(0=LEN(ReferenceData!$BG$53),"",ReferenceData!$BG$53),"")</f>
        <v/>
      </c>
      <c r="BH53" t="str">
        <f ca="1">IFERROR(IF(0=LEN(ReferenceData!$BH$53),"",ReferenceData!$BH$53),"")</f>
        <v/>
      </c>
      <c r="BI53" t="str">
        <f ca="1">IFERROR(IF(0=LEN(ReferenceData!$BI$53),"",ReferenceData!$BI$53),"")</f>
        <v/>
      </c>
      <c r="BJ53" t="str">
        <f ca="1">IFERROR(IF(0=LEN(ReferenceData!$BJ$53),"",ReferenceData!$BJ$53),"")</f>
        <v/>
      </c>
      <c r="BK53" t="str">
        <f ca="1">IFERROR(IF(0=LEN(ReferenceData!$BK$53),"",ReferenceData!$BK$53),"")</f>
        <v/>
      </c>
      <c r="BL53" t="str">
        <f ca="1">IFERROR(IF(0=LEN(ReferenceData!$BL$53),"",ReferenceData!$BL$53),"")</f>
        <v/>
      </c>
      <c r="BM53" t="str">
        <f ca="1">IFERROR(IF(0=LEN(ReferenceData!$BM$53),"",ReferenceData!$BM$53),"")</f>
        <v/>
      </c>
    </row>
    <row r="54" spans="1:65">
      <c r="A54" t="str">
        <f>IFERROR(IF(0=LEN(ReferenceData!$A$54),"",ReferenceData!$A$54),"")</f>
        <v xml:space="preserve">    HCP Inc</v>
      </c>
      <c r="B54" t="str">
        <f>IFERROR(IF(0=LEN(ReferenceData!$B$54),"",ReferenceData!$B$54),"")</f>
        <v>HCP US Equity</v>
      </c>
      <c r="C54" t="str">
        <f>IFERROR(IF(0=LEN(ReferenceData!$C$54),"",ReferenceData!$C$54),"")</f>
        <v>RR502</v>
      </c>
      <c r="D54" t="str">
        <f>IFERROR(IF(0=LEN(ReferenceData!$D$54),"",ReferenceData!$D$54),"")</f>
        <v>NET_OPER_INCOME</v>
      </c>
      <c r="E54" t="str">
        <f>IFERROR(IF(0=LEN(ReferenceData!$E$54),"",ReferenceData!$E$54),"")</f>
        <v>动态</v>
      </c>
      <c r="F54" t="str">
        <f ca="1">IFERROR(IF(0=LEN(ReferenceData!$F$54),"",ReferenceData!$F$54),"")</f>
        <v/>
      </c>
      <c r="G54">
        <f ca="1">IFERROR(IF(0=LEN(ReferenceData!$G$54),"",ReferenceData!$G$54),"")</f>
        <v>239.327</v>
      </c>
      <c r="H54">
        <f ca="1">IFERROR(IF(0=LEN(ReferenceData!$H$54),"",ReferenceData!$H$54),"")</f>
        <v>286.911</v>
      </c>
      <c r="I54">
        <f ca="1">IFERROR(IF(0=LEN(ReferenceData!$I$54),"",ReferenceData!$I$54),"")</f>
        <v>284.89600000000002</v>
      </c>
      <c r="J54">
        <f ca="1">IFERROR(IF(0=LEN(ReferenceData!$J$54),"",ReferenceData!$J$54),"")</f>
        <v>314.75599999999997</v>
      </c>
      <c r="K54">
        <f ca="1">IFERROR(IF(0=LEN(ReferenceData!$K$54),"",ReferenceData!$K$54),"")</f>
        <v>326.79199999999997</v>
      </c>
      <c r="L54">
        <f ca="1">IFERROR(IF(0=LEN(ReferenceData!$L$54),"",ReferenceData!$L$54),"")</f>
        <v>445.041</v>
      </c>
      <c r="M54">
        <f ca="1">IFERROR(IF(0=LEN(ReferenceData!$M$54),"",ReferenceData!$M$54),"")</f>
        <v>449.26400000000001</v>
      </c>
      <c r="N54">
        <f ca="1">IFERROR(IF(0=LEN(ReferenceData!$N$54),"",ReferenceData!$N$54),"")</f>
        <v>445.798</v>
      </c>
      <c r="O54">
        <f ca="1">IFERROR(IF(0=LEN(ReferenceData!$O$54),"",ReferenceData!$O$54),"")</f>
        <v>325.52499999999998</v>
      </c>
      <c r="P54">
        <f ca="1">IFERROR(IF(0=LEN(ReferenceData!$P$54),"",ReferenceData!$P$54),"")</f>
        <v>464.142</v>
      </c>
      <c r="Q54">
        <f ca="1">IFERROR(IF(0=LEN(ReferenceData!$Q$54),"",ReferenceData!$Q$54),"")</f>
        <v>435.245</v>
      </c>
      <c r="R54">
        <f ca="1">IFERROR(IF(0=LEN(ReferenceData!$R$54),"",ReferenceData!$R$54),"")</f>
        <v>445.49799999999999</v>
      </c>
      <c r="S54">
        <f ca="1">IFERROR(IF(0=LEN(ReferenceData!$S$54),"",ReferenceData!$S$54),"")</f>
        <v>449.75700000000001</v>
      </c>
      <c r="T54">
        <f ca="1">IFERROR(IF(0=LEN(ReferenceData!$T$54),"",ReferenceData!$T$54),"")</f>
        <v>479.52199999999999</v>
      </c>
      <c r="U54">
        <f ca="1">IFERROR(IF(0=LEN(ReferenceData!$U$54),"",ReferenceData!$U$54),"")</f>
        <v>440.31700000000001</v>
      </c>
      <c r="V54">
        <f ca="1">IFERROR(IF(0=LEN(ReferenceData!$V$54),"",ReferenceData!$V$54),"")</f>
        <v>437.589</v>
      </c>
      <c r="W54">
        <f ca="1">IFERROR(IF(0=LEN(ReferenceData!$W$54),"",ReferenceData!$W$54),"")</f>
        <v>436.45699999999999</v>
      </c>
      <c r="X54">
        <f ca="1">IFERROR(IF(0=LEN(ReferenceData!$X$54),"",ReferenceData!$X$54),"")</f>
        <v>425.31099999999998</v>
      </c>
      <c r="Y54">
        <f ca="1">IFERROR(IF(0=LEN(ReferenceData!$Y$54),"",ReferenceData!$Y$54),"")</f>
        <v>424.20499999999998</v>
      </c>
      <c r="Z54">
        <f ca="1">IFERROR(IF(0=LEN(ReferenceData!$Z$54),"",ReferenceData!$Z$54),"")</f>
        <v>426.11399999999998</v>
      </c>
      <c r="AA54">
        <f ca="1">IFERROR(IF(0=LEN(ReferenceData!$AA$54),"",ReferenceData!$AA$54),"")</f>
        <v>417.72399999999999</v>
      </c>
      <c r="AB54">
        <f ca="1">IFERROR(IF(0=LEN(ReferenceData!$AB$54),"",ReferenceData!$AB$54),"")</f>
        <v>385.13499999999999</v>
      </c>
      <c r="AC54">
        <f ca="1">IFERROR(IF(0=LEN(ReferenceData!$AC$54),"",ReferenceData!$AC$54),"")</f>
        <v>393.13600000000002</v>
      </c>
      <c r="AD54">
        <f ca="1">IFERROR(IF(0=LEN(ReferenceData!$AD$54),"",ReferenceData!$AD$54),"")</f>
        <v>387.67500000000001</v>
      </c>
      <c r="AE54">
        <f ca="1">IFERROR(IF(0=LEN(ReferenceData!$AE$54),"",ReferenceData!$AE$54),"")</f>
        <v>388.56099999999998</v>
      </c>
      <c r="AF54">
        <f ca="1">IFERROR(IF(0=LEN(ReferenceData!$AF$54),"",ReferenceData!$AF$54),"")</f>
        <v>382.99</v>
      </c>
      <c r="AG54">
        <f ca="1">IFERROR(IF(0=LEN(ReferenceData!$AG$54),"",ReferenceData!$AG$54),"")</f>
        <v>380.98399999999998</v>
      </c>
      <c r="AH54">
        <f ca="1">IFERROR(IF(0=LEN(ReferenceData!$AH$54),"",ReferenceData!$AH$54),"")</f>
        <v>246.18700000000001</v>
      </c>
      <c r="AI54">
        <f ca="1">IFERROR(IF(0=LEN(ReferenceData!$AI$54),"",ReferenceData!$AI$54),"")</f>
        <v>230.46600000000001</v>
      </c>
      <c r="AJ54">
        <f ca="1">IFERROR(IF(0=LEN(ReferenceData!$AJ$54),"",ReferenceData!$AJ$54),"")</f>
        <v>220.041</v>
      </c>
      <c r="AK54">
        <f ca="1">IFERROR(IF(0=LEN(ReferenceData!$AK$54),"",ReferenceData!$AK$54),"")</f>
        <v>220.30500000000001</v>
      </c>
      <c r="AL54">
        <f ca="1">IFERROR(IF(0=LEN(ReferenceData!$AL$54),"",ReferenceData!$AL$54),"")</f>
        <v>213.46700000000001</v>
      </c>
      <c r="AM54">
        <f ca="1">IFERROR(IF(0=LEN(ReferenceData!$AM$54),"",ReferenceData!$AM$54),"")</f>
        <v>212.077</v>
      </c>
      <c r="AN54">
        <f ca="1">IFERROR(IF(0=LEN(ReferenceData!$AN$54),"",ReferenceData!$AN$54),"")</f>
        <v>206.97300000000001</v>
      </c>
      <c r="AO54">
        <f ca="1">IFERROR(IF(0=LEN(ReferenceData!$AO$54),"",ReferenceData!$AO$54),"")</f>
        <v>219.72</v>
      </c>
      <c r="AP54">
        <f ca="1">IFERROR(IF(0=LEN(ReferenceData!$AP$54),"",ReferenceData!$AP$54),"")</f>
        <v>202.286</v>
      </c>
      <c r="AQ54">
        <f ca="1">IFERROR(IF(0=LEN(ReferenceData!$AQ$54),"",ReferenceData!$AQ$54),"")</f>
        <v>213.16</v>
      </c>
      <c r="AR54">
        <f ca="1">IFERROR(IF(0=LEN(ReferenceData!$AR$54),"",ReferenceData!$AR$54),"")</f>
        <v>218.74799999999999</v>
      </c>
      <c r="AS54">
        <f ca="1">IFERROR(IF(0=LEN(ReferenceData!$AS$54),"",ReferenceData!$AS$54),"")</f>
        <v>202.32300000000001</v>
      </c>
      <c r="AT54">
        <f ca="1">IFERROR(IF(0=LEN(ReferenceData!$AT$54),"",ReferenceData!$AT$54),"")</f>
        <v>196.572</v>
      </c>
      <c r="AU54">
        <f ca="1">IFERROR(IF(0=LEN(ReferenceData!$AU$54),"",ReferenceData!$AU$54),"")</f>
        <v>189.42500000000001</v>
      </c>
      <c r="AV54">
        <f ca="1">IFERROR(IF(0=LEN(ReferenceData!$AV$54),"",ReferenceData!$AV$54),"")</f>
        <v>193.66499999999999</v>
      </c>
      <c r="AW54">
        <f ca="1">IFERROR(IF(0=LEN(ReferenceData!$AW$54),"",ReferenceData!$AW$54),"")</f>
        <v>169.63399999999999</v>
      </c>
      <c r="AX54">
        <f ca="1">IFERROR(IF(0=LEN(ReferenceData!$AX$54),"",ReferenceData!$AX$54),"")</f>
        <v>171.42599999999999</v>
      </c>
      <c r="AY54">
        <f ca="1">IFERROR(IF(0=LEN(ReferenceData!$AY$54),"",ReferenceData!$AY$54),"")</f>
        <v>156.91200000000001</v>
      </c>
      <c r="AZ54">
        <f ca="1">IFERROR(IF(0=LEN(ReferenceData!$AZ$54),"",ReferenceData!$AZ$54),"")</f>
        <v>93.01</v>
      </c>
      <c r="BA54">
        <f ca="1">IFERROR(IF(0=LEN(ReferenceData!$BA$54),"",ReferenceData!$BA$54),"")</f>
        <v>91.694000000000003</v>
      </c>
      <c r="BB54">
        <f ca="1">IFERROR(IF(0=LEN(ReferenceData!$BB$54),"",ReferenceData!$BB$54),"")</f>
        <v>89.745999999999995</v>
      </c>
      <c r="BC54">
        <f ca="1">IFERROR(IF(0=LEN(ReferenceData!$BC$54),"",ReferenceData!$BC$54),"")</f>
        <v>58.792000000000002</v>
      </c>
      <c r="BD54">
        <f ca="1">IFERROR(IF(0=LEN(ReferenceData!$BD$54),"",ReferenceData!$BD$54),"")</f>
        <v>98.575000000000003</v>
      </c>
      <c r="BE54">
        <f ca="1">IFERROR(IF(0=LEN(ReferenceData!$BE$54),"",ReferenceData!$BE$54),"")</f>
        <v>94.748999999999995</v>
      </c>
      <c r="BF54">
        <f ca="1">IFERROR(IF(0=LEN(ReferenceData!$BF$54),"",ReferenceData!$BF$54),"")</f>
        <v>88.555999999999997</v>
      </c>
      <c r="BG54">
        <f ca="1">IFERROR(IF(0=LEN(ReferenceData!$BG$54),"",ReferenceData!$BG$54),"")</f>
        <v>85.316999999999993</v>
      </c>
      <c r="BH54">
        <f ca="1">IFERROR(IF(0=LEN(ReferenceData!$BH$54),"",ReferenceData!$BH$54),"")</f>
        <v>89.722999999999999</v>
      </c>
      <c r="BI54">
        <f ca="1">IFERROR(IF(0=LEN(ReferenceData!$BI$54),"",ReferenceData!$BI$54),"")</f>
        <v>85.158000000000001</v>
      </c>
      <c r="BJ54">
        <f ca="1">IFERROR(IF(0=LEN(ReferenceData!$BJ$54),"",ReferenceData!$BJ$54),"")</f>
        <v>78.652000000000001</v>
      </c>
      <c r="BK54">
        <f ca="1">IFERROR(IF(0=LEN(ReferenceData!$BK$54),"",ReferenceData!$BK$54),"")</f>
        <v>81.215999999999994</v>
      </c>
      <c r="BL54">
        <f ca="1">IFERROR(IF(0=LEN(ReferenceData!$BL$54),"",ReferenceData!$BL$54),"")</f>
        <v>74.519000000000005</v>
      </c>
      <c r="BM54">
        <f ca="1">IFERROR(IF(0=LEN(ReferenceData!$BM$54),"",ReferenceData!$BM$54),"")</f>
        <v>75.308999999999997</v>
      </c>
    </row>
    <row r="55" spans="1:65">
      <c r="A55" t="str">
        <f>IFERROR(IF(0=LEN(ReferenceData!$A$55),"",ReferenceData!$A$55),"")</f>
        <v xml:space="preserve">    Healthcare Realty Trust Inc</v>
      </c>
      <c r="B55" t="str">
        <f>IFERROR(IF(0=LEN(ReferenceData!$B$55),"",ReferenceData!$B$55),"")</f>
        <v>HR US Equity</v>
      </c>
      <c r="C55" t="str">
        <f>IFERROR(IF(0=LEN(ReferenceData!$C$55),"",ReferenceData!$C$55),"")</f>
        <v>RR502</v>
      </c>
      <c r="D55" t="str">
        <f>IFERROR(IF(0=LEN(ReferenceData!$D$55),"",ReferenceData!$D$55),"")</f>
        <v>NET_OPER_INCOME</v>
      </c>
      <c r="E55" t="str">
        <f>IFERROR(IF(0=LEN(ReferenceData!$E$55),"",ReferenceData!$E$55),"")</f>
        <v>动态</v>
      </c>
      <c r="F55" t="str">
        <f ca="1">IFERROR(IF(0=LEN(ReferenceData!$F$55),"",ReferenceData!$F$55),"")</f>
        <v/>
      </c>
      <c r="G55">
        <f ca="1">IFERROR(IF(0=LEN(ReferenceData!$G$55),"",ReferenceData!$G$55),"")</f>
        <v>66.742999999999995</v>
      </c>
      <c r="H55">
        <f ca="1">IFERROR(IF(0=LEN(ReferenceData!$H$55),"",ReferenceData!$H$55),"")</f>
        <v>65.935000000000002</v>
      </c>
      <c r="I55">
        <f ca="1">IFERROR(IF(0=LEN(ReferenceData!$I$55),"",ReferenceData!$I$55),"")</f>
        <v>66.685000000000002</v>
      </c>
      <c r="J55">
        <f ca="1">IFERROR(IF(0=LEN(ReferenceData!$J$55),"",ReferenceData!$J$55),"")</f>
        <v>66.254000000000005</v>
      </c>
      <c r="K55">
        <f ca="1">IFERROR(IF(0=LEN(ReferenceData!$K$55),"",ReferenceData!$K$55),"")</f>
        <v>67.450999999999993</v>
      </c>
      <c r="L55">
        <f ca="1">IFERROR(IF(0=LEN(ReferenceData!$L$55),"",ReferenceData!$L$55),"")</f>
        <v>65.03</v>
      </c>
      <c r="M55">
        <f ca="1">IFERROR(IF(0=LEN(ReferenceData!$M$55),"",ReferenceData!$M$55),"")</f>
        <v>65.209000000000003</v>
      </c>
      <c r="N55">
        <f ca="1">IFERROR(IF(0=LEN(ReferenceData!$N$55),"",ReferenceData!$N$55),"")</f>
        <v>63.334000000000003</v>
      </c>
      <c r="O55">
        <f ca="1">IFERROR(IF(0=LEN(ReferenceData!$O$55),"",ReferenceData!$O$55),"")</f>
        <v>60.707999999999998</v>
      </c>
      <c r="P55">
        <f ca="1">IFERROR(IF(0=LEN(ReferenceData!$P$55),"",ReferenceData!$P$55),"")</f>
        <v>60.136000000000003</v>
      </c>
      <c r="Q55">
        <f ca="1">IFERROR(IF(0=LEN(ReferenceData!$Q$55),"",ReferenceData!$Q$55),"")</f>
        <v>61.523000000000003</v>
      </c>
      <c r="R55">
        <f ca="1">IFERROR(IF(0=LEN(ReferenceData!$R$55),"",ReferenceData!$R$55),"")</f>
        <v>60.771000000000001</v>
      </c>
      <c r="S55">
        <f ca="1">IFERROR(IF(0=LEN(ReferenceData!$S$55),"",ReferenceData!$S$55),"")</f>
        <v>60.262</v>
      </c>
      <c r="T55">
        <f ca="1">IFERROR(IF(0=LEN(ReferenceData!$T$55),"",ReferenceData!$T$55),"")</f>
        <v>57.890999999999998</v>
      </c>
      <c r="U55">
        <f ca="1">IFERROR(IF(0=LEN(ReferenceData!$U$55),"",ReferenceData!$U$55),"")</f>
        <v>55.643999999999998</v>
      </c>
      <c r="V55">
        <f ca="1">IFERROR(IF(0=LEN(ReferenceData!$V$55),"",ReferenceData!$V$55),"")</f>
        <v>53.670999999999999</v>
      </c>
      <c r="W55">
        <f ca="1">IFERROR(IF(0=LEN(ReferenceData!$W$55),"",ReferenceData!$W$55),"")</f>
        <v>53.597999999999999</v>
      </c>
      <c r="X55">
        <f ca="1">IFERROR(IF(0=LEN(ReferenceData!$X$55),"",ReferenceData!$X$55),"")</f>
        <v>45.917000000000002</v>
      </c>
      <c r="Y55">
        <f ca="1">IFERROR(IF(0=LEN(ReferenceData!$Y$55),"",ReferenceData!$Y$55),"")</f>
        <v>47.387</v>
      </c>
      <c r="Z55">
        <f ca="1">IFERROR(IF(0=LEN(ReferenceData!$Z$55),"",ReferenceData!$Z$55),"")</f>
        <v>46.427999999999997</v>
      </c>
      <c r="AA55">
        <f ca="1">IFERROR(IF(0=LEN(ReferenceData!$AA$55),"",ReferenceData!$AA$55),"")</f>
        <v>44.356000000000002</v>
      </c>
      <c r="AB55">
        <f ca="1">IFERROR(IF(0=LEN(ReferenceData!$AB$55),"",ReferenceData!$AB$55),"")</f>
        <v>43.436999999999998</v>
      </c>
      <c r="AC55">
        <f ca="1">IFERROR(IF(0=LEN(ReferenceData!$AC$55),"",ReferenceData!$AC$55),"")</f>
        <v>45.033999999999999</v>
      </c>
      <c r="AD55">
        <f ca="1">IFERROR(IF(0=LEN(ReferenceData!$AD$55),"",ReferenceData!$AD$55),"")</f>
        <v>43.814</v>
      </c>
      <c r="AE55">
        <f ca="1">IFERROR(IF(0=LEN(ReferenceData!$AE$55),"",ReferenceData!$AE$55),"")</f>
        <v>43.808999999999997</v>
      </c>
      <c r="AF55">
        <f ca="1">IFERROR(IF(0=LEN(ReferenceData!$AF$55),"",ReferenceData!$AF$55),"")</f>
        <v>39.933999999999997</v>
      </c>
      <c r="AG55">
        <f ca="1">IFERROR(IF(0=LEN(ReferenceData!$AG$55),"",ReferenceData!$AG$55),"")</f>
        <v>40.082000000000001</v>
      </c>
      <c r="AH55">
        <f ca="1">IFERROR(IF(0=LEN(ReferenceData!$AH$55),"",ReferenceData!$AH$55),"")</f>
        <v>40.213000000000001</v>
      </c>
      <c r="AI55">
        <f ca="1">IFERROR(IF(0=LEN(ReferenceData!$AI$55),"",ReferenceData!$AI$55),"")</f>
        <v>37.427999999999997</v>
      </c>
      <c r="AJ55">
        <f ca="1">IFERROR(IF(0=LEN(ReferenceData!$AJ$55),"",ReferenceData!$AJ$55),"")</f>
        <v>34.976999999999997</v>
      </c>
      <c r="AK55">
        <f ca="1">IFERROR(IF(0=LEN(ReferenceData!$AK$55),"",ReferenceData!$AK$55),"")</f>
        <v>37.127000000000002</v>
      </c>
      <c r="AL55">
        <f ca="1">IFERROR(IF(0=LEN(ReferenceData!$AL$55),"",ReferenceData!$AL$55),"")</f>
        <v>35.991</v>
      </c>
      <c r="AM55">
        <f ca="1">IFERROR(IF(0=LEN(ReferenceData!$AM$55),"",ReferenceData!$AM$55),"")</f>
        <v>35.545000000000002</v>
      </c>
      <c r="AN55">
        <f ca="1">IFERROR(IF(0=LEN(ReferenceData!$AN$55),"",ReferenceData!$AN$55),"")</f>
        <v>36.024000000000001</v>
      </c>
      <c r="AO55">
        <f ca="1">IFERROR(IF(0=LEN(ReferenceData!$AO$55),"",ReferenceData!$AO$55),"")</f>
        <v>36.667999999999999</v>
      </c>
      <c r="AP55">
        <f ca="1">IFERROR(IF(0=LEN(ReferenceData!$AP$55),"",ReferenceData!$AP$55),"")</f>
        <v>34.737000000000002</v>
      </c>
      <c r="AQ55">
        <f ca="1">IFERROR(IF(0=LEN(ReferenceData!$AQ$55),"",ReferenceData!$AQ$55),"")</f>
        <v>26.776</v>
      </c>
      <c r="AR55">
        <f ca="1">IFERROR(IF(0=LEN(ReferenceData!$AR$55),"",ReferenceData!$AR$55),"")</f>
        <v>28.385999999999999</v>
      </c>
      <c r="AS55">
        <f ca="1">IFERROR(IF(0=LEN(ReferenceData!$AS$55),"",ReferenceData!$AS$55),"")</f>
        <v>28.507999999999999</v>
      </c>
      <c r="AT55">
        <f ca="1">IFERROR(IF(0=LEN(ReferenceData!$AT$55),"",ReferenceData!$AT$55),"")</f>
        <v>29.576000000000001</v>
      </c>
      <c r="AU55">
        <f ca="1">IFERROR(IF(0=LEN(ReferenceData!$AU$55),"",ReferenceData!$AU$55),"")</f>
        <v>22.963000000000001</v>
      </c>
      <c r="AV55">
        <f ca="1">IFERROR(IF(0=LEN(ReferenceData!$AV$55),"",ReferenceData!$AV$55),"")</f>
        <v>26.949000000000002</v>
      </c>
      <c r="AW55">
        <f ca="1">IFERROR(IF(0=LEN(ReferenceData!$AW$55),"",ReferenceData!$AW$55),"")</f>
        <v>28.088999999999999</v>
      </c>
      <c r="AX55">
        <f ca="1">IFERROR(IF(0=LEN(ReferenceData!$AX$55),"",ReferenceData!$AX$55),"")</f>
        <v>29.306999999999999</v>
      </c>
      <c r="AY55">
        <f ca="1">IFERROR(IF(0=LEN(ReferenceData!$AY$55),"",ReferenceData!$AY$55),"")</f>
        <v>30.728000000000002</v>
      </c>
      <c r="AZ55">
        <f ca="1">IFERROR(IF(0=LEN(ReferenceData!$AZ$55),"",ReferenceData!$AZ$55),"")</f>
        <v>29.571999999999999</v>
      </c>
      <c r="BA55">
        <f ca="1">IFERROR(IF(0=LEN(ReferenceData!$BA$55),"",ReferenceData!$BA$55),"")</f>
        <v>29.295000000000002</v>
      </c>
      <c r="BB55">
        <f ca="1">IFERROR(IF(0=LEN(ReferenceData!$BB$55),"",ReferenceData!$BB$55),"")</f>
        <v>27.98</v>
      </c>
      <c r="BC55">
        <f ca="1">IFERROR(IF(0=LEN(ReferenceData!$BC$55),"",ReferenceData!$BC$55),"")</f>
        <v>34.540999999999997</v>
      </c>
      <c r="BD55">
        <f ca="1">IFERROR(IF(0=LEN(ReferenceData!$BD$55),"",ReferenceData!$BD$55),"")</f>
        <v>34.6</v>
      </c>
      <c r="BE55">
        <f ca="1">IFERROR(IF(0=LEN(ReferenceData!$BE$55),"",ReferenceData!$BE$55),"")</f>
        <v>31.015999999999998</v>
      </c>
      <c r="BF55">
        <f ca="1">IFERROR(IF(0=LEN(ReferenceData!$BF$55),"",ReferenceData!$BF$55),"")</f>
        <v>33.478999999999999</v>
      </c>
      <c r="BG55">
        <f ca="1">IFERROR(IF(0=LEN(ReferenceData!$BG$55),"",ReferenceData!$BG$55),"")</f>
        <v>18.297000000000001</v>
      </c>
      <c r="BH55">
        <f ca="1">IFERROR(IF(0=LEN(ReferenceData!$BH$55),"",ReferenceData!$BH$55),"")</f>
        <v>32.960999999999999</v>
      </c>
      <c r="BI55">
        <f ca="1">IFERROR(IF(0=LEN(ReferenceData!$BI$55),"",ReferenceData!$BI$55),"")</f>
        <v>31.164000000000001</v>
      </c>
      <c r="BJ55">
        <f ca="1">IFERROR(IF(0=LEN(ReferenceData!$BJ$55),"",ReferenceData!$BJ$55),"")</f>
        <v>28.556999999999999</v>
      </c>
      <c r="BK55">
        <f ca="1">IFERROR(IF(0=LEN(ReferenceData!$BK$55),"",ReferenceData!$BK$55),"")</f>
        <v>8.0350000000000001</v>
      </c>
      <c r="BL55">
        <f ca="1">IFERROR(IF(0=LEN(ReferenceData!$BL$55),"",ReferenceData!$BL$55),"")</f>
        <v>32.140998840000002</v>
      </c>
      <c r="BM55">
        <f ca="1">IFERROR(IF(0=LEN(ReferenceData!$BM$55),"",ReferenceData!$BM$55),"")</f>
        <v>35.289998050000001</v>
      </c>
    </row>
    <row r="56" spans="1:65">
      <c r="A56" t="str">
        <f>IFERROR(IF(0=LEN(ReferenceData!$A$56),"",ReferenceData!$A$56),"")</f>
        <v xml:space="preserve">    Healthcare Trust of America In</v>
      </c>
      <c r="B56" t="str">
        <f>IFERROR(IF(0=LEN(ReferenceData!$B$56),"",ReferenceData!$B$56),"")</f>
        <v>HTA US Equity</v>
      </c>
      <c r="C56" t="str">
        <f>IFERROR(IF(0=LEN(ReferenceData!$C$56),"",ReferenceData!$C$56),"")</f>
        <v>RR502</v>
      </c>
      <c r="D56" t="str">
        <f>IFERROR(IF(0=LEN(ReferenceData!$D$56),"",ReferenceData!$D$56),"")</f>
        <v>NET_OPER_INCOME</v>
      </c>
      <c r="E56" t="str">
        <f>IFERROR(IF(0=LEN(ReferenceData!$E$56),"",ReferenceData!$E$56),"")</f>
        <v>动态</v>
      </c>
      <c r="F56" t="str">
        <f ca="1">IFERROR(IF(0=LEN(ReferenceData!$F$56),"",ReferenceData!$F$56),"")</f>
        <v/>
      </c>
      <c r="G56">
        <f ca="1">IFERROR(IF(0=LEN(ReferenceData!$G$56),"",ReferenceData!$G$56),"")</f>
        <v>120.334</v>
      </c>
      <c r="H56">
        <f ca="1">IFERROR(IF(0=LEN(ReferenceData!$H$56),"",ReferenceData!$H$56),"")</f>
        <v>119.1</v>
      </c>
      <c r="I56">
        <f ca="1">IFERROR(IF(0=LEN(ReferenceData!$I$56),"",ReferenceData!$I$56),"")</f>
        <v>96.001999999999995</v>
      </c>
      <c r="J56">
        <f ca="1">IFERROR(IF(0=LEN(ReferenceData!$J$56),"",ReferenceData!$J$56),"")</f>
        <v>84.972999999999999</v>
      </c>
      <c r="K56">
        <f ca="1">IFERROR(IF(0=LEN(ReferenceData!$K$56),"",ReferenceData!$K$56),"")</f>
        <v>83.465000000000003</v>
      </c>
      <c r="L56">
        <f ca="1">IFERROR(IF(0=LEN(ReferenceData!$L$56),"",ReferenceData!$L$56),"")</f>
        <v>81.367000000000004</v>
      </c>
      <c r="M56">
        <f ca="1">IFERROR(IF(0=LEN(ReferenceData!$M$56),"",ReferenceData!$M$56),"")</f>
        <v>78.082999999999998</v>
      </c>
      <c r="N56">
        <f ca="1">IFERROR(IF(0=LEN(ReferenceData!$N$56),"",ReferenceData!$N$56),"")</f>
        <v>73.897000000000006</v>
      </c>
      <c r="O56">
        <f ca="1">IFERROR(IF(0=LEN(ReferenceData!$O$56),"",ReferenceData!$O$56),"")</f>
        <v>71.447999999999993</v>
      </c>
      <c r="P56">
        <f ca="1">IFERROR(IF(0=LEN(ReferenceData!$P$56),"",ReferenceData!$P$56),"")</f>
        <v>70.953999999999994</v>
      </c>
      <c r="Q56">
        <f ca="1">IFERROR(IF(0=LEN(ReferenceData!$Q$56),"",ReferenceData!$Q$56),"")</f>
        <v>70.006</v>
      </c>
      <c r="R56">
        <f ca="1">IFERROR(IF(0=LEN(ReferenceData!$R$56),"",ReferenceData!$R$56),"")</f>
        <v>67.754999999999995</v>
      </c>
      <c r="S56">
        <f ca="1">IFERROR(IF(0=LEN(ReferenceData!$S$56),"",ReferenceData!$S$56),"")</f>
        <v>66.566999999999993</v>
      </c>
      <c r="T56">
        <f ca="1">IFERROR(IF(0=LEN(ReferenceData!$T$56),"",ReferenceData!$T$56),"")</f>
        <v>66.751000000000005</v>
      </c>
      <c r="U56">
        <f ca="1">IFERROR(IF(0=LEN(ReferenceData!$U$56),"",ReferenceData!$U$56),"")</f>
        <v>61.881999999999998</v>
      </c>
      <c r="V56">
        <f ca="1">IFERROR(IF(0=LEN(ReferenceData!$V$56),"",ReferenceData!$V$56),"")</f>
        <v>60.863</v>
      </c>
      <c r="W56">
        <f ca="1">IFERROR(IF(0=LEN(ReferenceData!$W$56),"",ReferenceData!$W$56),"")</f>
        <v>58.567</v>
      </c>
      <c r="X56">
        <f ca="1">IFERROR(IF(0=LEN(ReferenceData!$X$56),"",ReferenceData!$X$56),"")</f>
        <v>56.131999999999998</v>
      </c>
      <c r="Y56">
        <f ca="1">IFERROR(IF(0=LEN(ReferenceData!$Y$56),"",ReferenceData!$Y$56),"")</f>
        <v>54.375999999999998</v>
      </c>
      <c r="Z56">
        <f ca="1">IFERROR(IF(0=LEN(ReferenceData!$Z$56),"",ReferenceData!$Z$56),"")</f>
        <v>52.271999999999998</v>
      </c>
      <c r="AA56">
        <f ca="1">IFERROR(IF(0=LEN(ReferenceData!$AA$56),"",ReferenceData!$AA$56),"")</f>
        <v>50.703000000000003</v>
      </c>
      <c r="AB56">
        <f ca="1">IFERROR(IF(0=LEN(ReferenceData!$AB$56),"",ReferenceData!$AB$56),"")</f>
        <v>50.371000000000002</v>
      </c>
      <c r="AC56">
        <f ca="1">IFERROR(IF(0=LEN(ReferenceData!$AC$56),"",ReferenceData!$AC$56),"")</f>
        <v>48.018000000000001</v>
      </c>
      <c r="AD56">
        <f ca="1">IFERROR(IF(0=LEN(ReferenceData!$AD$56),"",ReferenceData!$AD$56),"")</f>
        <v>44.597000000000001</v>
      </c>
      <c r="AE56">
        <f ca="1">IFERROR(IF(0=LEN(ReferenceData!$AE$56),"",ReferenceData!$AE$56),"")</f>
        <v>49.524000000000001</v>
      </c>
      <c r="AF56">
        <f ca="1">IFERROR(IF(0=LEN(ReferenceData!$AF$56),"",ReferenceData!$AF$56),"")</f>
        <v>42.698999999999998</v>
      </c>
      <c r="AG56">
        <f ca="1">IFERROR(IF(0=LEN(ReferenceData!$AG$56),"",ReferenceData!$AG$56),"")</f>
        <v>43.277999999999999</v>
      </c>
      <c r="AH56">
        <f ca="1">IFERROR(IF(0=LEN(ReferenceData!$AH$56),"",ReferenceData!$AH$56),"")</f>
        <v>45.384999999999998</v>
      </c>
      <c r="AI56">
        <f ca="1">IFERROR(IF(0=LEN(ReferenceData!$AI$56),"",ReferenceData!$AI$56),"")</f>
        <v>40.226999999999997</v>
      </c>
      <c r="AJ56">
        <f ca="1">IFERROR(IF(0=LEN(ReferenceData!$AJ$56),"",ReferenceData!$AJ$56),"")</f>
        <v>33.01</v>
      </c>
      <c r="AK56">
        <f ca="1">IFERROR(IF(0=LEN(ReferenceData!$AK$56),"",ReferenceData!$AK$56),"")</f>
        <v>28.873000000000001</v>
      </c>
      <c r="AL56">
        <f ca="1">IFERROR(IF(0=LEN(ReferenceData!$AL$56),"",ReferenceData!$AL$56),"")</f>
        <v>27.724</v>
      </c>
      <c r="AM56" t="str">
        <f ca="1">IFERROR(IF(0=LEN(ReferenceData!$AM$56),"",ReferenceData!$AM$56),"")</f>
        <v/>
      </c>
      <c r="AN56" t="str">
        <f ca="1">IFERROR(IF(0=LEN(ReferenceData!$AN$56),"",ReferenceData!$AN$56),"")</f>
        <v/>
      </c>
      <c r="AO56" t="str">
        <f ca="1">IFERROR(IF(0=LEN(ReferenceData!$AO$56),"",ReferenceData!$AO$56),"")</f>
        <v/>
      </c>
      <c r="AP56" t="str">
        <f ca="1">IFERROR(IF(0=LEN(ReferenceData!$AP$56),"",ReferenceData!$AP$56),"")</f>
        <v/>
      </c>
      <c r="AQ56" t="str">
        <f ca="1">IFERROR(IF(0=LEN(ReferenceData!$AQ$56),"",ReferenceData!$AQ$56),"")</f>
        <v/>
      </c>
      <c r="AR56" t="str">
        <f ca="1">IFERROR(IF(0=LEN(ReferenceData!$AR$56),"",ReferenceData!$AR$56),"")</f>
        <v/>
      </c>
      <c r="AS56" t="str">
        <f ca="1">IFERROR(IF(0=LEN(ReferenceData!$AS$56),"",ReferenceData!$AS$56),"")</f>
        <v/>
      </c>
      <c r="AT56" t="str">
        <f ca="1">IFERROR(IF(0=LEN(ReferenceData!$AT$56),"",ReferenceData!$AT$56),"")</f>
        <v/>
      </c>
      <c r="AU56" t="str">
        <f ca="1">IFERROR(IF(0=LEN(ReferenceData!$AU$56),"",ReferenceData!$AU$56),"")</f>
        <v/>
      </c>
      <c r="AV56" t="str">
        <f ca="1">IFERROR(IF(0=LEN(ReferenceData!$AV$56),"",ReferenceData!$AV$56),"")</f>
        <v/>
      </c>
      <c r="AW56" t="str">
        <f ca="1">IFERROR(IF(0=LEN(ReferenceData!$AW$56),"",ReferenceData!$AW$56),"")</f>
        <v/>
      </c>
      <c r="AX56" t="str">
        <f ca="1">IFERROR(IF(0=LEN(ReferenceData!$AX$56),"",ReferenceData!$AX$56),"")</f>
        <v/>
      </c>
      <c r="AY56" t="str">
        <f ca="1">IFERROR(IF(0=LEN(ReferenceData!$AY$56),"",ReferenceData!$AY$56),"")</f>
        <v/>
      </c>
      <c r="AZ56" t="str">
        <f ca="1">IFERROR(IF(0=LEN(ReferenceData!$AZ$56),"",ReferenceData!$AZ$56),"")</f>
        <v/>
      </c>
      <c r="BA56" t="str">
        <f ca="1">IFERROR(IF(0=LEN(ReferenceData!$BA$56),"",ReferenceData!$BA$56),"")</f>
        <v/>
      </c>
      <c r="BB56" t="str">
        <f ca="1">IFERROR(IF(0=LEN(ReferenceData!$BB$56),"",ReferenceData!$BB$56),"")</f>
        <v/>
      </c>
      <c r="BC56" t="str">
        <f ca="1">IFERROR(IF(0=LEN(ReferenceData!$BC$56),"",ReferenceData!$BC$56),"")</f>
        <v/>
      </c>
      <c r="BD56" t="str">
        <f ca="1">IFERROR(IF(0=LEN(ReferenceData!$BD$56),"",ReferenceData!$BD$56),"")</f>
        <v/>
      </c>
      <c r="BE56" t="str">
        <f ca="1">IFERROR(IF(0=LEN(ReferenceData!$BE$56),"",ReferenceData!$BE$56),"")</f>
        <v/>
      </c>
      <c r="BF56" t="str">
        <f ca="1">IFERROR(IF(0=LEN(ReferenceData!$BF$56),"",ReferenceData!$BF$56),"")</f>
        <v/>
      </c>
      <c r="BG56" t="str">
        <f ca="1">IFERROR(IF(0=LEN(ReferenceData!$BG$56),"",ReferenceData!$BG$56),"")</f>
        <v/>
      </c>
      <c r="BH56" t="str">
        <f ca="1">IFERROR(IF(0=LEN(ReferenceData!$BH$56),"",ReferenceData!$BH$56),"")</f>
        <v/>
      </c>
      <c r="BI56" t="str">
        <f ca="1">IFERROR(IF(0=LEN(ReferenceData!$BI$56),"",ReferenceData!$BI$56),"")</f>
        <v/>
      </c>
      <c r="BJ56" t="str">
        <f ca="1">IFERROR(IF(0=LEN(ReferenceData!$BJ$56),"",ReferenceData!$BJ$56),"")</f>
        <v/>
      </c>
      <c r="BK56" t="str">
        <f ca="1">IFERROR(IF(0=LEN(ReferenceData!$BK$56),"",ReferenceData!$BK$56),"")</f>
        <v/>
      </c>
      <c r="BL56" t="str">
        <f ca="1">IFERROR(IF(0=LEN(ReferenceData!$BL$56),"",ReferenceData!$BL$56),"")</f>
        <v/>
      </c>
      <c r="BM56" t="str">
        <f ca="1">IFERROR(IF(0=LEN(ReferenceData!$BM$56),"",ReferenceData!$BM$56),"")</f>
        <v/>
      </c>
    </row>
    <row r="57" spans="1:65">
      <c r="A57" t="str">
        <f>IFERROR(IF(0=LEN(ReferenceData!$A$57),"",ReferenceData!$A$57),"")</f>
        <v xml:space="preserve">    Medical Properties Trust Inc</v>
      </c>
      <c r="B57" t="str">
        <f>IFERROR(IF(0=LEN(ReferenceData!$B$57),"",ReferenceData!$B$57),"")</f>
        <v>MPW US Equity</v>
      </c>
      <c r="C57" t="str">
        <f>IFERROR(IF(0=LEN(ReferenceData!$C$57),"",ReferenceData!$C$57),"")</f>
        <v>RR502</v>
      </c>
      <c r="D57" t="str">
        <f>IFERROR(IF(0=LEN(ReferenceData!$D$57),"",ReferenceData!$D$57),"")</f>
        <v>NET_OPER_INCOME</v>
      </c>
      <c r="E57" t="str">
        <f>IFERROR(IF(0=LEN(ReferenceData!$E$57),"",ReferenceData!$E$57),"")</f>
        <v>动态</v>
      </c>
      <c r="F57" t="str">
        <f ca="1">IFERROR(IF(0=LEN(ReferenceData!$F$57),"",ReferenceData!$F$57),"")</f>
        <v/>
      </c>
      <c r="G57">
        <f ca="1">IFERROR(IF(0=LEN(ReferenceData!$G$57),"",ReferenceData!$G$57),"")</f>
        <v>160.92599999999999</v>
      </c>
      <c r="H57">
        <f ca="1">IFERROR(IF(0=LEN(ReferenceData!$H$57),"",ReferenceData!$H$57),"")</f>
        <v>146.03100000000001</v>
      </c>
      <c r="I57">
        <f ca="1">IFERROR(IF(0=LEN(ReferenceData!$I$57),"",ReferenceData!$I$57),"")</f>
        <v>136.88300000000001</v>
      </c>
      <c r="J57">
        <f ca="1">IFERROR(IF(0=LEN(ReferenceData!$J$57),"",ReferenceData!$J$57),"")</f>
        <v>126.09399999999999</v>
      </c>
      <c r="K57">
        <f ca="1">IFERROR(IF(0=LEN(ReferenceData!$K$57),"",ReferenceData!$K$57),"")</f>
        <v>123.425</v>
      </c>
      <c r="L57">
        <f ca="1">IFERROR(IF(0=LEN(ReferenceData!$L$57),"",ReferenceData!$L$57),"")</f>
        <v>106.899</v>
      </c>
      <c r="M57">
        <f ca="1">IFERROR(IF(0=LEN(ReferenceData!$M$57),"",ReferenceData!$M$57),"")</f>
        <v>99.278999999999996</v>
      </c>
      <c r="N57">
        <f ca="1">IFERROR(IF(0=LEN(ReferenceData!$N$57),"",ReferenceData!$N$57),"")</f>
        <v>100.328</v>
      </c>
      <c r="O57">
        <f ca="1">IFERROR(IF(0=LEN(ReferenceData!$O$57),"",ReferenceData!$O$57),"")</f>
        <v>96.100999999999999</v>
      </c>
      <c r="P57">
        <f ca="1">IFERROR(IF(0=LEN(ReferenceData!$P$57),"",ReferenceData!$P$57),"")</f>
        <v>88.346000000000004</v>
      </c>
      <c r="Q57">
        <f ca="1">IFERROR(IF(0=LEN(ReferenceData!$Q$57),"",ReferenceData!$Q$57),"")</f>
        <v>71.423000000000002</v>
      </c>
      <c r="R57">
        <f ca="1">IFERROR(IF(0=LEN(ReferenceData!$R$57),"",ReferenceData!$R$57),"")</f>
        <v>70.031999999999996</v>
      </c>
      <c r="S57">
        <f ca="1">IFERROR(IF(0=LEN(ReferenceData!$S$57),"",ReferenceData!$S$57),"")</f>
        <v>64.842391000000006</v>
      </c>
      <c r="T57">
        <f ca="1">IFERROR(IF(0=LEN(ReferenceData!$T$57),"",ReferenceData!$T$57),"")</f>
        <v>64.953000000000003</v>
      </c>
      <c r="U57">
        <f ca="1">IFERROR(IF(0=LEN(ReferenceData!$U$57),"",ReferenceData!$U$57),"")</f>
        <v>61.369</v>
      </c>
      <c r="V57">
        <f ca="1">IFERROR(IF(0=LEN(ReferenceData!$V$57),"",ReferenceData!$V$57),"")</f>
        <v>56.582000000000001</v>
      </c>
      <c r="W57">
        <f ca="1">IFERROR(IF(0=LEN(ReferenceData!$W$57),"",ReferenceData!$W$57),"")</f>
        <v>51.606025000000002</v>
      </c>
      <c r="X57">
        <f ca="1">IFERROR(IF(0=LEN(ReferenceData!$X$57),"",ReferenceData!$X$57),"")</f>
        <v>45.268000000000001</v>
      </c>
      <c r="Y57">
        <f ca="1">IFERROR(IF(0=LEN(ReferenceData!$Y$57),"",ReferenceData!$Y$57),"")</f>
        <v>42.381999999999998</v>
      </c>
      <c r="Z57">
        <f ca="1">IFERROR(IF(0=LEN(ReferenceData!$Z$57),"",ReferenceData!$Z$57),"")</f>
        <v>42.497</v>
      </c>
      <c r="AA57">
        <f ca="1">IFERROR(IF(0=LEN(ReferenceData!$AA$57),"",ReferenceData!$AA$57),"")</f>
        <v>41.023029999999999</v>
      </c>
      <c r="AB57">
        <f ca="1">IFERROR(IF(0=LEN(ReferenceData!$AB$57),"",ReferenceData!$AB$57),"")</f>
        <v>38.601999999999997</v>
      </c>
      <c r="AC57">
        <f ca="1">IFERROR(IF(0=LEN(ReferenceData!$AC$57),"",ReferenceData!$AC$57),"")</f>
        <v>36.805</v>
      </c>
      <c r="AD57">
        <f ca="1">IFERROR(IF(0=LEN(ReferenceData!$AD$57),"",ReferenceData!$AD$57),"")</f>
        <v>33.119</v>
      </c>
      <c r="AE57">
        <f ca="1">IFERROR(IF(0=LEN(ReferenceData!$AE$57),"",ReferenceData!$AE$57),"")</f>
        <v>28.365106999999998</v>
      </c>
      <c r="AF57">
        <f ca="1">IFERROR(IF(0=LEN(ReferenceData!$AF$57),"",ReferenceData!$AF$57),"")</f>
        <v>29.143000000000001</v>
      </c>
      <c r="AG57">
        <f ca="1">IFERROR(IF(0=LEN(ReferenceData!$AG$57),"",ReferenceData!$AG$57),"")</f>
        <v>29.475000000000001</v>
      </c>
      <c r="AH57">
        <f ca="1">IFERROR(IF(0=LEN(ReferenceData!$AH$57),"",ReferenceData!$AH$57),"")</f>
        <v>29.007000000000001</v>
      </c>
      <c r="AI57">
        <f ca="1">IFERROR(IF(0=LEN(ReferenceData!$AI$57),"",ReferenceData!$AI$57),"")</f>
        <v>21.941279999999999</v>
      </c>
      <c r="AJ57">
        <f ca="1">IFERROR(IF(0=LEN(ReferenceData!$AJ$57),"",ReferenceData!$AJ$57),"")</f>
        <v>21.748000000000001</v>
      </c>
      <c r="AK57">
        <f ca="1">IFERROR(IF(0=LEN(ReferenceData!$AK$57),"",ReferenceData!$AK$57),"")</f>
        <v>23.167000000000002</v>
      </c>
      <c r="AL57">
        <f ca="1">IFERROR(IF(0=LEN(ReferenceData!$AL$57),"",ReferenceData!$AL$57),"")</f>
        <v>22.53</v>
      </c>
      <c r="AM57">
        <f ca="1">IFERROR(IF(0=LEN(ReferenceData!$AM$57),"",ReferenceData!$AM$57),"")</f>
        <v>21.819037000000002</v>
      </c>
      <c r="AN57">
        <f ca="1">IFERROR(IF(0=LEN(ReferenceData!$AN$57),"",ReferenceData!$AN$57),"")</f>
        <v>22.913</v>
      </c>
      <c r="AO57">
        <f ca="1">IFERROR(IF(0=LEN(ReferenceData!$AO$57),"",ReferenceData!$AO$57),"")</f>
        <v>20.995999999999999</v>
      </c>
      <c r="AP57">
        <f ca="1">IFERROR(IF(0=LEN(ReferenceData!$AP$57),"",ReferenceData!$AP$57),"")</f>
        <v>23.635000000000002</v>
      </c>
      <c r="AQ57">
        <f ca="1">IFERROR(IF(0=LEN(ReferenceData!$AQ$57),"",ReferenceData!$AQ$57),"")</f>
        <v>17.856027000000001</v>
      </c>
      <c r="AR57">
        <f ca="1">IFERROR(IF(0=LEN(ReferenceData!$AR$57),"",ReferenceData!$AR$57),"")</f>
        <v>24.760999999999999</v>
      </c>
      <c r="AS57">
        <f ca="1">IFERROR(IF(0=LEN(ReferenceData!$AS$57),"",ReferenceData!$AS$57),"")</f>
        <v>23.475000000000001</v>
      </c>
      <c r="AT57">
        <f ca="1">IFERROR(IF(0=LEN(ReferenceData!$AT$57),"",ReferenceData!$AT$57),"")</f>
        <v>16.574999999999999</v>
      </c>
      <c r="AU57">
        <f ca="1">IFERROR(IF(0=LEN(ReferenceData!$AU$57),"",ReferenceData!$AU$57),"")</f>
        <v>16.145446</v>
      </c>
      <c r="AV57">
        <f ca="1">IFERROR(IF(0=LEN(ReferenceData!$AV$57),"",ReferenceData!$AV$57),"")</f>
        <v>14.610569</v>
      </c>
      <c r="AW57" t="str">
        <f ca="1">IFERROR(IF(0=LEN(ReferenceData!$AW$57),"",ReferenceData!$AW$57),"")</f>
        <v/>
      </c>
      <c r="AX57">
        <f ca="1">IFERROR(IF(0=LEN(ReferenceData!$AX$57),"",ReferenceData!$AX$57),"")</f>
        <v>9.3125289999999996</v>
      </c>
      <c r="AY57">
        <f ca="1">IFERROR(IF(0=LEN(ReferenceData!$AY$57),"",ReferenceData!$AY$57),"")</f>
        <v>11.919684</v>
      </c>
      <c r="AZ57">
        <f ca="1">IFERROR(IF(0=LEN(ReferenceData!$AZ$57),"",ReferenceData!$AZ$57),"")</f>
        <v>9.3046919999999993</v>
      </c>
      <c r="BA57">
        <f ca="1">IFERROR(IF(0=LEN(ReferenceData!$BA$57),"",ReferenceData!$BA$57),"")</f>
        <v>8.5566209999999998</v>
      </c>
      <c r="BB57">
        <f ca="1">IFERROR(IF(0=LEN(ReferenceData!$BB$57),"",ReferenceData!$BB$57),"")</f>
        <v>8.2655259999999995</v>
      </c>
      <c r="BC57">
        <f ca="1">IFERROR(IF(0=LEN(ReferenceData!$BC$57),"",ReferenceData!$BC$57),"")</f>
        <v>7.2680939999999996</v>
      </c>
      <c r="BD57">
        <f ca="1">IFERROR(IF(0=LEN(ReferenceData!$BD$57),"",ReferenceData!$BD$57),"")</f>
        <v>6.9712730000000001</v>
      </c>
      <c r="BE57">
        <f ca="1">IFERROR(IF(0=LEN(ReferenceData!$BE$57),"",ReferenceData!$BE$57),"")</f>
        <v>6.12462616</v>
      </c>
      <c r="BF57">
        <f ca="1">IFERROR(IF(0=LEN(ReferenceData!$BF$57),"",ReferenceData!$BF$57),"")</f>
        <v>5.2390001269999997</v>
      </c>
      <c r="BG57" t="str">
        <f ca="1">IFERROR(IF(0=LEN(ReferenceData!$BG$57),"",ReferenceData!$BG$57),"")</f>
        <v/>
      </c>
      <c r="BH57" t="str">
        <f ca="1">IFERROR(IF(0=LEN(ReferenceData!$BH$57),"",ReferenceData!$BH$57),"")</f>
        <v/>
      </c>
      <c r="BI57" t="str">
        <f ca="1">IFERROR(IF(0=LEN(ReferenceData!$BI$57),"",ReferenceData!$BI$57),"")</f>
        <v/>
      </c>
      <c r="BJ57" t="str">
        <f ca="1">IFERROR(IF(0=LEN(ReferenceData!$BJ$57),"",ReferenceData!$BJ$57),"")</f>
        <v/>
      </c>
      <c r="BK57" t="str">
        <f ca="1">IFERROR(IF(0=LEN(ReferenceData!$BK$57),"",ReferenceData!$BK$57),"")</f>
        <v/>
      </c>
      <c r="BL57" t="str">
        <f ca="1">IFERROR(IF(0=LEN(ReferenceData!$BL$57),"",ReferenceData!$BL$57),"")</f>
        <v/>
      </c>
      <c r="BM57" t="str">
        <f ca="1">IFERROR(IF(0=LEN(ReferenceData!$BM$57),"",ReferenceData!$BM$57),"")</f>
        <v/>
      </c>
    </row>
    <row r="58" spans="1:65">
      <c r="A58" t="str">
        <f>IFERROR(IF(0=LEN(ReferenceData!$A$58),"",ReferenceData!$A$58),"")</f>
        <v xml:space="preserve">    Omega Healthcare Investors Inc</v>
      </c>
      <c r="B58" t="str">
        <f>IFERROR(IF(0=LEN(ReferenceData!$B$58),"",ReferenceData!$B$58),"")</f>
        <v>OHI US Equity</v>
      </c>
      <c r="C58" t="str">
        <f>IFERROR(IF(0=LEN(ReferenceData!$C$58),"",ReferenceData!$C$58),"")</f>
        <v>RR502</v>
      </c>
      <c r="D58" t="str">
        <f>IFERROR(IF(0=LEN(ReferenceData!$D$58),"",ReferenceData!$D$58),"")</f>
        <v>NET_OPER_INCOME</v>
      </c>
      <c r="E58" t="str">
        <f>IFERROR(IF(0=LEN(ReferenceData!$E$58),"",ReferenceData!$E$58),"")</f>
        <v>动态</v>
      </c>
      <c r="F58" t="str">
        <f ca="1">IFERROR(IF(0=LEN(ReferenceData!$F$58),"",ReferenceData!$F$58),"")</f>
        <v/>
      </c>
      <c r="G58">
        <f ca="1">IFERROR(IF(0=LEN(ReferenceData!$G$58),"",ReferenceData!$G$58),"")</f>
        <v>195.19300000000001</v>
      </c>
      <c r="H58">
        <f ca="1">IFERROR(IF(0=LEN(ReferenceData!$H$58),"",ReferenceData!$H$58),"")</f>
        <v>194.67699999999999</v>
      </c>
      <c r="I58">
        <f ca="1">IFERROR(IF(0=LEN(ReferenceData!$I$58),"",ReferenceData!$I$58),"")</f>
        <v>209.459</v>
      </c>
      <c r="J58">
        <f ca="1">IFERROR(IF(0=LEN(ReferenceData!$J$58),"",ReferenceData!$J$58),"")</f>
        <v>208.18299999999999</v>
      </c>
      <c r="K58">
        <f ca="1">IFERROR(IF(0=LEN(ReferenceData!$K$58),"",ReferenceData!$K$58),"")</f>
        <v>210.61500000000001</v>
      </c>
      <c r="L58">
        <f ca="1">IFERROR(IF(0=LEN(ReferenceData!$L$58),"",ReferenceData!$L$58),"")</f>
        <v>201.44800000000001</v>
      </c>
      <c r="M58">
        <f ca="1">IFERROR(IF(0=LEN(ReferenceData!$M$58),"",ReferenceData!$M$58),"")</f>
        <v>201.97499999999999</v>
      </c>
      <c r="N58">
        <f ca="1">IFERROR(IF(0=LEN(ReferenceData!$N$58),"",ReferenceData!$N$58),"")</f>
        <v>192.14500000000001</v>
      </c>
      <c r="O58">
        <f ca="1">IFERROR(IF(0=LEN(ReferenceData!$O$58),"",ReferenceData!$O$58),"")</f>
        <v>190.64599999999999</v>
      </c>
      <c r="P58">
        <f ca="1">IFERROR(IF(0=LEN(ReferenceData!$P$58),"",ReferenceData!$P$58),"")</f>
        <v>181.839</v>
      </c>
      <c r="Q58">
        <f ca="1">IFERROR(IF(0=LEN(ReferenceData!$Q$58),"",ReferenceData!$Q$58),"")</f>
        <v>178.13200000000001</v>
      </c>
      <c r="R58">
        <f ca="1">IFERROR(IF(0=LEN(ReferenceData!$R$58),"",ReferenceData!$R$58),"")</f>
        <v>115.31</v>
      </c>
      <c r="S58">
        <f ca="1">IFERROR(IF(0=LEN(ReferenceData!$S$58),"",ReferenceData!$S$58),"")</f>
        <v>113.02500000000001</v>
      </c>
      <c r="T58">
        <f ca="1">IFERROR(IF(0=LEN(ReferenceData!$T$58),"",ReferenceData!$T$58),"")</f>
        <v>111.747</v>
      </c>
      <c r="U58">
        <f ca="1">IFERROR(IF(0=LEN(ReferenceData!$U$58),"",ReferenceData!$U$58),"")</f>
        <v>110.38800000000001</v>
      </c>
      <c r="V58">
        <f ca="1">IFERROR(IF(0=LEN(ReferenceData!$V$58),"",ReferenceData!$V$58),"")</f>
        <v>110.002</v>
      </c>
      <c r="W58">
        <f ca="1">IFERROR(IF(0=LEN(ReferenceData!$W$58),"",ReferenceData!$W$58),"")</f>
        <v>100.32299999999999</v>
      </c>
      <c r="X58">
        <f ca="1">IFERROR(IF(0=LEN(ReferenceData!$X$58),"",ReferenceData!$X$58),"")</f>
        <v>93.837000000000003</v>
      </c>
      <c r="Y58">
        <f ca="1">IFERROR(IF(0=LEN(ReferenceData!$Y$58),"",ReferenceData!$Y$58),"")</f>
        <v>93.069000000000003</v>
      </c>
      <c r="Z58">
        <f ca="1">IFERROR(IF(0=LEN(ReferenceData!$Z$58),"",ReferenceData!$Z$58),"")</f>
        <v>93.108999999999995</v>
      </c>
      <c r="AA58">
        <f ca="1">IFERROR(IF(0=LEN(ReferenceData!$AA$58),"",ReferenceData!$AA$58),"")</f>
        <v>85.218999999999994</v>
      </c>
      <c r="AB58">
        <f ca="1">IFERROR(IF(0=LEN(ReferenceData!$AB$58),"",ReferenceData!$AB$58),"")</f>
        <v>78.17</v>
      </c>
      <c r="AC58">
        <f ca="1">IFERROR(IF(0=LEN(ReferenceData!$AC$58),"",ReferenceData!$AC$58),"")</f>
        <v>75.227999999999994</v>
      </c>
      <c r="AD58">
        <f ca="1">IFERROR(IF(0=LEN(ReferenceData!$AD$58),"",ReferenceData!$AD$58),"")</f>
        <v>75.974999999999994</v>
      </c>
      <c r="AE58">
        <f ca="1">IFERROR(IF(0=LEN(ReferenceData!$AE$58),"",ReferenceData!$AE$58),"")</f>
        <v>70.070999999999998</v>
      </c>
      <c r="AF58">
        <f ca="1">IFERROR(IF(0=LEN(ReferenceData!$AF$58),"",ReferenceData!$AF$58),"")</f>
        <v>68.622</v>
      </c>
      <c r="AG58">
        <f ca="1">IFERROR(IF(0=LEN(ReferenceData!$AG$58),"",ReferenceData!$AG$58),"")</f>
        <v>68.486999999999995</v>
      </c>
      <c r="AH58">
        <f ca="1">IFERROR(IF(0=LEN(ReferenceData!$AH$58),"",ReferenceData!$AH$58),"")</f>
        <v>66.337000000000003</v>
      </c>
      <c r="AI58">
        <f ca="1">IFERROR(IF(0=LEN(ReferenceData!$AI$58),"",ReferenceData!$AI$58),"")</f>
        <v>67.744</v>
      </c>
      <c r="AJ58">
        <f ca="1">IFERROR(IF(0=LEN(ReferenceData!$AJ$58),"",ReferenceData!$AJ$58),"")</f>
        <v>66.299000000000007</v>
      </c>
      <c r="AK58">
        <f ca="1">IFERROR(IF(0=LEN(ReferenceData!$AK$58),"",ReferenceData!$AK$58),"")</f>
        <v>51.52</v>
      </c>
      <c r="AL58">
        <f ca="1">IFERROR(IF(0=LEN(ReferenceData!$AL$58),"",ReferenceData!$AL$58),"")</f>
        <v>47.209000000000003</v>
      </c>
      <c r="AM58">
        <f ca="1">IFERROR(IF(0=LEN(ReferenceData!$AM$58),"",ReferenceData!$AM$58),"")</f>
        <v>40.841999999999999</v>
      </c>
      <c r="AN58">
        <f ca="1">IFERROR(IF(0=LEN(ReferenceData!$AN$58),"",ReferenceData!$AN$58),"")</f>
        <v>41.225999999999999</v>
      </c>
      <c r="AO58">
        <f ca="1">IFERROR(IF(0=LEN(ReferenceData!$AO$58),"",ReferenceData!$AO$58),"")</f>
        <v>41.225000000000001</v>
      </c>
      <c r="AP58">
        <f ca="1">IFERROR(IF(0=LEN(ReferenceData!$AP$58),"",ReferenceData!$AP$58),"")</f>
        <v>41.174999999999997</v>
      </c>
      <c r="AQ58">
        <f ca="1">IFERROR(IF(0=LEN(ReferenceData!$AQ$58),"",ReferenceData!$AQ$58),"")</f>
        <v>40.713000000000001</v>
      </c>
      <c r="AR58">
        <f ca="1">IFERROR(IF(0=LEN(ReferenceData!$AR$58),"",ReferenceData!$AR$58),"")</f>
        <v>37.265000000000001</v>
      </c>
      <c r="AS58" t="str">
        <f ca="1">IFERROR(IF(0=LEN(ReferenceData!$AS$58),"",ReferenceData!$AS$58),"")</f>
        <v/>
      </c>
      <c r="AT58">
        <f ca="1">IFERROR(IF(0=LEN(ReferenceData!$AT$58),"",ReferenceData!$AT$58),"")</f>
        <v>38.012999999999998</v>
      </c>
      <c r="AU58">
        <f ca="1">IFERROR(IF(0=LEN(ReferenceData!$AU$58),"",ReferenceData!$AU$58),"")</f>
        <v>37.969000000000001</v>
      </c>
      <c r="AV58">
        <f ca="1">IFERROR(IF(0=LEN(ReferenceData!$AV$58),"",ReferenceData!$AV$58),"")</f>
        <v>37.113</v>
      </c>
      <c r="AW58">
        <f ca="1">IFERROR(IF(0=LEN(ReferenceData!$AW$58),"",ReferenceData!$AW$58),"")</f>
        <v>36.146999999999998</v>
      </c>
      <c r="AX58">
        <f ca="1">IFERROR(IF(0=LEN(ReferenceData!$AX$58),"",ReferenceData!$AX$58),"")</f>
        <v>40.832000000000001</v>
      </c>
      <c r="AY58">
        <f ca="1">IFERROR(IF(0=LEN(ReferenceData!$AY$58),"",ReferenceData!$AY$58),"")</f>
        <v>34.247999999999998</v>
      </c>
      <c r="AZ58">
        <f ca="1">IFERROR(IF(0=LEN(ReferenceData!$AZ$58),"",ReferenceData!$AZ$58),"")</f>
        <v>33.015999999999998</v>
      </c>
      <c r="BA58">
        <f ca="1">IFERROR(IF(0=LEN(ReferenceData!$BA$58),"",ReferenceData!$BA$58),"")</f>
        <v>29.88</v>
      </c>
      <c r="BB58">
        <f ca="1">IFERROR(IF(0=LEN(ReferenceData!$BB$58),"",ReferenceData!$BB$58),"")</f>
        <v>29.837</v>
      </c>
      <c r="BC58">
        <f ca="1">IFERROR(IF(0=LEN(ReferenceData!$BC$58),"",ReferenceData!$BC$58),"")</f>
        <v>26.318999999999999</v>
      </c>
      <c r="BD58">
        <f ca="1">IFERROR(IF(0=LEN(ReferenceData!$BD$58),"",ReferenceData!$BD$58),"")</f>
        <v>24.858000000000001</v>
      </c>
      <c r="BE58">
        <f ca="1">IFERROR(IF(0=LEN(ReferenceData!$BE$58),"",ReferenceData!$BE$58),"")</f>
        <v>22.513999999999999</v>
      </c>
      <c r="BF58">
        <f ca="1">IFERROR(IF(0=LEN(ReferenceData!$BF$58),"",ReferenceData!$BF$58),"")</f>
        <v>21.748000000000001</v>
      </c>
      <c r="BG58">
        <f ca="1">IFERROR(IF(0=LEN(ReferenceData!$BG$58),"",ReferenceData!$BG$58),"")</f>
        <v>14.473000000000001</v>
      </c>
      <c r="BH58">
        <f ca="1">IFERROR(IF(0=LEN(ReferenceData!$BH$58),"",ReferenceData!$BH$58),"")</f>
        <v>18.572000500000001</v>
      </c>
      <c r="BI58">
        <f ca="1">IFERROR(IF(0=LEN(ReferenceData!$BI$58),"",ReferenceData!$BI$58),"")</f>
        <v>18.170000080000001</v>
      </c>
      <c r="BJ58">
        <f ca="1">IFERROR(IF(0=LEN(ReferenceData!$BJ$58),"",ReferenceData!$BJ$58),"")</f>
        <v>17.122999190000002</v>
      </c>
      <c r="BK58">
        <f ca="1">IFERROR(IF(0=LEN(ReferenceData!$BK$58),"",ReferenceData!$BK$58),"")</f>
        <v>16.535999</v>
      </c>
      <c r="BL58">
        <f ca="1">IFERROR(IF(0=LEN(ReferenceData!$BL$58),"",ReferenceData!$BL$58),"")</f>
        <v>16.351000710000001</v>
      </c>
      <c r="BM58">
        <f ca="1">IFERROR(IF(0=LEN(ReferenceData!$BM$58),"",ReferenceData!$BM$58),"")</f>
        <v>15.886999879999999</v>
      </c>
    </row>
    <row r="59" spans="1:65">
      <c r="A59" t="str">
        <f>IFERROR(IF(0=LEN(ReferenceData!$A$59),"",ReferenceData!$A$59),"")</f>
        <v xml:space="preserve">    Sabra Health Care REIT Inc</v>
      </c>
      <c r="B59" t="str">
        <f>IFERROR(IF(0=LEN(ReferenceData!$B$59),"",ReferenceData!$B$59),"")</f>
        <v>SBRA US Equity</v>
      </c>
      <c r="C59" t="str">
        <f>IFERROR(IF(0=LEN(ReferenceData!$C$59),"",ReferenceData!$C$59),"")</f>
        <v>RR502</v>
      </c>
      <c r="D59" t="str">
        <f>IFERROR(IF(0=LEN(ReferenceData!$D$59),"",ReferenceData!$D$59),"")</f>
        <v>NET_OPER_INCOME</v>
      </c>
      <c r="E59" t="str">
        <f>IFERROR(IF(0=LEN(ReferenceData!$E$59),"",ReferenceData!$E$59),"")</f>
        <v>动态</v>
      </c>
      <c r="F59" t="str">
        <f ca="1">IFERROR(IF(0=LEN(ReferenceData!$F$59),"",ReferenceData!$F$59),"")</f>
        <v/>
      </c>
      <c r="G59">
        <f ca="1">IFERROR(IF(0=LEN(ReferenceData!$G$59),"",ReferenceData!$G$59),"")</f>
        <v>159.50800000000001</v>
      </c>
      <c r="H59">
        <f ca="1">IFERROR(IF(0=LEN(ReferenceData!$H$59),"",ReferenceData!$H$59),"")</f>
        <v>107.699</v>
      </c>
      <c r="I59">
        <f ca="1">IFERROR(IF(0=LEN(ReferenceData!$I$59),"",ReferenceData!$I$59),"")</f>
        <v>62.709000000000003</v>
      </c>
      <c r="J59">
        <f ca="1">IFERROR(IF(0=LEN(ReferenceData!$J$59),"",ReferenceData!$J$59),"")</f>
        <v>60.704999999999998</v>
      </c>
      <c r="K59">
        <f ca="1">IFERROR(IF(0=LEN(ReferenceData!$K$59),"",ReferenceData!$K$59),"")</f>
        <v>59.81</v>
      </c>
      <c r="L59">
        <f ca="1">IFERROR(IF(0=LEN(ReferenceData!$L$59),"",ReferenceData!$L$59),"")</f>
        <v>58.77</v>
      </c>
      <c r="M59">
        <f ca="1">IFERROR(IF(0=LEN(ReferenceData!$M$59),"",ReferenceData!$M$59),"")</f>
        <v>57.256</v>
      </c>
      <c r="N59">
        <f ca="1">IFERROR(IF(0=LEN(ReferenceData!$N$59),"",ReferenceData!$N$59),"")</f>
        <v>57.226999999999997</v>
      </c>
      <c r="O59">
        <f ca="1">IFERROR(IF(0=LEN(ReferenceData!$O$59),"",ReferenceData!$O$59),"")</f>
        <v>58.862000000000002</v>
      </c>
      <c r="P59">
        <f ca="1">IFERROR(IF(0=LEN(ReferenceData!$P$59),"",ReferenceData!$P$59),"")</f>
        <v>53.173000000000002</v>
      </c>
      <c r="Q59">
        <f ca="1">IFERROR(IF(0=LEN(ReferenceData!$Q$59),"",ReferenceData!$Q$59),"")</f>
        <v>49.896000000000001</v>
      </c>
      <c r="R59">
        <f ca="1">IFERROR(IF(0=LEN(ReferenceData!$R$59),"",ReferenceData!$R$59),"")</f>
        <v>49.505000000000003</v>
      </c>
      <c r="S59">
        <f ca="1">IFERROR(IF(0=LEN(ReferenceData!$S$59),"",ReferenceData!$S$59),"")</f>
        <v>49.74</v>
      </c>
      <c r="T59">
        <f ca="1">IFERROR(IF(0=LEN(ReferenceData!$T$59),"",ReferenceData!$T$59),"")</f>
        <v>38.164999999999999</v>
      </c>
      <c r="U59">
        <f ca="1">IFERROR(IF(0=LEN(ReferenceData!$U$59),"",ReferenceData!$U$59),"")</f>
        <v>37.484999999999999</v>
      </c>
      <c r="V59">
        <f ca="1">IFERROR(IF(0=LEN(ReferenceData!$V$59),"",ReferenceData!$V$59),"")</f>
        <v>36.093000000000004</v>
      </c>
      <c r="W59">
        <f ca="1">IFERROR(IF(0=LEN(ReferenceData!$W$59),"",ReferenceData!$W$59),"")</f>
        <v>34.295999999999999</v>
      </c>
      <c r="X59">
        <f ca="1">IFERROR(IF(0=LEN(ReferenceData!$X$59),"",ReferenceData!$X$59),"")</f>
        <v>31.699000000000002</v>
      </c>
      <c r="Y59">
        <f ca="1">IFERROR(IF(0=LEN(ReferenceData!$Y$59),"",ReferenceData!$Y$59),"")</f>
        <v>31.518000000000001</v>
      </c>
      <c r="Z59">
        <f ca="1">IFERROR(IF(0=LEN(ReferenceData!$Z$59),"",ReferenceData!$Z$59),"")</f>
        <v>31.475000000000001</v>
      </c>
      <c r="AA59">
        <f ca="1">IFERROR(IF(0=LEN(ReferenceData!$AA$59),"",ReferenceData!$AA$59),"")</f>
        <v>27.838000000000001</v>
      </c>
      <c r="AB59">
        <f ca="1">IFERROR(IF(0=LEN(ReferenceData!$AB$59),"",ReferenceData!$AB$59),"")</f>
        <v>25.42</v>
      </c>
      <c r="AC59">
        <f ca="1">IFERROR(IF(0=LEN(ReferenceData!$AC$59),"",ReferenceData!$AC$59),"")</f>
        <v>24.82</v>
      </c>
      <c r="AD59">
        <f ca="1">IFERROR(IF(0=LEN(ReferenceData!$AD$59),"",ReferenceData!$AD$59),"")</f>
        <v>23.663</v>
      </c>
      <c r="AE59">
        <f ca="1">IFERROR(IF(0=LEN(ReferenceData!$AE$59),"",ReferenceData!$AE$59),"")</f>
        <v>23.195</v>
      </c>
      <c r="AF59">
        <f ca="1">IFERROR(IF(0=LEN(ReferenceData!$AF$59),"",ReferenceData!$AF$59),"")</f>
        <v>21.294</v>
      </c>
      <c r="AG59">
        <f ca="1">IFERROR(IF(0=LEN(ReferenceData!$AG$59),"",ReferenceData!$AG$59),"")</f>
        <v>18.628</v>
      </c>
      <c r="AH59">
        <f ca="1">IFERROR(IF(0=LEN(ReferenceData!$AH$59),"",ReferenceData!$AH$59),"")</f>
        <v>17.561</v>
      </c>
      <c r="AI59" t="str">
        <f ca="1">IFERROR(IF(0=LEN(ReferenceData!$AI$59),"",ReferenceData!$AI$59),"")</f>
        <v/>
      </c>
      <c r="AJ59" t="str">
        <f ca="1">IFERROR(IF(0=LEN(ReferenceData!$AJ$59),"",ReferenceData!$AJ$59),"")</f>
        <v/>
      </c>
      <c r="AK59" t="str">
        <f ca="1">IFERROR(IF(0=LEN(ReferenceData!$AK$59),"",ReferenceData!$AK$59),"")</f>
        <v/>
      </c>
      <c r="AL59" t="str">
        <f ca="1">IFERROR(IF(0=LEN(ReferenceData!$AL$59),"",ReferenceData!$AL$59),"")</f>
        <v/>
      </c>
      <c r="AM59" t="str">
        <f ca="1">IFERROR(IF(0=LEN(ReferenceData!$AM$59),"",ReferenceData!$AM$59),"")</f>
        <v/>
      </c>
      <c r="AN59" t="str">
        <f ca="1">IFERROR(IF(0=LEN(ReferenceData!$AN$59),"",ReferenceData!$AN$59),"")</f>
        <v/>
      </c>
      <c r="AO59" t="str">
        <f ca="1">IFERROR(IF(0=LEN(ReferenceData!$AO$59),"",ReferenceData!$AO$59),"")</f>
        <v/>
      </c>
      <c r="AP59" t="str">
        <f ca="1">IFERROR(IF(0=LEN(ReferenceData!$AP$59),"",ReferenceData!$AP$59),"")</f>
        <v/>
      </c>
      <c r="AQ59" t="str">
        <f ca="1">IFERROR(IF(0=LEN(ReferenceData!$AQ$59),"",ReferenceData!$AQ$59),"")</f>
        <v/>
      </c>
      <c r="AR59" t="str">
        <f ca="1">IFERROR(IF(0=LEN(ReferenceData!$AR$59),"",ReferenceData!$AR$59),"")</f>
        <v/>
      </c>
      <c r="AS59" t="str">
        <f ca="1">IFERROR(IF(0=LEN(ReferenceData!$AS$59),"",ReferenceData!$AS$59),"")</f>
        <v/>
      </c>
      <c r="AT59" t="str">
        <f ca="1">IFERROR(IF(0=LEN(ReferenceData!$AT$59),"",ReferenceData!$AT$59),"")</f>
        <v/>
      </c>
      <c r="AU59" t="str">
        <f ca="1">IFERROR(IF(0=LEN(ReferenceData!$AU$59),"",ReferenceData!$AU$59),"")</f>
        <v/>
      </c>
      <c r="AV59" t="str">
        <f ca="1">IFERROR(IF(0=LEN(ReferenceData!$AV$59),"",ReferenceData!$AV$59),"")</f>
        <v/>
      </c>
      <c r="AW59" t="str">
        <f ca="1">IFERROR(IF(0=LEN(ReferenceData!$AW$59),"",ReferenceData!$AW$59),"")</f>
        <v/>
      </c>
      <c r="AX59" t="str">
        <f ca="1">IFERROR(IF(0=LEN(ReferenceData!$AX$59),"",ReferenceData!$AX$59),"")</f>
        <v/>
      </c>
      <c r="AY59" t="str">
        <f ca="1">IFERROR(IF(0=LEN(ReferenceData!$AY$59),"",ReferenceData!$AY$59),"")</f>
        <v/>
      </c>
      <c r="AZ59" t="str">
        <f ca="1">IFERROR(IF(0=LEN(ReferenceData!$AZ$59),"",ReferenceData!$AZ$59),"")</f>
        <v/>
      </c>
      <c r="BA59" t="str">
        <f ca="1">IFERROR(IF(0=LEN(ReferenceData!$BA$59),"",ReferenceData!$BA$59),"")</f>
        <v/>
      </c>
      <c r="BB59" t="str">
        <f ca="1">IFERROR(IF(0=LEN(ReferenceData!$BB$59),"",ReferenceData!$BB$59),"")</f>
        <v/>
      </c>
      <c r="BC59" t="str">
        <f ca="1">IFERROR(IF(0=LEN(ReferenceData!$BC$59),"",ReferenceData!$BC$59),"")</f>
        <v/>
      </c>
      <c r="BD59" t="str">
        <f ca="1">IFERROR(IF(0=LEN(ReferenceData!$BD$59),"",ReferenceData!$BD$59),"")</f>
        <v/>
      </c>
      <c r="BE59" t="str">
        <f ca="1">IFERROR(IF(0=LEN(ReferenceData!$BE$59),"",ReferenceData!$BE$59),"")</f>
        <v/>
      </c>
      <c r="BF59" t="str">
        <f ca="1">IFERROR(IF(0=LEN(ReferenceData!$BF$59),"",ReferenceData!$BF$59),"")</f>
        <v/>
      </c>
      <c r="BG59" t="str">
        <f ca="1">IFERROR(IF(0=LEN(ReferenceData!$BG$59),"",ReferenceData!$BG$59),"")</f>
        <v/>
      </c>
      <c r="BH59" t="str">
        <f ca="1">IFERROR(IF(0=LEN(ReferenceData!$BH$59),"",ReferenceData!$BH$59),"")</f>
        <v/>
      </c>
      <c r="BI59" t="str">
        <f ca="1">IFERROR(IF(0=LEN(ReferenceData!$BI$59),"",ReferenceData!$BI$59),"")</f>
        <v/>
      </c>
      <c r="BJ59" t="str">
        <f ca="1">IFERROR(IF(0=LEN(ReferenceData!$BJ$59),"",ReferenceData!$BJ$59),"")</f>
        <v/>
      </c>
      <c r="BK59" t="str">
        <f ca="1">IFERROR(IF(0=LEN(ReferenceData!$BK$59),"",ReferenceData!$BK$59),"")</f>
        <v/>
      </c>
      <c r="BL59" t="str">
        <f ca="1">IFERROR(IF(0=LEN(ReferenceData!$BL$59),"",ReferenceData!$BL$59),"")</f>
        <v/>
      </c>
      <c r="BM59" t="str">
        <f ca="1">IFERROR(IF(0=LEN(ReferenceData!$BM$59),"",ReferenceData!$BM$59),"")</f>
        <v/>
      </c>
    </row>
    <row r="60" spans="1:65">
      <c r="A60" t="str">
        <f>IFERROR(IF(0=LEN(ReferenceData!$A$60),"",ReferenceData!$A$60),"")</f>
        <v xml:space="preserve">    Senior Housing Properties Trus</v>
      </c>
      <c r="B60" t="str">
        <f>IFERROR(IF(0=LEN(ReferenceData!$B$60),"",ReferenceData!$B$60),"")</f>
        <v>SNH US Equity</v>
      </c>
      <c r="C60" t="str">
        <f>IFERROR(IF(0=LEN(ReferenceData!$C$60),"",ReferenceData!$C$60),"")</f>
        <v>RR502</v>
      </c>
      <c r="D60" t="str">
        <f>IFERROR(IF(0=LEN(ReferenceData!$D$60),"",ReferenceData!$D$60),"")</f>
        <v>NET_OPER_INCOME</v>
      </c>
      <c r="E60" t="str">
        <f>IFERROR(IF(0=LEN(ReferenceData!$E$60),"",ReferenceData!$E$60),"")</f>
        <v>动态</v>
      </c>
      <c r="F60" t="str">
        <f ca="1">IFERROR(IF(0=LEN(ReferenceData!$F$60),"",ReferenceData!$F$60),"")</f>
        <v/>
      </c>
      <c r="G60">
        <f ca="1">IFERROR(IF(0=LEN(ReferenceData!$G$60),"",ReferenceData!$G$60),"")</f>
        <v>74.72</v>
      </c>
      <c r="H60">
        <f ca="1">IFERROR(IF(0=LEN(ReferenceData!$H$60),"",ReferenceData!$H$60),"")</f>
        <v>63.634</v>
      </c>
      <c r="I60">
        <f ca="1">IFERROR(IF(0=LEN(ReferenceData!$I$60),"",ReferenceData!$I$60),"")</f>
        <v>63.851999999999997</v>
      </c>
      <c r="J60">
        <f ca="1">IFERROR(IF(0=LEN(ReferenceData!$J$60),"",ReferenceData!$J$60),"")</f>
        <v>65.385999999999996</v>
      </c>
      <c r="K60">
        <f ca="1">IFERROR(IF(0=LEN(ReferenceData!$K$60),"",ReferenceData!$K$60),"")</f>
        <v>74.256</v>
      </c>
      <c r="L60">
        <f ca="1">IFERROR(IF(0=LEN(ReferenceData!$L$60),"",ReferenceData!$L$60),"")</f>
        <v>62.155999999999999</v>
      </c>
      <c r="M60">
        <f ca="1">IFERROR(IF(0=LEN(ReferenceData!$M$60),"",ReferenceData!$M$60),"")</f>
        <v>66.522999999999996</v>
      </c>
      <c r="N60">
        <f ca="1">IFERROR(IF(0=LEN(ReferenceData!$N$60),"",ReferenceData!$N$60),"")</f>
        <v>63.472000000000001</v>
      </c>
      <c r="O60">
        <f ca="1">IFERROR(IF(0=LEN(ReferenceData!$O$60),"",ReferenceData!$O$60),"")</f>
        <v>69.44</v>
      </c>
      <c r="P60">
        <f ca="1">IFERROR(IF(0=LEN(ReferenceData!$P$60),"",ReferenceData!$P$60),"")</f>
        <v>61.936</v>
      </c>
      <c r="Q60">
        <f ca="1">IFERROR(IF(0=LEN(ReferenceData!$Q$60),"",ReferenceData!$Q$60),"")</f>
        <v>61.954000000000001</v>
      </c>
      <c r="R60">
        <f ca="1">IFERROR(IF(0=LEN(ReferenceData!$R$60),"",ReferenceData!$R$60),"")</f>
        <v>59.99</v>
      </c>
      <c r="S60">
        <f ca="1">IFERROR(IF(0=LEN(ReferenceData!$S$60),"",ReferenceData!$S$60),"")</f>
        <v>65.096000000000004</v>
      </c>
      <c r="T60">
        <f ca="1">IFERROR(IF(0=LEN(ReferenceData!$T$60),"",ReferenceData!$T$60),"")</f>
        <v>54.908000000000001</v>
      </c>
      <c r="U60">
        <f ca="1">IFERROR(IF(0=LEN(ReferenceData!$U$60),"",ReferenceData!$U$60),"")</f>
        <v>47.883000000000003</v>
      </c>
      <c r="V60">
        <f ca="1">IFERROR(IF(0=LEN(ReferenceData!$V$60),"",ReferenceData!$V$60),"")</f>
        <v>34.253</v>
      </c>
      <c r="W60">
        <f ca="1">IFERROR(IF(0=LEN(ReferenceData!$W$60),"",ReferenceData!$W$60),"")</f>
        <v>45.927</v>
      </c>
      <c r="X60">
        <f ca="1">IFERROR(IF(0=LEN(ReferenceData!$X$60),"",ReferenceData!$X$60),"")</f>
        <v>37.590000000000003</v>
      </c>
      <c r="Y60">
        <f ca="1">IFERROR(IF(0=LEN(ReferenceData!$Y$60),"",ReferenceData!$Y$60),"")</f>
        <v>37.813000000000002</v>
      </c>
      <c r="Z60">
        <f ca="1">IFERROR(IF(0=LEN(ReferenceData!$Z$60),"",ReferenceData!$Z$60),"")</f>
        <v>38.173000000000002</v>
      </c>
      <c r="AA60">
        <f ca="1">IFERROR(IF(0=LEN(ReferenceData!$AA$60),"",ReferenceData!$AA$60),"")</f>
        <v>50.651000000000003</v>
      </c>
      <c r="AB60">
        <f ca="1">IFERROR(IF(0=LEN(ReferenceData!$AB$60),"",ReferenceData!$AB$60),"")</f>
        <v>66.950999999999993</v>
      </c>
      <c r="AC60">
        <f ca="1">IFERROR(IF(0=LEN(ReferenceData!$AC$60),"",ReferenceData!$AC$60),"")</f>
        <v>68.588999999999999</v>
      </c>
      <c r="AD60">
        <f ca="1">IFERROR(IF(0=LEN(ReferenceData!$AD$60),"",ReferenceData!$AD$60),"")</f>
        <v>70.171000000000006</v>
      </c>
      <c r="AE60">
        <f ca="1">IFERROR(IF(0=LEN(ReferenceData!$AE$60),"",ReferenceData!$AE$60),"")</f>
        <v>93.248000000000005</v>
      </c>
      <c r="AF60">
        <f ca="1">IFERROR(IF(0=LEN(ReferenceData!$AF$60),"",ReferenceData!$AF$60),"")</f>
        <v>93.546999999999997</v>
      </c>
      <c r="AG60">
        <f ca="1">IFERROR(IF(0=LEN(ReferenceData!$AG$60),"",ReferenceData!$AG$60),"")</f>
        <v>89.016000000000005</v>
      </c>
      <c r="AH60">
        <f ca="1">IFERROR(IF(0=LEN(ReferenceData!$AH$60),"",ReferenceData!$AH$60),"")</f>
        <v>88.119</v>
      </c>
      <c r="AI60">
        <f ca="1">IFERROR(IF(0=LEN(ReferenceData!$AI$60),"",ReferenceData!$AI$60),"")</f>
        <v>90.959000000000003</v>
      </c>
      <c r="AJ60">
        <f ca="1">IFERROR(IF(0=LEN(ReferenceData!$AJ$60),"",ReferenceData!$AJ$60),"")</f>
        <v>76.366</v>
      </c>
      <c r="AK60">
        <f ca="1">IFERROR(IF(0=LEN(ReferenceData!$AK$60),"",ReferenceData!$AK$60),"")</f>
        <v>76.620999999999995</v>
      </c>
      <c r="AL60">
        <f ca="1">IFERROR(IF(0=LEN(ReferenceData!$AL$60),"",ReferenceData!$AL$60),"")</f>
        <v>76.072000000000003</v>
      </c>
      <c r="AM60">
        <f ca="1">IFERROR(IF(0=LEN(ReferenceData!$AM$60),"",ReferenceData!$AM$60),"")</f>
        <v>83.004999999999995</v>
      </c>
      <c r="AN60">
        <f ca="1">IFERROR(IF(0=LEN(ReferenceData!$AN$60),"",ReferenceData!$AN$60),"")</f>
        <v>67.897999999999996</v>
      </c>
      <c r="AO60">
        <f ca="1">IFERROR(IF(0=LEN(ReferenceData!$AO$60),"",ReferenceData!$AO$60),"")</f>
        <v>66.180000000000007</v>
      </c>
      <c r="AP60">
        <f ca="1">IFERROR(IF(0=LEN(ReferenceData!$AP$60),"",ReferenceData!$AP$60),"")</f>
        <v>65.421999999999997</v>
      </c>
      <c r="AQ60">
        <f ca="1">IFERROR(IF(0=LEN(ReferenceData!$AQ$60),"",ReferenceData!$AQ$60),"")</f>
        <v>70.950999999999993</v>
      </c>
      <c r="AR60">
        <f ca="1">IFERROR(IF(0=LEN(ReferenceData!$AR$60),"",ReferenceData!$AR$60),"")</f>
        <v>57.872999999999998</v>
      </c>
      <c r="AS60">
        <f ca="1">IFERROR(IF(0=LEN(ReferenceData!$AS$60),"",ReferenceData!$AS$60),"")</f>
        <v>52.607999999999997</v>
      </c>
      <c r="AT60">
        <f ca="1">IFERROR(IF(0=LEN(ReferenceData!$AT$60),"",ReferenceData!$AT$60),"")</f>
        <v>48.982999999999997</v>
      </c>
      <c r="AU60">
        <f ca="1">IFERROR(IF(0=LEN(ReferenceData!$AU$60),"",ReferenceData!$AU$60),"")</f>
        <v>52.591000000000001</v>
      </c>
      <c r="AV60">
        <f ca="1">IFERROR(IF(0=LEN(ReferenceData!$AV$60),"",ReferenceData!$AV$60),"")</f>
        <v>44.652999999999999</v>
      </c>
      <c r="AW60">
        <f ca="1">IFERROR(IF(0=LEN(ReferenceData!$AW$60),"",ReferenceData!$AW$60),"")</f>
        <v>44.405999999999999</v>
      </c>
      <c r="AX60">
        <f ca="1">IFERROR(IF(0=LEN(ReferenceData!$AX$60),"",ReferenceData!$AX$60),"")</f>
        <v>44.301000000000002</v>
      </c>
      <c r="AY60">
        <f ca="1">IFERROR(IF(0=LEN(ReferenceData!$AY$60),"",ReferenceData!$AY$60),"")</f>
        <v>54.645000000000003</v>
      </c>
      <c r="AZ60">
        <f ca="1">IFERROR(IF(0=LEN(ReferenceData!$AZ$60),"",ReferenceData!$AZ$60),"")</f>
        <v>41.982999999999997</v>
      </c>
      <c r="BA60">
        <f ca="1">IFERROR(IF(0=LEN(ReferenceData!$BA$60),"",ReferenceData!$BA$60),"")</f>
        <v>40.920999999999999</v>
      </c>
      <c r="BB60">
        <f ca="1">IFERROR(IF(0=LEN(ReferenceData!$BB$60),"",ReferenceData!$BB$60),"")</f>
        <v>40.823</v>
      </c>
      <c r="BC60">
        <f ca="1">IFERROR(IF(0=LEN(ReferenceData!$BC$60),"",ReferenceData!$BC$60),"")</f>
        <v>43.777000000000001</v>
      </c>
      <c r="BD60">
        <f ca="1">IFERROR(IF(0=LEN(ReferenceData!$BD$60),"",ReferenceData!$BD$60),"")</f>
        <v>39.506000520000001</v>
      </c>
      <c r="BE60">
        <f ca="1">IFERROR(IF(0=LEN(ReferenceData!$BE$60),"",ReferenceData!$BE$60),"")</f>
        <v>39.094001769999998</v>
      </c>
      <c r="BF60">
        <f ca="1">IFERROR(IF(0=LEN(ReferenceData!$BF$60),"",ReferenceData!$BF$60),"")</f>
        <v>38.888000490000003</v>
      </c>
      <c r="BG60">
        <f ca="1">IFERROR(IF(0=LEN(ReferenceData!$BG$60),"",ReferenceData!$BG$60),"")</f>
        <v>40.286000000000001</v>
      </c>
      <c r="BH60">
        <f ca="1">IFERROR(IF(0=LEN(ReferenceData!$BH$60),"",ReferenceData!$BH$60),"")</f>
        <v>35.42599869</v>
      </c>
      <c r="BI60">
        <f ca="1">IFERROR(IF(0=LEN(ReferenceData!$BI$60),"",ReferenceData!$BI$60),"")</f>
        <v>35.188999180000003</v>
      </c>
      <c r="BJ60">
        <f ca="1">IFERROR(IF(0=LEN(ReferenceData!$BJ$60),"",ReferenceData!$BJ$60),"")</f>
        <v>34.828998570000003</v>
      </c>
      <c r="BK60">
        <f ca="1">IFERROR(IF(0=LEN(ReferenceData!$BK$60),"",ReferenceData!$BK$60),"")</f>
        <v>35.541000369999999</v>
      </c>
      <c r="BL60" t="str">
        <f ca="1">IFERROR(IF(0=LEN(ReferenceData!$BL$60),"",ReferenceData!$BL$60),"")</f>
        <v/>
      </c>
      <c r="BM60" t="str">
        <f ca="1">IFERROR(IF(0=LEN(ReferenceData!$BM$60),"",ReferenceData!$BM$60),"")</f>
        <v/>
      </c>
    </row>
    <row r="61" spans="1:65">
      <c r="A61" t="str">
        <f>IFERROR(IF(0=LEN(ReferenceData!$A$61),"",ReferenceData!$A$61),"")</f>
        <v xml:space="preserve">    Ventas Inc</v>
      </c>
      <c r="B61" t="str">
        <f>IFERROR(IF(0=LEN(ReferenceData!$B$61),"",ReferenceData!$B$61),"")</f>
        <v>VTR US Equity</v>
      </c>
      <c r="C61" t="str">
        <f>IFERROR(IF(0=LEN(ReferenceData!$C$61),"",ReferenceData!$C$61),"")</f>
        <v>RR502</v>
      </c>
      <c r="D61" t="str">
        <f>IFERROR(IF(0=LEN(ReferenceData!$D$61),"",ReferenceData!$D$61),"")</f>
        <v>NET_OPER_INCOME</v>
      </c>
      <c r="E61" t="str">
        <f>IFERROR(IF(0=LEN(ReferenceData!$E$61),"",ReferenceData!$E$61),"")</f>
        <v>动态</v>
      </c>
      <c r="F61" t="str">
        <f ca="1">IFERROR(IF(0=LEN(ReferenceData!$F$61),"",ReferenceData!$F$61),"")</f>
        <v/>
      </c>
      <c r="G61">
        <f ca="1">IFERROR(IF(0=LEN(ReferenceData!$G$61),"",ReferenceData!$G$61),"")</f>
        <v>485.95100000000002</v>
      </c>
      <c r="H61">
        <f ca="1">IFERROR(IF(0=LEN(ReferenceData!$H$61),"",ReferenceData!$H$61),"")</f>
        <v>490.565</v>
      </c>
      <c r="I61">
        <f ca="1">IFERROR(IF(0=LEN(ReferenceData!$I$61),"",ReferenceData!$I$61),"")</f>
        <v>497.09</v>
      </c>
      <c r="J61">
        <f ca="1">IFERROR(IF(0=LEN(ReferenceData!$J$61),"",ReferenceData!$J$61),"")</f>
        <v>493.82900000000001</v>
      </c>
      <c r="K61">
        <f ca="1">IFERROR(IF(0=LEN(ReferenceData!$K$61),"",ReferenceData!$K$61),"")</f>
        <v>490.16500000000002</v>
      </c>
      <c r="L61">
        <f ca="1">IFERROR(IF(0=LEN(ReferenceData!$L$61),"",ReferenceData!$L$61),"")</f>
        <v>473.87099999999998</v>
      </c>
      <c r="M61">
        <f ca="1">IFERROR(IF(0=LEN(ReferenceData!$M$61),"",ReferenceData!$M$61),"")</f>
        <v>472.19200000000001</v>
      </c>
      <c r="N61">
        <f ca="1">IFERROR(IF(0=LEN(ReferenceData!$N$61),"",ReferenceData!$N$61),"")</f>
        <v>473.56200000000001</v>
      </c>
      <c r="O61">
        <f ca="1">IFERROR(IF(0=LEN(ReferenceData!$O$61),"",ReferenceData!$O$61),"")</f>
        <v>468.24599999999998</v>
      </c>
      <c r="P61">
        <f ca="1">IFERROR(IF(0=LEN(ReferenceData!$P$61),"",ReferenceData!$P$61),"")</f>
        <v>460.76299999999998</v>
      </c>
      <c r="Q61">
        <f ca="1">IFERROR(IF(0=LEN(ReferenceData!$Q$61),"",ReferenceData!$Q$61),"")</f>
        <v>443.86900000000003</v>
      </c>
      <c r="R61">
        <f ca="1">IFERROR(IF(0=LEN(ReferenceData!$R$61),"",ReferenceData!$R$61),"")</f>
        <v>442.27499999999998</v>
      </c>
      <c r="S61">
        <f ca="1">IFERROR(IF(0=LEN(ReferenceData!$S$61),"",ReferenceData!$S$61),"")</f>
        <v>401.38799999999998</v>
      </c>
      <c r="T61">
        <f ca="1">IFERROR(IF(0=LEN(ReferenceData!$T$61),"",ReferenceData!$T$61),"")</f>
        <v>384.84300000000002</v>
      </c>
      <c r="U61">
        <f ca="1">IFERROR(IF(0=LEN(ReferenceData!$U$61),"",ReferenceData!$U$61),"")</f>
        <v>447.697</v>
      </c>
      <c r="V61">
        <f ca="1">IFERROR(IF(0=LEN(ReferenceData!$V$61),"",ReferenceData!$V$61),"")</f>
        <v>442.79</v>
      </c>
      <c r="W61">
        <f ca="1">IFERROR(IF(0=LEN(ReferenceData!$W$61),"",ReferenceData!$W$61),"")</f>
        <v>432.05399999999997</v>
      </c>
      <c r="X61">
        <f ca="1">IFERROR(IF(0=LEN(ReferenceData!$X$61),"",ReferenceData!$X$61),"")</f>
        <v>411.85300000000001</v>
      </c>
      <c r="Y61">
        <f ca="1">IFERROR(IF(0=LEN(ReferenceData!$Y$61),"",ReferenceData!$Y$61),"")</f>
        <v>399.09100000000001</v>
      </c>
      <c r="Z61">
        <f ca="1">IFERROR(IF(0=LEN(ReferenceData!$Z$61),"",ReferenceData!$Z$61),"")</f>
        <v>398.56700000000001</v>
      </c>
      <c r="AA61">
        <f ca="1">IFERROR(IF(0=LEN(ReferenceData!$AA$61),"",ReferenceData!$AA$61),"")</f>
        <v>378.37799999999999</v>
      </c>
      <c r="AB61">
        <f ca="1">IFERROR(IF(0=LEN(ReferenceData!$AB$61),"",ReferenceData!$AB$61),"")</f>
        <v>376.84</v>
      </c>
      <c r="AC61">
        <f ca="1">IFERROR(IF(0=LEN(ReferenceData!$AC$61),"",ReferenceData!$AC$61),"")</f>
        <v>367.09500000000003</v>
      </c>
      <c r="AD61">
        <f ca="1">IFERROR(IF(0=LEN(ReferenceData!$AD$61),"",ReferenceData!$AD$61),"")</f>
        <v>342.50400000000002</v>
      </c>
      <c r="AE61">
        <f ca="1">IFERROR(IF(0=LEN(ReferenceData!$AE$61),"",ReferenceData!$AE$61),"")</f>
        <v>343.78199999999998</v>
      </c>
      <c r="AF61">
        <f ca="1">IFERROR(IF(0=LEN(ReferenceData!$AF$61),"",ReferenceData!$AF$61),"")</f>
        <v>337.50599999999997</v>
      </c>
      <c r="AG61">
        <f ca="1">IFERROR(IF(0=LEN(ReferenceData!$AG$61),"",ReferenceData!$AG$61),"")</f>
        <v>206.86500000000001</v>
      </c>
      <c r="AH61">
        <f ca="1">IFERROR(IF(0=LEN(ReferenceData!$AH$61),"",ReferenceData!$AH$61),"")</f>
        <v>175.482</v>
      </c>
      <c r="AI61">
        <f ca="1">IFERROR(IF(0=LEN(ReferenceData!$AI$61),"",ReferenceData!$AI$61),"")</f>
        <v>180.941</v>
      </c>
      <c r="AJ61">
        <f ca="1">IFERROR(IF(0=LEN(ReferenceData!$AJ$61),"",ReferenceData!$AJ$61),"")</f>
        <v>178.60900000000001</v>
      </c>
      <c r="AK61">
        <f ca="1">IFERROR(IF(0=LEN(ReferenceData!$AK$61),"",ReferenceData!$AK$61),"")</f>
        <v>164.31</v>
      </c>
      <c r="AL61">
        <f ca="1">IFERROR(IF(0=LEN(ReferenceData!$AL$61),"",ReferenceData!$AL$61),"")</f>
        <v>158.12899999999999</v>
      </c>
      <c r="AM61">
        <f ca="1">IFERROR(IF(0=LEN(ReferenceData!$AM$61),"",ReferenceData!$AM$61),"")</f>
        <v>155.82499999999999</v>
      </c>
      <c r="AN61">
        <f ca="1">IFERROR(IF(0=LEN(ReferenceData!$AN$61),"",ReferenceData!$AN$61),"")</f>
        <v>154.98599999999999</v>
      </c>
      <c r="AO61">
        <f ca="1">IFERROR(IF(0=LEN(ReferenceData!$AO$61),"",ReferenceData!$AO$61),"")</f>
        <v>155.447</v>
      </c>
      <c r="AP61">
        <f ca="1">IFERROR(IF(0=LEN(ReferenceData!$AP$61),"",ReferenceData!$AP$61),"")</f>
        <v>149.869</v>
      </c>
      <c r="AQ61">
        <f ca="1">IFERROR(IF(0=LEN(ReferenceData!$AQ$61),"",ReferenceData!$AQ$61),"")</f>
        <v>151.83500000000001</v>
      </c>
      <c r="AR61">
        <f ca="1">IFERROR(IF(0=LEN(ReferenceData!$AR$61),"",ReferenceData!$AR$61),"")</f>
        <v>148.084</v>
      </c>
      <c r="AS61">
        <f ca="1">IFERROR(IF(0=LEN(ReferenceData!$AS$61),"",ReferenceData!$AS$61),"")</f>
        <v>154.911</v>
      </c>
      <c r="AT61">
        <f ca="1">IFERROR(IF(0=LEN(ReferenceData!$AT$61),"",ReferenceData!$AT$61),"")</f>
        <v>150.43</v>
      </c>
      <c r="AU61">
        <f ca="1">IFERROR(IF(0=LEN(ReferenceData!$AU$61),"",ReferenceData!$AU$61),"")</f>
        <v>151.328</v>
      </c>
      <c r="AV61">
        <f ca="1">IFERROR(IF(0=LEN(ReferenceData!$AV$61),"",ReferenceData!$AV$61),"")</f>
        <v>150.92099999999999</v>
      </c>
      <c r="AW61">
        <f ca="1">IFERROR(IF(0=LEN(ReferenceData!$AW$61),"",ReferenceData!$AW$61),"")</f>
        <v>139.245</v>
      </c>
      <c r="AX61">
        <f ca="1">IFERROR(IF(0=LEN(ReferenceData!$AX$61),"",ReferenceData!$AX$61),"")</f>
        <v>115.404</v>
      </c>
      <c r="AY61">
        <f ca="1">IFERROR(IF(0=LEN(ReferenceData!$AY$61),"",ReferenceData!$AY$61),"")</f>
        <v>108.75</v>
      </c>
      <c r="AZ61">
        <f ca="1">IFERROR(IF(0=LEN(ReferenceData!$AZ$61),"",ReferenceData!$AZ$61),"")</f>
        <v>103.27723</v>
      </c>
      <c r="BA61">
        <f ca="1">IFERROR(IF(0=LEN(ReferenceData!$BA$61),"",ReferenceData!$BA$61),"")</f>
        <v>94.870999999999995</v>
      </c>
      <c r="BB61">
        <f ca="1">IFERROR(IF(0=LEN(ReferenceData!$BB$61),"",ReferenceData!$BB$61),"")</f>
        <v>95.882999999999996</v>
      </c>
      <c r="BC61">
        <f ca="1">IFERROR(IF(0=LEN(ReferenceData!$BC$61),"",ReferenceData!$BC$61),"")</f>
        <v>95.567999999999998</v>
      </c>
      <c r="BD61">
        <f ca="1">IFERROR(IF(0=LEN(ReferenceData!$BD$61),"",ReferenceData!$BD$61),"")</f>
        <v>92.891999999999996</v>
      </c>
      <c r="BE61">
        <f ca="1">IFERROR(IF(0=LEN(ReferenceData!$BE$61),"",ReferenceData!$BE$61),"")</f>
        <v>71.698999999999998</v>
      </c>
      <c r="BF61">
        <f ca="1">IFERROR(IF(0=LEN(ReferenceData!$BF$61),"",ReferenceData!$BF$61),"")</f>
        <v>62.186999999999998</v>
      </c>
      <c r="BG61">
        <f ca="1">IFERROR(IF(0=LEN(ReferenceData!$BG$61),"",ReferenceData!$BG$61),"")</f>
        <v>60.859000000000002</v>
      </c>
      <c r="BH61">
        <f ca="1">IFERROR(IF(0=LEN(ReferenceData!$BH$61),"",ReferenceData!$BH$61),"")</f>
        <v>59.938000000000002</v>
      </c>
      <c r="BI61">
        <f ca="1">IFERROR(IF(0=LEN(ReferenceData!$BI$61),"",ReferenceData!$BI$61),"")</f>
        <v>57.656999999999996</v>
      </c>
      <c r="BJ61">
        <f ca="1">IFERROR(IF(0=LEN(ReferenceData!$BJ$61),"",ReferenceData!$BJ$61),"")</f>
        <v>52.426000000000002</v>
      </c>
      <c r="BK61">
        <f ca="1">IFERROR(IF(0=LEN(ReferenceData!$BK$61),"",ReferenceData!$BK$61),"")</f>
        <v>49.07400131</v>
      </c>
      <c r="BL61">
        <f ca="1">IFERROR(IF(0=LEN(ReferenceData!$BL$61),"",ReferenceData!$BL$61),"")</f>
        <v>48.938999529999997</v>
      </c>
      <c r="BM61">
        <f ca="1">IFERROR(IF(0=LEN(ReferenceData!$BM$61),"",ReferenceData!$BM$61),"")</f>
        <v>46.003</v>
      </c>
    </row>
    <row r="62" spans="1:65">
      <c r="A62" t="str">
        <f>IFERROR(IF(0=LEN(ReferenceData!$A$62),"",ReferenceData!$A$62),"")</f>
        <v xml:space="preserve">    Welltower Inc</v>
      </c>
      <c r="B62" t="str">
        <f>IFERROR(IF(0=LEN(ReferenceData!$B$62),"",ReferenceData!$B$62),"")</f>
        <v>HCN US Equity</v>
      </c>
      <c r="C62" t="str">
        <f>IFERROR(IF(0=LEN(ReferenceData!$C$62),"",ReferenceData!$C$62),"")</f>
        <v>RR502</v>
      </c>
      <c r="D62" t="str">
        <f>IFERROR(IF(0=LEN(ReferenceData!$D$62),"",ReferenceData!$D$62),"")</f>
        <v>NET_OPER_INCOME</v>
      </c>
      <c r="E62" t="str">
        <f>IFERROR(IF(0=LEN(ReferenceData!$E$62),"",ReferenceData!$E$62),"")</f>
        <v>动态</v>
      </c>
      <c r="F62" t="str">
        <f ca="1">IFERROR(IF(0=LEN(ReferenceData!$F$62),"",ReferenceData!$F$62),"")</f>
        <v/>
      </c>
      <c r="G62">
        <f ca="1">IFERROR(IF(0=LEN(ReferenceData!$G$62),"",ReferenceData!$G$62),"")</f>
        <v>542.01099999999997</v>
      </c>
      <c r="H62">
        <f ca="1">IFERROR(IF(0=LEN(ReferenceData!$H$62),"",ReferenceData!$H$62),"")</f>
        <v>541.26300000000003</v>
      </c>
      <c r="I62">
        <f ca="1">IFERROR(IF(0=LEN(ReferenceData!$I$62),"",ReferenceData!$I$62),"")</f>
        <v>530.78399999999999</v>
      </c>
      <c r="J62">
        <f ca="1">IFERROR(IF(0=LEN(ReferenceData!$J$62),"",ReferenceData!$J$62),"")</f>
        <v>527.30899999999997</v>
      </c>
      <c r="K62">
        <f ca="1">IFERROR(IF(0=LEN(ReferenceData!$K$62),"",ReferenceData!$K$62),"")</f>
        <v>551.88199999999995</v>
      </c>
      <c r="L62">
        <f ca="1">IFERROR(IF(0=LEN(ReferenceData!$L$62),"",ReferenceData!$L$62),"")</f>
        <v>577.48900000000003</v>
      </c>
      <c r="M62">
        <f ca="1">IFERROR(IF(0=LEN(ReferenceData!$M$62),"",ReferenceData!$M$62),"")</f>
        <v>579.01599999999996</v>
      </c>
      <c r="N62">
        <f ca="1">IFERROR(IF(0=LEN(ReferenceData!$N$62),"",ReferenceData!$N$62),"")</f>
        <v>568.17600000000004</v>
      </c>
      <c r="O62">
        <f ca="1">IFERROR(IF(0=LEN(ReferenceData!$O$62),"",ReferenceData!$O$62),"")</f>
        <v>559.42100000000005</v>
      </c>
      <c r="P62">
        <f ca="1">IFERROR(IF(0=LEN(ReferenceData!$P$62),"",ReferenceData!$P$62),"")</f>
        <v>545.84199999999998</v>
      </c>
      <c r="Q62">
        <f ca="1">IFERROR(IF(0=LEN(ReferenceData!$Q$62),"",ReferenceData!$Q$62),"")</f>
        <v>533.82500000000005</v>
      </c>
      <c r="R62">
        <f ca="1">IFERROR(IF(0=LEN(ReferenceData!$R$62),"",ReferenceData!$R$62),"")</f>
        <v>495.63600000000002</v>
      </c>
      <c r="S62">
        <f ca="1">IFERROR(IF(0=LEN(ReferenceData!$S$62),"",ReferenceData!$S$62),"")</f>
        <v>490.221</v>
      </c>
      <c r="T62">
        <f ca="1">IFERROR(IF(0=LEN(ReferenceData!$T$62),"",ReferenceData!$T$62),"")</f>
        <v>481.40300000000002</v>
      </c>
      <c r="U62">
        <f ca="1">IFERROR(IF(0=LEN(ReferenceData!$U$62),"",ReferenceData!$U$62),"")</f>
        <v>471.73200000000003</v>
      </c>
      <c r="V62">
        <f ca="1">IFERROR(IF(0=LEN(ReferenceData!$V$62),"",ReferenceData!$V$62),"")</f>
        <v>451.28899999999999</v>
      </c>
      <c r="W62">
        <f ca="1">IFERROR(IF(0=LEN(ReferenceData!$W$62),"",ReferenceData!$W$62),"")</f>
        <v>445.23</v>
      </c>
      <c r="X62">
        <f ca="1">IFERROR(IF(0=LEN(ReferenceData!$X$62),"",ReferenceData!$X$62),"")</f>
        <v>432.71800000000002</v>
      </c>
      <c r="Y62">
        <f ca="1">IFERROR(IF(0=LEN(ReferenceData!$Y$62),"",ReferenceData!$Y$62),"")</f>
        <v>391.91</v>
      </c>
      <c r="Z62">
        <f ca="1">IFERROR(IF(0=LEN(ReferenceData!$Z$62),"",ReferenceData!$Z$62),"")</f>
        <v>367.14400000000001</v>
      </c>
      <c r="AA62">
        <f ca="1">IFERROR(IF(0=LEN(ReferenceData!$AA$62),"",ReferenceData!$AA$62),"")</f>
        <v>320.34699999999998</v>
      </c>
      <c r="AB62">
        <f ca="1">IFERROR(IF(0=LEN(ReferenceData!$AB$62),"",ReferenceData!$AB$62),"")</f>
        <v>307.96600000000001</v>
      </c>
      <c r="AC62">
        <f ca="1">IFERROR(IF(0=LEN(ReferenceData!$AC$62),"",ReferenceData!$AC$62),"")</f>
        <v>293.51900000000001</v>
      </c>
      <c r="AD62">
        <f ca="1">IFERROR(IF(0=LEN(ReferenceData!$AD$62),"",ReferenceData!$AD$62),"")</f>
        <v>279.36799999999999</v>
      </c>
      <c r="AE62">
        <f ca="1">IFERROR(IF(0=LEN(ReferenceData!$AE$62),"",ReferenceData!$AE$62),"")</f>
        <v>262.33600000000001</v>
      </c>
      <c r="AF62">
        <f ca="1">IFERROR(IF(0=LEN(ReferenceData!$AF$62),"",ReferenceData!$AF$62),"")</f>
        <v>257.93599999999998</v>
      </c>
      <c r="AG62">
        <f ca="1">IFERROR(IF(0=LEN(ReferenceData!$AG$62),"",ReferenceData!$AG$62),"")</f>
        <v>251.58699999999999</v>
      </c>
      <c r="AH62">
        <f ca="1">IFERROR(IF(0=LEN(ReferenceData!$AH$62),"",ReferenceData!$AH$62),"")</f>
        <v>167.66</v>
      </c>
      <c r="AI62">
        <f ca="1">IFERROR(IF(0=LEN(ReferenceData!$AI$62),"",ReferenceData!$AI$62),"")</f>
        <v>145.197</v>
      </c>
      <c r="AJ62">
        <f ca="1">IFERROR(IF(0=LEN(ReferenceData!$AJ$62),"",ReferenceData!$AJ$62),"")</f>
        <v>137.40600000000001</v>
      </c>
      <c r="AK62">
        <f ca="1">IFERROR(IF(0=LEN(ReferenceData!$AK$62),"",ReferenceData!$AK$62),"")</f>
        <v>129.79400000000001</v>
      </c>
      <c r="AL62">
        <f ca="1">IFERROR(IF(0=LEN(ReferenceData!$AL$62),"",ReferenceData!$AL$62),"")</f>
        <v>122.82</v>
      </c>
      <c r="AM62">
        <f ca="1">IFERROR(IF(0=LEN(ReferenceData!$AM$62),"",ReferenceData!$AM$62),"")</f>
        <v>118.125</v>
      </c>
      <c r="AN62">
        <f ca="1">IFERROR(IF(0=LEN(ReferenceData!$AN$62),"",ReferenceData!$AN$62),"")</f>
        <v>116.374</v>
      </c>
      <c r="AO62">
        <f ca="1">IFERROR(IF(0=LEN(ReferenceData!$AO$62),"",ReferenceData!$AO$62),"")</f>
        <v>116.404</v>
      </c>
      <c r="AP62">
        <f ca="1">IFERROR(IF(0=LEN(ReferenceData!$AP$62),"",ReferenceData!$AP$62),"")</f>
        <v>116.36</v>
      </c>
      <c r="AQ62">
        <f ca="1">IFERROR(IF(0=LEN(ReferenceData!$AQ$62),"",ReferenceData!$AQ$62),"")</f>
        <v>105.455</v>
      </c>
      <c r="AR62">
        <f ca="1">IFERROR(IF(0=LEN(ReferenceData!$AR$62),"",ReferenceData!$AR$62),"")</f>
        <v>115.19199999999999</v>
      </c>
      <c r="AS62">
        <f ca="1">IFERROR(IF(0=LEN(ReferenceData!$AS$62),"",ReferenceData!$AS$62),"")</f>
        <v>107.428</v>
      </c>
      <c r="AT62">
        <f ca="1">IFERROR(IF(0=LEN(ReferenceData!$AT$62),"",ReferenceData!$AT$62),"")</f>
        <v>105.113</v>
      </c>
      <c r="AU62">
        <f ca="1">IFERROR(IF(0=LEN(ReferenceData!$AU$62),"",ReferenceData!$AU$62),"")</f>
        <v>100.75</v>
      </c>
      <c r="AV62">
        <f ca="1">IFERROR(IF(0=LEN(ReferenceData!$AV$62),"",ReferenceData!$AV$62),"")</f>
        <v>101.26600000000001</v>
      </c>
      <c r="AW62">
        <f ca="1">IFERROR(IF(0=LEN(ReferenceData!$AW$62),"",ReferenceData!$AW$62),"")</f>
        <v>96.366</v>
      </c>
      <c r="AX62">
        <f ca="1">IFERROR(IF(0=LEN(ReferenceData!$AX$62),"",ReferenceData!$AX$62),"")</f>
        <v>96.328000000000003</v>
      </c>
      <c r="AY62">
        <f ca="1">IFERROR(IF(0=LEN(ReferenceData!$AY$62),"",ReferenceData!$AY$62),"")</f>
        <v>80.146000000000001</v>
      </c>
      <c r="AZ62">
        <f ca="1">IFERROR(IF(0=LEN(ReferenceData!$AZ$62),"",ReferenceData!$AZ$62),"")</f>
        <v>73.328000000000003</v>
      </c>
      <c r="BA62">
        <f ca="1">IFERROR(IF(0=LEN(ReferenceData!$BA$62),"",ReferenceData!$BA$62),"")</f>
        <v>71.757000000000005</v>
      </c>
      <c r="BB62">
        <f ca="1">IFERROR(IF(0=LEN(ReferenceData!$BB$62),"",ReferenceData!$BB$62),"")</f>
        <v>71.38</v>
      </c>
      <c r="BC62">
        <f ca="1">IFERROR(IF(0=LEN(ReferenceData!$BC$62),"",ReferenceData!$BC$62),"")</f>
        <v>67.27</v>
      </c>
      <c r="BD62" t="str">
        <f ca="1">IFERROR(IF(0=LEN(ReferenceData!$BD$62),"",ReferenceData!$BD$62),"")</f>
        <v/>
      </c>
      <c r="BE62" t="str">
        <f ca="1">IFERROR(IF(0=LEN(ReferenceData!$BE$62),"",ReferenceData!$BE$62),"")</f>
        <v/>
      </c>
      <c r="BF62" t="str">
        <f ca="1">IFERROR(IF(0=LEN(ReferenceData!$BF$62),"",ReferenceData!$BF$62),"")</f>
        <v/>
      </c>
      <c r="BG62">
        <f ca="1">IFERROR(IF(0=LEN(ReferenceData!$BG$62),"",ReferenceData!$BG$62),"")</f>
        <v>51.33</v>
      </c>
      <c r="BH62" t="str">
        <f ca="1">IFERROR(IF(0=LEN(ReferenceData!$BH$62),"",ReferenceData!$BH$62),"")</f>
        <v/>
      </c>
      <c r="BI62" t="str">
        <f ca="1">IFERROR(IF(0=LEN(ReferenceData!$BI$62),"",ReferenceData!$BI$62),"")</f>
        <v/>
      </c>
      <c r="BJ62" t="str">
        <f ca="1">IFERROR(IF(0=LEN(ReferenceData!$BJ$62),"",ReferenceData!$BJ$62),"")</f>
        <v/>
      </c>
      <c r="BK62">
        <f ca="1">IFERROR(IF(0=LEN(ReferenceData!$BK$62),"",ReferenceData!$BK$62),"")</f>
        <v>54.748001000000002</v>
      </c>
      <c r="BL62" t="str">
        <f ca="1">IFERROR(IF(0=LEN(ReferenceData!$BL$62),"",ReferenceData!$BL$62),"")</f>
        <v/>
      </c>
      <c r="BM62" t="str">
        <f ca="1">IFERROR(IF(0=LEN(ReferenceData!$BM$62),"",ReferenceData!$BM$62),"")</f>
        <v/>
      </c>
    </row>
    <row r="63" spans="1:65">
      <c r="A63" t="str">
        <f>IFERROR(IF(0=LEN(ReferenceData!$A$63),"",ReferenceData!$A$63),"")</f>
        <v>EBITDA</v>
      </c>
      <c r="B63" t="str">
        <f>IFERROR(IF(0=LEN(ReferenceData!$B$63),"",ReferenceData!$B$63),"")</f>
        <v/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Median</v>
      </c>
      <c r="F63" t="str">
        <f ca="1">IFERROR(IF(0=LEN(ReferenceData!$F$63),"",ReferenceData!$F$63),"")</f>
        <v/>
      </c>
      <c r="G63">
        <f ca="1">IFERROR(IF(0=LEN(ReferenceData!$G$63),"",ReferenceData!$G$63),"")</f>
        <v>142.66550000000001</v>
      </c>
      <c r="H63">
        <f ca="1">IFERROR(IF(0=LEN(ReferenceData!$H$63),"",ReferenceData!$H$63),"")</f>
        <v>148.38150000000002</v>
      </c>
      <c r="I63">
        <f ca="1">IFERROR(IF(0=LEN(ReferenceData!$I$63),"",ReferenceData!$I$63),"")</f>
        <v>141.14699999999999</v>
      </c>
      <c r="J63">
        <f ca="1">IFERROR(IF(0=LEN(ReferenceData!$J$63),"",ReferenceData!$J$63),"")</f>
        <v>148.12899999999999</v>
      </c>
      <c r="K63">
        <f ca="1">IFERROR(IF(0=LEN(ReferenceData!$K$63),"",ReferenceData!$K$63),"")</f>
        <v>142.43600000000001</v>
      </c>
      <c r="L63">
        <f ca="1">IFERROR(IF(0=LEN(ReferenceData!$L$63),"",ReferenceData!$L$63),"")</f>
        <v>134.40899999999999</v>
      </c>
      <c r="M63">
        <f ca="1">IFERROR(IF(0=LEN(ReferenceData!$M$63),"",ReferenceData!$M$63),"")</f>
        <v>101.973</v>
      </c>
      <c r="N63">
        <f ca="1">IFERROR(IF(0=LEN(ReferenceData!$N$63),"",ReferenceData!$N$63),"")</f>
        <v>124.244</v>
      </c>
      <c r="O63">
        <f ca="1">IFERROR(IF(0=LEN(ReferenceData!$O$63),"",ReferenceData!$O$63),"")</f>
        <v>131.19999999999999</v>
      </c>
      <c r="P63">
        <f ca="1">IFERROR(IF(0=LEN(ReferenceData!$P$63),"",ReferenceData!$P$63),"")</f>
        <v>134.62100000000001</v>
      </c>
      <c r="Q63">
        <f ca="1">IFERROR(IF(0=LEN(ReferenceData!$Q$63),"",ReferenceData!$Q$63),"")</f>
        <v>130.1635</v>
      </c>
      <c r="R63">
        <f ca="1">IFERROR(IF(0=LEN(ReferenceData!$R$63),"",ReferenceData!$R$63),"")</f>
        <v>92.708500000000001</v>
      </c>
      <c r="S63">
        <f ca="1">IFERROR(IF(0=LEN(ReferenceData!$S$63),"",ReferenceData!$S$63),"")</f>
        <v>93.464500000000001</v>
      </c>
      <c r="T63">
        <f ca="1">IFERROR(IF(0=LEN(ReferenceData!$T$63),"",ReferenceData!$T$63),"")</f>
        <v>118.9575</v>
      </c>
      <c r="U63">
        <f ca="1">IFERROR(IF(0=LEN(ReferenceData!$U$63),"",ReferenceData!$U$63),"")</f>
        <v>110.67599999999999</v>
      </c>
      <c r="V63">
        <f ca="1">IFERROR(IF(0=LEN(ReferenceData!$V$63),"",ReferenceData!$V$63),"")</f>
        <v>107.869</v>
      </c>
      <c r="W63">
        <f ca="1">IFERROR(IF(0=LEN(ReferenceData!$W$63),"",ReferenceData!$W$63),"")</f>
        <v>105.8035</v>
      </c>
      <c r="X63">
        <f ca="1">IFERROR(IF(0=LEN(ReferenceData!$X$63),"",ReferenceData!$X$63),"")</f>
        <v>97.364000000000004</v>
      </c>
      <c r="Y63">
        <f ca="1">IFERROR(IF(0=LEN(ReferenceData!$Y$63),"",ReferenceData!$Y$63),"")</f>
        <v>96.195999999999998</v>
      </c>
      <c r="Z63">
        <f ca="1">IFERROR(IF(0=LEN(ReferenceData!$Z$63),"",ReferenceData!$Z$63),"")</f>
        <v>95.422500000000014</v>
      </c>
      <c r="AA63">
        <f ca="1">IFERROR(IF(0=LEN(ReferenceData!$AA$63),"",ReferenceData!$AA$63),"")</f>
        <v>90.171499999999995</v>
      </c>
      <c r="AB63">
        <f ca="1">IFERROR(IF(0=LEN(ReferenceData!$AB$63),"",ReferenceData!$AB$63),"")</f>
        <v>84.609000000000009</v>
      </c>
      <c r="AC63">
        <f ca="1">IFERROR(IF(0=LEN(ReferenceData!$AC$63),"",ReferenceData!$AC$63),"")</f>
        <v>85.789999999999992</v>
      </c>
      <c r="AD63">
        <f ca="1">IFERROR(IF(0=LEN(ReferenceData!$AD$63),"",ReferenceData!$AD$63),"")</f>
        <v>82.566000000000003</v>
      </c>
      <c r="AE63">
        <f ca="1">IFERROR(IF(0=LEN(ReferenceData!$AE$63),"",ReferenceData!$AE$63),"")</f>
        <v>77.419000000000011</v>
      </c>
      <c r="AF63">
        <f ca="1">IFERROR(IF(0=LEN(ReferenceData!$AF$63),"",ReferenceData!$AF$63),"")</f>
        <v>75.805999999999997</v>
      </c>
      <c r="AG63">
        <f ca="1">IFERROR(IF(0=LEN(ReferenceData!$AG$63),"",ReferenceData!$AG$63),"")</f>
        <v>71.782499999999999</v>
      </c>
      <c r="AH63">
        <f ca="1">IFERROR(IF(0=LEN(ReferenceData!$AH$63),"",ReferenceData!$AH$63),"")</f>
        <v>60.343999999999994</v>
      </c>
      <c r="AI63">
        <f ca="1">IFERROR(IF(0=LEN(ReferenceData!$AI$63),"",ReferenceData!$AI$63),"")</f>
        <v>77.858999999999995</v>
      </c>
      <c r="AJ63">
        <f ca="1">IFERROR(IF(0=LEN(ReferenceData!$AJ$63),"",ReferenceData!$AJ$63),"")</f>
        <v>70.531000000000006</v>
      </c>
      <c r="AK63">
        <f ca="1">IFERROR(IF(0=LEN(ReferenceData!$AK$63),"",ReferenceData!$AK$63),"")</f>
        <v>70.804000000000002</v>
      </c>
      <c r="AL63">
        <f ca="1">IFERROR(IF(0=LEN(ReferenceData!$AL$63),"",ReferenceData!$AL$63),"")</f>
        <v>70.536000000000001</v>
      </c>
      <c r="AM63">
        <f ca="1">IFERROR(IF(0=LEN(ReferenceData!$AM$63),"",ReferenceData!$AM$63),"")</f>
        <v>75.450500000000005</v>
      </c>
      <c r="AN63">
        <f ca="1">IFERROR(IF(0=LEN(ReferenceData!$AN$63),"",ReferenceData!$AN$63),"")</f>
        <v>63.293000000000006</v>
      </c>
      <c r="AO63">
        <f ca="1">IFERROR(IF(0=LEN(ReferenceData!$AO$63),"",ReferenceData!$AO$63),"")</f>
        <v>72.091000000000008</v>
      </c>
      <c r="AP63">
        <f ca="1">IFERROR(IF(0=LEN(ReferenceData!$AP$63),"",ReferenceData!$AP$63),"")</f>
        <v>75.256500000000003</v>
      </c>
      <c r="AQ63">
        <f ca="1">IFERROR(IF(0=LEN(ReferenceData!$AQ$63),"",ReferenceData!$AQ$63),"")</f>
        <v>56.721499999999999</v>
      </c>
      <c r="AR63">
        <f ca="1">IFERROR(IF(0=LEN(ReferenceData!$AR$63),"",ReferenceData!$AR$63),"")</f>
        <v>45.332499999999996</v>
      </c>
      <c r="AS63">
        <f ca="1">IFERROR(IF(0=LEN(ReferenceData!$AS$63),"",ReferenceData!$AS$63),"")</f>
        <v>62.025500000000001</v>
      </c>
      <c r="AT63">
        <f ca="1">IFERROR(IF(0=LEN(ReferenceData!$AT$63),"",ReferenceData!$AT$63),"")</f>
        <v>59.295000000000002</v>
      </c>
      <c r="AU63">
        <f ca="1">IFERROR(IF(0=LEN(ReferenceData!$AU$63),"",ReferenceData!$AU$63),"")</f>
        <v>61.351500000000001</v>
      </c>
      <c r="AV63">
        <f ca="1">IFERROR(IF(0=LEN(ReferenceData!$AV$63),"",ReferenceData!$AV$63),"")</f>
        <v>55.488999999999997</v>
      </c>
      <c r="AW63">
        <f ca="1">IFERROR(IF(0=LEN(ReferenceData!$AW$63),"",ReferenceData!$AW$63),"")</f>
        <v>52.912499999999994</v>
      </c>
      <c r="AX63">
        <f ca="1">IFERROR(IF(0=LEN(ReferenceData!$AX$63),"",ReferenceData!$AX$63),"")</f>
        <v>52.534500000000001</v>
      </c>
      <c r="AY63">
        <f ca="1">IFERROR(IF(0=LEN(ReferenceData!$AY$63),"",ReferenceData!$AY$63),"")</f>
        <v>57.609000000000002</v>
      </c>
      <c r="AZ63">
        <f ca="1">IFERROR(IF(0=LEN(ReferenceData!$AZ$63),"",ReferenceData!$AZ$63),"")</f>
        <v>48.349499999999999</v>
      </c>
      <c r="BA63">
        <f ca="1">IFERROR(IF(0=LEN(ReferenceData!$BA$63),"",ReferenceData!$BA$63),"")</f>
        <v>43.83</v>
      </c>
      <c r="BB63">
        <f ca="1">IFERROR(IF(0=LEN(ReferenceData!$BB$63),"",ReferenceData!$BB$63),"")</f>
        <v>42.253</v>
      </c>
      <c r="BC63">
        <f ca="1">IFERROR(IF(0=LEN(ReferenceData!$BC$63),"",ReferenceData!$BC$63),"")</f>
        <v>42.587500000000006</v>
      </c>
      <c r="BD63">
        <f ca="1">IFERROR(IF(0=LEN(ReferenceData!$BD$63),"",ReferenceData!$BD$63),"")</f>
        <v>40.794499999999999</v>
      </c>
      <c r="BE63">
        <f ca="1">IFERROR(IF(0=LEN(ReferenceData!$BE$63),"",ReferenceData!$BE$63),"")</f>
        <v>38.353999825000002</v>
      </c>
      <c r="BF63">
        <f ca="1">IFERROR(IF(0=LEN(ReferenceData!$BF$63),"",ReferenceData!$BF$63),"")</f>
        <v>38.132000000000005</v>
      </c>
      <c r="BG63">
        <f ca="1">IFERROR(IF(0=LEN(ReferenceData!$BG$63),"",ReferenceData!$BG$63),"")</f>
        <v>37.725000000000001</v>
      </c>
      <c r="BH63">
        <f ca="1">IFERROR(IF(0=LEN(ReferenceData!$BH$63),"",ReferenceData!$BH$63),"")</f>
        <v>39.718000000000004</v>
      </c>
      <c r="BI63">
        <f ca="1">IFERROR(IF(0=LEN(ReferenceData!$BI$63),"",ReferenceData!$BI$63),"")</f>
        <v>37.531999999999996</v>
      </c>
      <c r="BJ63">
        <f ca="1">IFERROR(IF(0=LEN(ReferenceData!$BJ$63),"",ReferenceData!$BJ$63),"")</f>
        <v>33.998999599999998</v>
      </c>
      <c r="BK63">
        <f ca="1">IFERROR(IF(0=LEN(ReferenceData!$BK$63),"",ReferenceData!$BK$63),"")</f>
        <v>39.764000000000003</v>
      </c>
      <c r="BL63">
        <f ca="1">IFERROR(IF(0=LEN(ReferenceData!$BL$63),"",ReferenceData!$BL$63),"")</f>
        <v>46.493999479999999</v>
      </c>
      <c r="BM63">
        <f ca="1">IFERROR(IF(0=LEN(ReferenceData!$BM$63),"",ReferenceData!$BM$63),"")</f>
        <v>36.197999000000003</v>
      </c>
    </row>
    <row r="64" spans="1:65">
      <c r="A64" t="str">
        <f>IFERROR(IF(0=LEN(ReferenceData!$A$64),"",ReferenceData!$A$64),"")</f>
        <v xml:space="preserve">    Alexandria Real Estate Equitie</v>
      </c>
      <c r="B64" t="str">
        <f>IFERROR(IF(0=LEN(ReferenceData!$B$64),"",ReferenceData!$B$64),"")</f>
        <v>ARE US Equity</v>
      </c>
      <c r="C64" t="str">
        <f>IFERROR(IF(0=LEN(ReferenceData!$C$64),"",ReferenceData!$C$64),"")</f>
        <v>RR009</v>
      </c>
      <c r="D64" t="str">
        <f>IFERROR(IF(0=LEN(ReferenceData!$D$64),"",ReferenceData!$D$64),"")</f>
        <v>EBITDA</v>
      </c>
      <c r="E64" t="str">
        <f>IFERROR(IF(0=LEN(ReferenceData!$E$64),"",ReferenceData!$E$64),"")</f>
        <v>动态</v>
      </c>
      <c r="F64" t="str">
        <f ca="1">IFERROR(IF(0=LEN(ReferenceData!$F$64),"",ReferenceData!$F$64),"")</f>
        <v/>
      </c>
      <c r="G64">
        <f ca="1">IFERROR(IF(0=LEN(ReferenceData!$G$64),"",ReferenceData!$G$64),"")</f>
        <v>191.80799999999999</v>
      </c>
      <c r="H64">
        <f ca="1">IFERROR(IF(0=LEN(ReferenceData!$H$64),"",ReferenceData!$H$64),"")</f>
        <v>184.26499999999999</v>
      </c>
      <c r="I64">
        <f ca="1">IFERROR(IF(0=LEN(ReferenceData!$I$64),"",ReferenceData!$I$64),"")</f>
        <v>176.642</v>
      </c>
      <c r="J64">
        <f ca="1">IFERROR(IF(0=LEN(ReferenceData!$J$64),"",ReferenceData!$J$64),"")</f>
        <v>174.56100000000001</v>
      </c>
      <c r="K64">
        <f ca="1">IFERROR(IF(0=LEN(ReferenceData!$K$64),"",ReferenceData!$K$64),"")</f>
        <v>142.43600000000001</v>
      </c>
      <c r="L64">
        <f ca="1">IFERROR(IF(0=LEN(ReferenceData!$L$64),"",ReferenceData!$L$64),"")</f>
        <v>134.40899999999999</v>
      </c>
      <c r="M64">
        <f ca="1">IFERROR(IF(0=LEN(ReferenceData!$M$64),"",ReferenceData!$M$64),"")</f>
        <v>-12.776</v>
      </c>
      <c r="N64">
        <f ca="1">IFERROR(IF(0=LEN(ReferenceData!$N$64),"",ReferenceData!$N$64),"")</f>
        <v>106.084</v>
      </c>
      <c r="O64">
        <f ca="1">IFERROR(IF(0=LEN(ReferenceData!$O$64),"",ReferenceData!$O$64),"")</f>
        <v>131.19999999999999</v>
      </c>
      <c r="P64">
        <f ca="1">IFERROR(IF(0=LEN(ReferenceData!$P$64),"",ReferenceData!$P$64),"")</f>
        <v>134.62100000000001</v>
      </c>
      <c r="Q64">
        <f ca="1">IFERROR(IF(0=LEN(ReferenceData!$Q$64),"",ReferenceData!$Q$64),"")</f>
        <v>126.917</v>
      </c>
      <c r="R64">
        <f ca="1">IFERROR(IF(0=LEN(ReferenceData!$R$64),"",ReferenceData!$R$64),"")</f>
        <v>106.633</v>
      </c>
      <c r="S64">
        <f ca="1">IFERROR(IF(0=LEN(ReferenceData!$S$64),"",ReferenceData!$S$64),"")</f>
        <v>66.257000000000005</v>
      </c>
      <c r="T64">
        <f ca="1">IFERROR(IF(0=LEN(ReferenceData!$T$64),"",ReferenceData!$T$64),"")</f>
        <v>115.583</v>
      </c>
      <c r="U64">
        <f ca="1">IFERROR(IF(0=LEN(ReferenceData!$U$64),"",ReferenceData!$U$64),"")</f>
        <v>110.21299999999999</v>
      </c>
      <c r="V64">
        <f ca="1">IFERROR(IF(0=LEN(ReferenceData!$V$64),"",ReferenceData!$V$64),"")</f>
        <v>110.455</v>
      </c>
      <c r="W64">
        <f ca="1">IFERROR(IF(0=LEN(ReferenceData!$W$64),"",ReferenceData!$W$64),"")</f>
        <v>106.197</v>
      </c>
      <c r="X64">
        <f ca="1">IFERROR(IF(0=LEN(ReferenceData!$X$64),"",ReferenceData!$X$64),"")</f>
        <v>99.200999999999993</v>
      </c>
      <c r="Y64">
        <f ca="1">IFERROR(IF(0=LEN(ReferenceData!$Y$64),"",ReferenceData!$Y$64),"")</f>
        <v>95.433999999999997</v>
      </c>
      <c r="Z64">
        <f ca="1">IFERROR(IF(0=LEN(ReferenceData!$Z$64),"",ReferenceData!$Z$64),"")</f>
        <v>94.415000000000006</v>
      </c>
      <c r="AA64">
        <f ca="1">IFERROR(IF(0=LEN(ReferenceData!$AA$64),"",ReferenceData!$AA$64),"")</f>
        <v>91.230999999999995</v>
      </c>
      <c r="AB64">
        <f ca="1">IFERROR(IF(0=LEN(ReferenceData!$AB$64),"",ReferenceData!$AB$64),"")</f>
        <v>87.766000000000005</v>
      </c>
      <c r="AC64">
        <f ca="1">IFERROR(IF(0=LEN(ReferenceData!$AC$64),"",ReferenceData!$AC$64),"")</f>
        <v>92.807000000000002</v>
      </c>
      <c r="AD64">
        <f ca="1">IFERROR(IF(0=LEN(ReferenceData!$AD$64),"",ReferenceData!$AD$64),"")</f>
        <v>86.52</v>
      </c>
      <c r="AE64">
        <f ca="1">IFERROR(IF(0=LEN(ReferenceData!$AE$64),"",ReferenceData!$AE$64),"")</f>
        <v>88.299000000000007</v>
      </c>
      <c r="AF64">
        <f ca="1">IFERROR(IF(0=LEN(ReferenceData!$AF$64),"",ReferenceData!$AF$64),"")</f>
        <v>88.149000000000001</v>
      </c>
      <c r="AG64">
        <f ca="1">IFERROR(IF(0=LEN(ReferenceData!$AG$64),"",ReferenceData!$AG$64),"")</f>
        <v>92.152000000000001</v>
      </c>
      <c r="AH64">
        <f ca="1">IFERROR(IF(0=LEN(ReferenceData!$AH$64),"",ReferenceData!$AH$64),"")</f>
        <v>89.486999999999995</v>
      </c>
      <c r="AI64">
        <f ca="1">IFERROR(IF(0=LEN(ReferenceData!$AI$64),"",ReferenceData!$AI$64),"")</f>
        <v>86.631</v>
      </c>
      <c r="AJ64">
        <f ca="1">IFERROR(IF(0=LEN(ReferenceData!$AJ$64),"",ReferenceData!$AJ$64),"")</f>
        <v>79.369</v>
      </c>
      <c r="AK64">
        <f ca="1">IFERROR(IF(0=LEN(ReferenceData!$AK$64),"",ReferenceData!$AK$64),"")</f>
        <v>78.451999999999998</v>
      </c>
      <c r="AL64">
        <f ca="1">IFERROR(IF(0=LEN(ReferenceData!$AL$64),"",ReferenceData!$AL$64),"")</f>
        <v>75.492000000000004</v>
      </c>
      <c r="AM64">
        <f ca="1">IFERROR(IF(0=LEN(ReferenceData!$AM$64),"",ReferenceData!$AM$64),"")</f>
        <v>77.188000000000002</v>
      </c>
      <c r="AN64">
        <f ca="1">IFERROR(IF(0=LEN(ReferenceData!$AN$64),"",ReferenceData!$AN$64),"")</f>
        <v>75.221000000000004</v>
      </c>
      <c r="AO64">
        <f ca="1">IFERROR(IF(0=LEN(ReferenceData!$AO$64),"",ReferenceData!$AO$64),"")</f>
        <v>83.233000000000004</v>
      </c>
      <c r="AP64">
        <f ca="1">IFERROR(IF(0=LEN(ReferenceData!$AP$64),"",ReferenceData!$AP$64),"")</f>
        <v>89.911000000000001</v>
      </c>
      <c r="AQ64">
        <f ca="1">IFERROR(IF(0=LEN(ReferenceData!$AQ$64),"",ReferenceData!$AQ$64),"")</f>
        <v>87.671999999999997</v>
      </c>
      <c r="AR64">
        <f ca="1">IFERROR(IF(0=LEN(ReferenceData!$AR$64),"",ReferenceData!$AR$64),"")</f>
        <v>73.596000000000004</v>
      </c>
      <c r="AS64">
        <f ca="1">IFERROR(IF(0=LEN(ReferenceData!$AS$64),"",ReferenceData!$AS$64),"")</f>
        <v>75.268000000000001</v>
      </c>
      <c r="AT64">
        <f ca="1">IFERROR(IF(0=LEN(ReferenceData!$AT$64),"",ReferenceData!$AT$64),"")</f>
        <v>72.733000000000004</v>
      </c>
      <c r="AU64">
        <f ca="1">IFERROR(IF(0=LEN(ReferenceData!$AU$64),"",ReferenceData!$AU$64),"")</f>
        <v>73.040999999999997</v>
      </c>
      <c r="AV64">
        <f ca="1">IFERROR(IF(0=LEN(ReferenceData!$AV$64),"",ReferenceData!$AV$64),"")</f>
        <v>69.320999999999998</v>
      </c>
      <c r="AW64">
        <f ca="1">IFERROR(IF(0=LEN(ReferenceData!$AW$64),"",ReferenceData!$AW$64),"")</f>
        <v>64.311999999999998</v>
      </c>
      <c r="AX64">
        <f ca="1">IFERROR(IF(0=LEN(ReferenceData!$AX$64),"",ReferenceData!$AX$64),"")</f>
        <v>64.033000000000001</v>
      </c>
      <c r="AY64">
        <f ca="1">IFERROR(IF(0=LEN(ReferenceData!$AY$64),"",ReferenceData!$AY$64),"")</f>
        <v>63.948</v>
      </c>
      <c r="AZ64">
        <f ca="1">IFERROR(IF(0=LEN(ReferenceData!$AZ$64),"",ReferenceData!$AZ$64),"")</f>
        <v>58.47</v>
      </c>
      <c r="BA64">
        <f ca="1">IFERROR(IF(0=LEN(ReferenceData!$BA$64),"",ReferenceData!$BA$64),"")</f>
        <v>49.767000000000003</v>
      </c>
      <c r="BB64">
        <f ca="1">IFERROR(IF(0=LEN(ReferenceData!$BB$64),"",ReferenceData!$BB$64),"")</f>
        <v>46.737000000000002</v>
      </c>
      <c r="BC64">
        <f ca="1">IFERROR(IF(0=LEN(ReferenceData!$BC$64),"",ReferenceData!$BC$64),"")</f>
        <v>44.42</v>
      </c>
      <c r="BD64">
        <f ca="1">IFERROR(IF(0=LEN(ReferenceData!$BD$64),"",ReferenceData!$BD$64),"")</f>
        <v>42.411999999999999</v>
      </c>
      <c r="BE64">
        <f ca="1">IFERROR(IF(0=LEN(ReferenceData!$BE$64),"",ReferenceData!$BE$64),"")</f>
        <v>40.19</v>
      </c>
      <c r="BF64">
        <f ca="1">IFERROR(IF(0=LEN(ReferenceData!$BF$64),"",ReferenceData!$BF$64),"")</f>
        <v>38.344000000000001</v>
      </c>
      <c r="BG64">
        <f ca="1">IFERROR(IF(0=LEN(ReferenceData!$BG$64),"",ReferenceData!$BG$64),"")</f>
        <v>35.631999999999998</v>
      </c>
      <c r="BH64">
        <f ca="1">IFERROR(IF(0=LEN(ReferenceData!$BH$64),"",ReferenceData!$BH$64),"")</f>
        <v>32.628</v>
      </c>
      <c r="BI64">
        <f ca="1">IFERROR(IF(0=LEN(ReferenceData!$BI$64),"",ReferenceData!$BI$64),"")</f>
        <v>30.901</v>
      </c>
      <c r="BJ64">
        <f ca="1">IFERROR(IF(0=LEN(ReferenceData!$BJ$64),"",ReferenceData!$BJ$64),"")</f>
        <v>30.404</v>
      </c>
      <c r="BK64">
        <f ca="1">IFERROR(IF(0=LEN(ReferenceData!$BK$64),"",ReferenceData!$BK$64),"")</f>
        <v>39.764000000000003</v>
      </c>
      <c r="BL64">
        <f ca="1">IFERROR(IF(0=LEN(ReferenceData!$BL$64),"",ReferenceData!$BL$64),"")</f>
        <v>47.643000000000001</v>
      </c>
      <c r="BM64">
        <f ca="1">IFERROR(IF(0=LEN(ReferenceData!$BM$64),"",ReferenceData!$BM$64),"")</f>
        <v>27.858000000000001</v>
      </c>
    </row>
    <row r="65" spans="1:65">
      <c r="A65" t="str">
        <f>IFERROR(IF(0=LEN(ReferenceData!$A$65),"",ReferenceData!$A$65),"")</f>
        <v xml:space="preserve">    Care Capital Properties Inc</v>
      </c>
      <c r="B65" t="str">
        <f>IFERROR(IF(0=LEN(ReferenceData!$B$65),"",ReferenceData!$B$65),"")</f>
        <v>CCP US Equity</v>
      </c>
      <c r="C65" t="str">
        <f>IFERROR(IF(0=LEN(ReferenceData!$C$65),"",ReferenceData!$C$65),"")</f>
        <v>RR009</v>
      </c>
      <c r="D65" t="str">
        <f>IFERROR(IF(0=LEN(ReferenceData!$D$65),"",ReferenceData!$D$65),"")</f>
        <v>EBITDA</v>
      </c>
      <c r="E65" t="str">
        <f>IFERROR(IF(0=LEN(ReferenceData!$E$65),"",ReferenceData!$E$65),"")</f>
        <v>动态</v>
      </c>
      <c r="F65" t="str">
        <f ca="1">IFERROR(IF(0=LEN(ReferenceData!$F$65),"",ReferenceData!$F$65),"")</f>
        <v/>
      </c>
      <c r="G65" t="str">
        <f ca="1">IFERROR(IF(0=LEN(ReferenceData!$G$65),"",ReferenceData!$G$65),"")</f>
        <v/>
      </c>
      <c r="H65" t="str">
        <f ca="1">IFERROR(IF(0=LEN(ReferenceData!$H$65),"",ReferenceData!$H$65),"")</f>
        <v/>
      </c>
      <c r="I65">
        <f ca="1">IFERROR(IF(0=LEN(ReferenceData!$I$65),"",ReferenceData!$I$65),"")</f>
        <v>94.688000000000002</v>
      </c>
      <c r="J65">
        <f ca="1">IFERROR(IF(0=LEN(ReferenceData!$J$65),"",ReferenceData!$J$65),"")</f>
        <v>71.245999999999995</v>
      </c>
      <c r="K65">
        <f ca="1">IFERROR(IF(0=LEN(ReferenceData!$K$65),"",ReferenceData!$K$65),"")</f>
        <v>78.936000000000007</v>
      </c>
      <c r="L65">
        <f ca="1">IFERROR(IF(0=LEN(ReferenceData!$L$65),"",ReferenceData!$L$65),"")</f>
        <v>71.683000000000007</v>
      </c>
      <c r="M65">
        <f ca="1">IFERROR(IF(0=LEN(ReferenceData!$M$65),"",ReferenceData!$M$65),"")</f>
        <v>73.849999999999994</v>
      </c>
      <c r="N65">
        <f ca="1">IFERROR(IF(0=LEN(ReferenceData!$N$65),"",ReferenceData!$N$65),"")</f>
        <v>73.256</v>
      </c>
      <c r="O65">
        <f ca="1">IFERROR(IF(0=LEN(ReferenceData!$O$65),"",ReferenceData!$O$65),"")</f>
        <v>75.680000000000007</v>
      </c>
      <c r="P65">
        <f ca="1">IFERROR(IF(0=LEN(ReferenceData!$P$65),"",ReferenceData!$P$65),"")</f>
        <v>69.787999999999997</v>
      </c>
      <c r="Q65" t="str">
        <f ca="1">IFERROR(IF(0=LEN(ReferenceData!$Q$65),"",ReferenceData!$Q$65),"")</f>
        <v/>
      </c>
      <c r="R65" t="str">
        <f ca="1">IFERROR(IF(0=LEN(ReferenceData!$R$65),"",ReferenceData!$R$65),"")</f>
        <v/>
      </c>
      <c r="S65" t="str">
        <f ca="1">IFERROR(IF(0=LEN(ReferenceData!$S$65),"",ReferenceData!$S$65),"")</f>
        <v/>
      </c>
      <c r="T65" t="str">
        <f ca="1">IFERROR(IF(0=LEN(ReferenceData!$T$65),"",ReferenceData!$T$65),"")</f>
        <v/>
      </c>
      <c r="U65" t="str">
        <f ca="1">IFERROR(IF(0=LEN(ReferenceData!$U$65),"",ReferenceData!$U$65),"")</f>
        <v/>
      </c>
      <c r="V65" t="str">
        <f ca="1">IFERROR(IF(0=LEN(ReferenceData!$V$65),"",ReferenceData!$V$65),"")</f>
        <v/>
      </c>
      <c r="W65" t="str">
        <f ca="1">IFERROR(IF(0=LEN(ReferenceData!$W$65),"",ReferenceData!$W$65),"")</f>
        <v/>
      </c>
      <c r="X65" t="str">
        <f ca="1">IFERROR(IF(0=LEN(ReferenceData!$X$65),"",ReferenceData!$X$65),"")</f>
        <v/>
      </c>
      <c r="Y65" t="str">
        <f ca="1">IFERROR(IF(0=LEN(ReferenceData!$Y$65),"",ReferenceData!$Y$65),"")</f>
        <v/>
      </c>
      <c r="Z65" t="str">
        <f ca="1">IFERROR(IF(0=LEN(ReferenceData!$Z$65),"",ReferenceData!$Z$65),"")</f>
        <v/>
      </c>
      <c r="AA65" t="str">
        <f ca="1">IFERROR(IF(0=LEN(ReferenceData!$AA$65),"",ReferenceData!$AA$65),"")</f>
        <v/>
      </c>
      <c r="AB65" t="str">
        <f ca="1">IFERROR(IF(0=LEN(ReferenceData!$AB$65),"",ReferenceData!$AB$65),"")</f>
        <v/>
      </c>
      <c r="AC65" t="str">
        <f ca="1">IFERROR(IF(0=LEN(ReferenceData!$AC$65),"",ReferenceData!$AC$65),"")</f>
        <v/>
      </c>
      <c r="AD65" t="str">
        <f ca="1">IFERROR(IF(0=LEN(ReferenceData!$AD$65),"",ReferenceData!$AD$65),"")</f>
        <v/>
      </c>
      <c r="AE65" t="str">
        <f ca="1">IFERROR(IF(0=LEN(ReferenceData!$AE$65),"",ReferenceData!$AE$65),"")</f>
        <v/>
      </c>
      <c r="AF65" t="str">
        <f ca="1">IFERROR(IF(0=LEN(ReferenceData!$AF$65),"",ReferenceData!$AF$65),"")</f>
        <v/>
      </c>
      <c r="AG65" t="str">
        <f ca="1">IFERROR(IF(0=LEN(ReferenceData!$AG$65),"",ReferenceData!$AG$65),"")</f>
        <v/>
      </c>
      <c r="AH65" t="str">
        <f ca="1">IFERROR(IF(0=LEN(ReferenceData!$AH$65),"",ReferenceData!$AH$65),"")</f>
        <v/>
      </c>
      <c r="AI65" t="str">
        <f ca="1">IFERROR(IF(0=LEN(ReferenceData!$AI$65),"",ReferenceData!$AI$65),"")</f>
        <v/>
      </c>
      <c r="AJ65" t="str">
        <f ca="1">IFERROR(IF(0=LEN(ReferenceData!$AJ$65),"",ReferenceData!$AJ$65),"")</f>
        <v/>
      </c>
      <c r="AK65" t="str">
        <f ca="1">IFERROR(IF(0=LEN(ReferenceData!$AK$65),"",ReferenceData!$AK$65),"")</f>
        <v/>
      </c>
      <c r="AL65" t="str">
        <f ca="1">IFERROR(IF(0=LEN(ReferenceData!$AL$65),"",ReferenceData!$AL$65),"")</f>
        <v/>
      </c>
      <c r="AM65" t="str">
        <f ca="1">IFERROR(IF(0=LEN(ReferenceData!$AM$65),"",ReferenceData!$AM$65),"")</f>
        <v/>
      </c>
      <c r="AN65" t="str">
        <f ca="1">IFERROR(IF(0=LEN(ReferenceData!$AN$65),"",ReferenceData!$AN$65),"")</f>
        <v/>
      </c>
      <c r="AO65" t="str">
        <f ca="1">IFERROR(IF(0=LEN(ReferenceData!$AO$65),"",ReferenceData!$AO$65),"")</f>
        <v/>
      </c>
      <c r="AP65" t="str">
        <f ca="1">IFERROR(IF(0=LEN(ReferenceData!$AP$65),"",ReferenceData!$AP$65),"")</f>
        <v/>
      </c>
      <c r="AQ65" t="str">
        <f ca="1">IFERROR(IF(0=LEN(ReferenceData!$AQ$65),"",ReferenceData!$AQ$65),"")</f>
        <v/>
      </c>
      <c r="AR65" t="str">
        <f ca="1">IFERROR(IF(0=LEN(ReferenceData!$AR$65),"",ReferenceData!$AR$65),"")</f>
        <v/>
      </c>
      <c r="AS65" t="str">
        <f ca="1">IFERROR(IF(0=LEN(ReferenceData!$AS$65),"",ReferenceData!$AS$65),"")</f>
        <v/>
      </c>
      <c r="AT65" t="str">
        <f ca="1">IFERROR(IF(0=LEN(ReferenceData!$AT$65),"",ReferenceData!$AT$65),"")</f>
        <v/>
      </c>
      <c r="AU65" t="str">
        <f ca="1">IFERROR(IF(0=LEN(ReferenceData!$AU$65),"",ReferenceData!$AU$65),"")</f>
        <v/>
      </c>
      <c r="AV65" t="str">
        <f ca="1">IFERROR(IF(0=LEN(ReferenceData!$AV$65),"",ReferenceData!$AV$65),"")</f>
        <v/>
      </c>
      <c r="AW65" t="str">
        <f ca="1">IFERROR(IF(0=LEN(ReferenceData!$AW$65),"",ReferenceData!$AW$65),"")</f>
        <v/>
      </c>
      <c r="AX65" t="str">
        <f ca="1">IFERROR(IF(0=LEN(ReferenceData!$AX$65),"",ReferenceData!$AX$65),"")</f>
        <v/>
      </c>
      <c r="AY65" t="str">
        <f ca="1">IFERROR(IF(0=LEN(ReferenceData!$AY$65),"",ReferenceData!$AY$65),"")</f>
        <v/>
      </c>
      <c r="AZ65" t="str">
        <f ca="1">IFERROR(IF(0=LEN(ReferenceData!$AZ$65),"",ReferenceData!$AZ$65),"")</f>
        <v/>
      </c>
      <c r="BA65" t="str">
        <f ca="1">IFERROR(IF(0=LEN(ReferenceData!$BA$65),"",ReferenceData!$BA$65),"")</f>
        <v/>
      </c>
      <c r="BB65" t="str">
        <f ca="1">IFERROR(IF(0=LEN(ReferenceData!$BB$65),"",ReferenceData!$BB$65),"")</f>
        <v/>
      </c>
      <c r="BC65" t="str">
        <f ca="1">IFERROR(IF(0=LEN(ReferenceData!$BC$65),"",ReferenceData!$BC$65),"")</f>
        <v/>
      </c>
      <c r="BD65" t="str">
        <f ca="1">IFERROR(IF(0=LEN(ReferenceData!$BD$65),"",ReferenceData!$BD$65),"")</f>
        <v/>
      </c>
      <c r="BE65" t="str">
        <f ca="1">IFERROR(IF(0=LEN(ReferenceData!$BE$65),"",ReferenceData!$BE$65),"")</f>
        <v/>
      </c>
      <c r="BF65" t="str">
        <f ca="1">IFERROR(IF(0=LEN(ReferenceData!$BF$65),"",ReferenceData!$BF$65),"")</f>
        <v/>
      </c>
      <c r="BG65" t="str">
        <f ca="1">IFERROR(IF(0=LEN(ReferenceData!$BG$65),"",ReferenceData!$BG$65),"")</f>
        <v/>
      </c>
      <c r="BH65" t="str">
        <f ca="1">IFERROR(IF(0=LEN(ReferenceData!$BH$65),"",ReferenceData!$BH$65),"")</f>
        <v/>
      </c>
      <c r="BI65" t="str">
        <f ca="1">IFERROR(IF(0=LEN(ReferenceData!$BI$65),"",ReferenceData!$BI$65),"")</f>
        <v/>
      </c>
      <c r="BJ65" t="str">
        <f ca="1">IFERROR(IF(0=LEN(ReferenceData!$BJ$65),"",ReferenceData!$BJ$65),"")</f>
        <v/>
      </c>
      <c r="BK65" t="str">
        <f ca="1">IFERROR(IF(0=LEN(ReferenceData!$BK$65),"",ReferenceData!$BK$65),"")</f>
        <v/>
      </c>
      <c r="BL65" t="str">
        <f ca="1">IFERROR(IF(0=LEN(ReferenceData!$BL$65),"",ReferenceData!$BL$65),"")</f>
        <v/>
      </c>
      <c r="BM65" t="str">
        <f ca="1">IFERROR(IF(0=LEN(ReferenceData!$BM$65),"",ReferenceData!$BM$65),"")</f>
        <v/>
      </c>
    </row>
    <row r="66" spans="1:65">
      <c r="A66" t="str">
        <f>IFERROR(IF(0=LEN(ReferenceData!$A$66),"",ReferenceData!$A$66),"")</f>
        <v xml:space="preserve">    HCP Inc</v>
      </c>
      <c r="B66" t="str">
        <f>IFERROR(IF(0=LEN(ReferenceData!$B$66),"",ReferenceData!$B$66),"")</f>
        <v>HCP US Equity</v>
      </c>
      <c r="C66" t="str">
        <f>IFERROR(IF(0=LEN(ReferenceData!$C$66),"",ReferenceData!$C$66),"")</f>
        <v>RR009</v>
      </c>
      <c r="D66" t="str">
        <f>IFERROR(IF(0=LEN(ReferenceData!$D$66),"",ReferenceData!$D$66),"")</f>
        <v>EBITDA</v>
      </c>
      <c r="E66" t="str">
        <f>IFERROR(IF(0=LEN(ReferenceData!$E$66),"",ReferenceData!$E$66),"")</f>
        <v>动态</v>
      </c>
      <c r="F66" t="str">
        <f ca="1">IFERROR(IF(0=LEN(ReferenceData!$F$66),"",ReferenceData!$F$66),"")</f>
        <v/>
      </c>
      <c r="G66">
        <f ca="1">IFERROR(IF(0=LEN(ReferenceData!$G$66),"",ReferenceData!$G$66),"")</f>
        <v>136.66499999999999</v>
      </c>
      <c r="H66">
        <f ca="1">IFERROR(IF(0=LEN(ReferenceData!$H$66),"",ReferenceData!$H$66),"")</f>
        <v>253.02699999999999</v>
      </c>
      <c r="I66">
        <f ca="1">IFERROR(IF(0=LEN(ReferenceData!$I$66),"",ReferenceData!$I$66),"")</f>
        <v>230.25700000000001</v>
      </c>
      <c r="J66">
        <f ca="1">IFERROR(IF(0=LEN(ReferenceData!$J$66),"",ReferenceData!$J$66),"")</f>
        <v>313.31700000000001</v>
      </c>
      <c r="K66">
        <f ca="1">IFERROR(IF(0=LEN(ReferenceData!$K$66),"",ReferenceData!$K$66),"")</f>
        <v>325.40100000000001</v>
      </c>
      <c r="L66">
        <f ca="1">IFERROR(IF(0=LEN(ReferenceData!$L$66),"",ReferenceData!$L$66),"")</f>
        <v>422.54899999999998</v>
      </c>
      <c r="M66">
        <f ca="1">IFERROR(IF(0=LEN(ReferenceData!$M$66),"",ReferenceData!$M$66),"")</f>
        <v>338.81400000000002</v>
      </c>
      <c r="N66">
        <f ca="1">IFERROR(IF(0=LEN(ReferenceData!$N$66),"",ReferenceData!$N$66),"")</f>
        <v>440.73</v>
      </c>
      <c r="O66">
        <f ca="1">IFERROR(IF(0=LEN(ReferenceData!$O$66),"",ReferenceData!$O$66),"")</f>
        <v>335.18799999999999</v>
      </c>
      <c r="P66">
        <f ca="1">IFERROR(IF(0=LEN(ReferenceData!$P$66),"",ReferenceData!$P$66),"")</f>
        <v>397.27499999999998</v>
      </c>
      <c r="Q66">
        <f ca="1">IFERROR(IF(0=LEN(ReferenceData!$Q$66),"",ReferenceData!$Q$66),"")</f>
        <v>388.404</v>
      </c>
      <c r="R66">
        <f ca="1">IFERROR(IF(0=LEN(ReferenceData!$R$66),"",ReferenceData!$R$66),"")</f>
        <v>-22.08</v>
      </c>
      <c r="S66">
        <f ca="1">IFERROR(IF(0=LEN(ReferenceData!$S$66),"",ReferenceData!$S$66),"")</f>
        <v>454.279</v>
      </c>
      <c r="T66">
        <f ca="1">IFERROR(IF(0=LEN(ReferenceData!$T$66),"",ReferenceData!$T$66),"")</f>
        <v>477.27</v>
      </c>
      <c r="U66">
        <f ca="1">IFERROR(IF(0=LEN(ReferenceData!$U$66),"",ReferenceData!$U$66),"")</f>
        <v>434.13299999999998</v>
      </c>
      <c r="V66">
        <f ca="1">IFERROR(IF(0=LEN(ReferenceData!$V$66),"",ReferenceData!$V$66),"")</f>
        <v>437.613</v>
      </c>
      <c r="W66">
        <f ca="1">IFERROR(IF(0=LEN(ReferenceData!$W$66),"",ReferenceData!$W$66),"")</f>
        <v>475.82100000000003</v>
      </c>
      <c r="X66">
        <f ca="1">IFERROR(IF(0=LEN(ReferenceData!$X$66),"",ReferenceData!$X$66),"")</f>
        <v>423.053</v>
      </c>
      <c r="Y66">
        <f ca="1">IFERROR(IF(0=LEN(ReferenceData!$Y$66),"",ReferenceData!$Y$66),"")</f>
        <v>416.065</v>
      </c>
      <c r="Z66">
        <f ca="1">IFERROR(IF(0=LEN(ReferenceData!$Z$66),"",ReferenceData!$Z$66),"")</f>
        <v>424.73399999999998</v>
      </c>
      <c r="AA66">
        <f ca="1">IFERROR(IF(0=LEN(ReferenceData!$AA$66),"",ReferenceData!$AA$66),"")</f>
        <v>429.99400000000003</v>
      </c>
      <c r="AB66">
        <f ca="1">IFERROR(IF(0=LEN(ReferenceData!$AB$66),"",ReferenceData!$AB$66),"")</f>
        <v>370.55599999999998</v>
      </c>
      <c r="AC66">
        <f ca="1">IFERROR(IF(0=LEN(ReferenceData!$AC$66),"",ReferenceData!$AC$66),"")</f>
        <v>378.91500000000002</v>
      </c>
      <c r="AD66">
        <f ca="1">IFERROR(IF(0=LEN(ReferenceData!$AD$66),"",ReferenceData!$AD$66),"")</f>
        <v>370.70400000000001</v>
      </c>
      <c r="AE66">
        <f ca="1">IFERROR(IF(0=LEN(ReferenceData!$AE$66),"",ReferenceData!$AE$66),"")</f>
        <v>266.36099999999999</v>
      </c>
      <c r="AF66">
        <f ca="1">IFERROR(IF(0=LEN(ReferenceData!$AF$66),"",ReferenceData!$AF$66),"")</f>
        <v>349.226</v>
      </c>
      <c r="AG66">
        <f ca="1">IFERROR(IF(0=LEN(ReferenceData!$AG$66),"",ReferenceData!$AG$66),"")</f>
        <v>405.68900000000002</v>
      </c>
      <c r="AH66">
        <f ca="1">IFERROR(IF(0=LEN(ReferenceData!$AH$66),"",ReferenceData!$AH$66),"")</f>
        <v>261.66300000000001</v>
      </c>
      <c r="AI66">
        <f ca="1">IFERROR(IF(0=LEN(ReferenceData!$AI$66),"",ReferenceData!$AI$66),"")</f>
        <v>263.81299999999999</v>
      </c>
      <c r="AJ66">
        <f ca="1">IFERROR(IF(0=LEN(ReferenceData!$AJ$66),"",ReferenceData!$AJ$66),"")</f>
        <v>163.905</v>
      </c>
      <c r="AK66">
        <f ca="1">IFERROR(IF(0=LEN(ReferenceData!$AK$66),"",ReferenceData!$AK$66),"")</f>
        <v>235.381</v>
      </c>
      <c r="AL66">
        <f ca="1">IFERROR(IF(0=LEN(ReferenceData!$AL$66),"",ReferenceData!$AL$66),"")</f>
        <v>233.80500000000001</v>
      </c>
      <c r="AM66">
        <f ca="1">IFERROR(IF(0=LEN(ReferenceData!$AM$66),"",ReferenceData!$AM$66),"")</f>
        <v>176.03700000000001</v>
      </c>
      <c r="AN66">
        <f ca="1">IFERROR(IF(0=LEN(ReferenceData!$AN$66),"",ReferenceData!$AN$66),"")</f>
        <v>101.17100000000001</v>
      </c>
      <c r="AO66">
        <f ca="1">IFERROR(IF(0=LEN(ReferenceData!$AO$66),"",ReferenceData!$AO$66),"")</f>
        <v>213.18199999999999</v>
      </c>
      <c r="AP66">
        <f ca="1">IFERROR(IF(0=LEN(ReferenceData!$AP$66),"",ReferenceData!$AP$66),"")</f>
        <v>207.86600000000001</v>
      </c>
      <c r="AQ66">
        <f ca="1">IFERROR(IF(0=LEN(ReferenceData!$AQ$66),"",ReferenceData!$AQ$66),"")</f>
        <v>225.86699999999999</v>
      </c>
      <c r="AR66">
        <f ca="1">IFERROR(IF(0=LEN(ReferenceData!$AR$66),"",ReferenceData!$AR$66),"")</f>
        <v>200.09399999999999</v>
      </c>
      <c r="AS66">
        <f ca="1">IFERROR(IF(0=LEN(ReferenceData!$AS$66),"",ReferenceData!$AS$66),"")</f>
        <v>183.541</v>
      </c>
      <c r="AT66">
        <f ca="1">IFERROR(IF(0=LEN(ReferenceData!$AT$66),"",ReferenceData!$AT$66),"")</f>
        <v>178.70099999999999</v>
      </c>
      <c r="AU66">
        <f ca="1">IFERROR(IF(0=LEN(ReferenceData!$AU$66),"",ReferenceData!$AU$66),"")</f>
        <v>190.45</v>
      </c>
      <c r="AV66">
        <f ca="1">IFERROR(IF(0=LEN(ReferenceData!$AV$66),"",ReferenceData!$AV$66),"")</f>
        <v>179.43899999999999</v>
      </c>
      <c r="AW66">
        <f ca="1">IFERROR(IF(0=LEN(ReferenceData!$AW$66),"",ReferenceData!$AW$66),"")</f>
        <v>157.583</v>
      </c>
      <c r="AX66">
        <f ca="1">IFERROR(IF(0=LEN(ReferenceData!$AX$66),"",ReferenceData!$AX$66),"")</f>
        <v>157.095</v>
      </c>
      <c r="AY66">
        <f ca="1">IFERROR(IF(0=LEN(ReferenceData!$AY$66),"",ReferenceData!$AY$66),"")</f>
        <v>131.941</v>
      </c>
      <c r="AZ66">
        <f ca="1">IFERROR(IF(0=LEN(ReferenceData!$AZ$66),"",ReferenceData!$AZ$66),"")</f>
        <v>96.198999999999998</v>
      </c>
      <c r="BA66">
        <f ca="1">IFERROR(IF(0=LEN(ReferenceData!$BA$66),"",ReferenceData!$BA$66),"")</f>
        <v>93.337000000000003</v>
      </c>
      <c r="BB66">
        <f ca="1">IFERROR(IF(0=LEN(ReferenceData!$BB$66),"",ReferenceData!$BB$66),"")</f>
        <v>98.054000000000002</v>
      </c>
      <c r="BC66">
        <f ca="1">IFERROR(IF(0=LEN(ReferenceData!$BC$66),"",ReferenceData!$BC$66),"")</f>
        <v>64.823999999999998</v>
      </c>
      <c r="BD66">
        <f ca="1">IFERROR(IF(0=LEN(ReferenceData!$BD$66),"",ReferenceData!$BD$66),"")</f>
        <v>97.248999999999995</v>
      </c>
      <c r="BE66">
        <f ca="1">IFERROR(IF(0=LEN(ReferenceData!$BE$66),"",ReferenceData!$BE$66),"")</f>
        <v>93.93</v>
      </c>
      <c r="BF66">
        <f ca="1">IFERROR(IF(0=LEN(ReferenceData!$BF$66),"",ReferenceData!$BF$66),"")</f>
        <v>86.914000000000001</v>
      </c>
      <c r="BG66">
        <f ca="1">IFERROR(IF(0=LEN(ReferenceData!$BG$66),"",ReferenceData!$BG$66),"")</f>
        <v>83.212999999999994</v>
      </c>
      <c r="BH66">
        <f ca="1">IFERROR(IF(0=LEN(ReferenceData!$BH$66),"",ReferenceData!$BH$66),"")</f>
        <v>98.460999999999999</v>
      </c>
      <c r="BI66">
        <f ca="1">IFERROR(IF(0=LEN(ReferenceData!$BI$66),"",ReferenceData!$BI$66),"")</f>
        <v>91.069000000000003</v>
      </c>
      <c r="BJ66">
        <f ca="1">IFERROR(IF(0=LEN(ReferenceData!$BJ$66),"",ReferenceData!$BJ$66),"")</f>
        <v>73.738</v>
      </c>
      <c r="BK66">
        <f ca="1">IFERROR(IF(0=LEN(ReferenceData!$BK$66),"",ReferenceData!$BK$66),"")</f>
        <v>82.792000000000002</v>
      </c>
      <c r="BL66">
        <f ca="1">IFERROR(IF(0=LEN(ReferenceData!$BL$66),"",ReferenceData!$BL$66),"")</f>
        <v>86.254000000000005</v>
      </c>
      <c r="BM66">
        <f ca="1">IFERROR(IF(0=LEN(ReferenceData!$BM$66),"",ReferenceData!$BM$66),"")</f>
        <v>82.626999999999995</v>
      </c>
    </row>
    <row r="67" spans="1:65">
      <c r="A67" t="str">
        <f>IFERROR(IF(0=LEN(ReferenceData!$A$67),"",ReferenceData!$A$67),"")</f>
        <v xml:space="preserve">    Healthcare Realty Trust Inc</v>
      </c>
      <c r="B67" t="str">
        <f>IFERROR(IF(0=LEN(ReferenceData!$B$67),"",ReferenceData!$B$67),"")</f>
        <v>HR US Equity</v>
      </c>
      <c r="C67" t="str">
        <f>IFERROR(IF(0=LEN(ReferenceData!$C$67),"",ReferenceData!$C$67),"")</f>
        <v>RR009</v>
      </c>
      <c r="D67" t="str">
        <f>IFERROR(IF(0=LEN(ReferenceData!$D$67),"",ReferenceData!$D$67),"")</f>
        <v>EBITDA</v>
      </c>
      <c r="E67" t="str">
        <f>IFERROR(IF(0=LEN(ReferenceData!$E$67),"",ReferenceData!$E$67),"")</f>
        <v>动态</v>
      </c>
      <c r="F67" t="str">
        <f ca="1">IFERROR(IF(0=LEN(ReferenceData!$F$67),"",ReferenceData!$F$67),"")</f>
        <v/>
      </c>
      <c r="G67">
        <f ca="1">IFERROR(IF(0=LEN(ReferenceData!$G$67),"",ReferenceData!$G$67),"")</f>
        <v>58.585999999999999</v>
      </c>
      <c r="H67">
        <f ca="1">IFERROR(IF(0=LEN(ReferenceData!$H$67),"",ReferenceData!$H$67),"")</f>
        <v>50.497</v>
      </c>
      <c r="I67">
        <f ca="1">IFERROR(IF(0=LEN(ReferenceData!$I$67),"",ReferenceData!$I$67),"")</f>
        <v>59.039000000000001</v>
      </c>
      <c r="J67">
        <f ca="1">IFERROR(IF(0=LEN(ReferenceData!$J$67),"",ReferenceData!$J$67),"")</f>
        <v>58.417000000000002</v>
      </c>
      <c r="K67">
        <f ca="1">IFERROR(IF(0=LEN(ReferenceData!$K$67),"",ReferenceData!$K$67),"")</f>
        <v>60.204000000000001</v>
      </c>
      <c r="L67">
        <f ca="1">IFERROR(IF(0=LEN(ReferenceData!$L$67),"",ReferenceData!$L$67),"")</f>
        <v>58.357999999999997</v>
      </c>
      <c r="M67">
        <f ca="1">IFERROR(IF(0=LEN(ReferenceData!$M$67),"",ReferenceData!$M$67),"")</f>
        <v>58.947000000000003</v>
      </c>
      <c r="N67">
        <f ca="1">IFERROR(IF(0=LEN(ReferenceData!$N$67),"",ReferenceData!$N$67),"")</f>
        <v>55.225999999999999</v>
      </c>
      <c r="O67">
        <f ca="1">IFERROR(IF(0=LEN(ReferenceData!$O$67),"",ReferenceData!$O$67),"")</f>
        <v>55.386000000000003</v>
      </c>
      <c r="P67">
        <f ca="1">IFERROR(IF(0=LEN(ReferenceData!$P$67),"",ReferenceData!$P$67),"")</f>
        <v>55.723999999999997</v>
      </c>
      <c r="Q67">
        <f ca="1">IFERROR(IF(0=LEN(ReferenceData!$Q$67),"",ReferenceData!$Q$67),"")</f>
        <v>51.137</v>
      </c>
      <c r="R67">
        <f ca="1">IFERROR(IF(0=LEN(ReferenceData!$R$67),"",ReferenceData!$R$67),"")</f>
        <v>53.494</v>
      </c>
      <c r="S67">
        <f ca="1">IFERROR(IF(0=LEN(ReferenceData!$S$67),"",ReferenceData!$S$67),"")</f>
        <v>56.905000000000001</v>
      </c>
      <c r="T67">
        <f ca="1">IFERROR(IF(0=LEN(ReferenceData!$T$67),"",ReferenceData!$T$67),"")</f>
        <v>55.694000000000003</v>
      </c>
      <c r="U67">
        <f ca="1">IFERROR(IF(0=LEN(ReferenceData!$U$67),"",ReferenceData!$U$67),"")</f>
        <v>53.862000000000002</v>
      </c>
      <c r="V67">
        <f ca="1">IFERROR(IF(0=LEN(ReferenceData!$V$67),"",ReferenceData!$V$67),"")</f>
        <v>53.344000000000001</v>
      </c>
      <c r="W67">
        <f ca="1">IFERROR(IF(0=LEN(ReferenceData!$W$67),"",ReferenceData!$W$67),"")</f>
        <v>53.265999999999998</v>
      </c>
      <c r="X67">
        <f ca="1">IFERROR(IF(0=LEN(ReferenceData!$X$67),"",ReferenceData!$X$67),"")</f>
        <v>47.523000000000003</v>
      </c>
      <c r="Y67">
        <f ca="1">IFERROR(IF(0=LEN(ReferenceData!$Y$67),"",ReferenceData!$Y$67),"")</f>
        <v>47.579000000000001</v>
      </c>
      <c r="Z67">
        <f ca="1">IFERROR(IF(0=LEN(ReferenceData!$Z$67),"",ReferenceData!$Z$67),"")</f>
        <v>46.314999999999998</v>
      </c>
      <c r="AA67">
        <f ca="1">IFERROR(IF(0=LEN(ReferenceData!$AA$67),"",ReferenceData!$AA$67),"")</f>
        <v>19.414000000000001</v>
      </c>
      <c r="AB67">
        <f ca="1">IFERROR(IF(0=LEN(ReferenceData!$AB$67),"",ReferenceData!$AB$67),"")</f>
        <v>44.48</v>
      </c>
      <c r="AC67">
        <f ca="1">IFERROR(IF(0=LEN(ReferenceData!$AC$67),"",ReferenceData!$AC$67),"")</f>
        <v>45.555</v>
      </c>
      <c r="AD67">
        <f ca="1">IFERROR(IF(0=LEN(ReferenceData!$AD$67),"",ReferenceData!$AD$67),"")</f>
        <v>44.390999999999998</v>
      </c>
      <c r="AE67">
        <f ca="1">IFERROR(IF(0=LEN(ReferenceData!$AE$67),"",ReferenceData!$AE$67),"")</f>
        <v>45.033000000000001</v>
      </c>
      <c r="AF67">
        <f ca="1">IFERROR(IF(0=LEN(ReferenceData!$AF$67),"",ReferenceData!$AF$67),"")</f>
        <v>40.686999999999998</v>
      </c>
      <c r="AG67">
        <f ca="1">IFERROR(IF(0=LEN(ReferenceData!$AG$67),"",ReferenceData!$AG$67),"")</f>
        <v>40.503</v>
      </c>
      <c r="AH67">
        <f ca="1">IFERROR(IF(0=LEN(ReferenceData!$AH$67),"",ReferenceData!$AH$67),"")</f>
        <v>39.649000000000001</v>
      </c>
      <c r="AI67">
        <f ca="1">IFERROR(IF(0=LEN(ReferenceData!$AI$67),"",ReferenceData!$AI$67),"")</f>
        <v>37.319000000000003</v>
      </c>
      <c r="AJ67">
        <f ca="1">IFERROR(IF(0=LEN(ReferenceData!$AJ$67),"",ReferenceData!$AJ$67),"")</f>
        <v>33.512999999999998</v>
      </c>
      <c r="AK67">
        <f ca="1">IFERROR(IF(0=LEN(ReferenceData!$AK$67),"",ReferenceData!$AK$67),"")</f>
        <v>37.728999999999999</v>
      </c>
      <c r="AL67">
        <f ca="1">IFERROR(IF(0=LEN(ReferenceData!$AL$67),"",ReferenceData!$AL$67),"")</f>
        <v>35.613</v>
      </c>
      <c r="AM67">
        <f ca="1">IFERROR(IF(0=LEN(ReferenceData!$AM$67),"",ReferenceData!$AM$67),"")</f>
        <v>34.363</v>
      </c>
      <c r="AN67">
        <f ca="1">IFERROR(IF(0=LEN(ReferenceData!$AN$67),"",ReferenceData!$AN$67),"")</f>
        <v>34.753999999999998</v>
      </c>
      <c r="AO67">
        <f ca="1">IFERROR(IF(0=LEN(ReferenceData!$AO$67),"",ReferenceData!$AO$67),"")</f>
        <v>35.97</v>
      </c>
      <c r="AP67">
        <f ca="1">IFERROR(IF(0=LEN(ReferenceData!$AP$67),"",ReferenceData!$AP$67),"")</f>
        <v>32.371000000000002</v>
      </c>
      <c r="AQ67">
        <f ca="1">IFERROR(IF(0=LEN(ReferenceData!$AQ$67),"",ReferenceData!$AQ$67),"")</f>
        <v>25.122</v>
      </c>
      <c r="AR67">
        <f ca="1">IFERROR(IF(0=LEN(ReferenceData!$AR$67),"",ReferenceData!$AR$67),"")</f>
        <v>27.689</v>
      </c>
      <c r="AS67">
        <f ca="1">IFERROR(IF(0=LEN(ReferenceData!$AS$67),"",ReferenceData!$AS$67),"")</f>
        <v>28.513999999999999</v>
      </c>
      <c r="AT67">
        <f ca="1">IFERROR(IF(0=LEN(ReferenceData!$AT$67),"",ReferenceData!$AT$67),"")</f>
        <v>28.806000000000001</v>
      </c>
      <c r="AU67">
        <f ca="1">IFERROR(IF(0=LEN(ReferenceData!$AU$67),"",ReferenceData!$AU$67),"")</f>
        <v>23.992000000000001</v>
      </c>
      <c r="AV67">
        <f ca="1">IFERROR(IF(0=LEN(ReferenceData!$AV$67),"",ReferenceData!$AV$67),"")</f>
        <v>28.414000000000001</v>
      </c>
      <c r="AW67">
        <f ca="1">IFERROR(IF(0=LEN(ReferenceData!$AW$67),"",ReferenceData!$AW$67),"")</f>
        <v>28.773</v>
      </c>
      <c r="AX67">
        <f ca="1">IFERROR(IF(0=LEN(ReferenceData!$AX$67),"",ReferenceData!$AX$67),"")</f>
        <v>30.821999999999999</v>
      </c>
      <c r="AY67">
        <f ca="1">IFERROR(IF(0=LEN(ReferenceData!$AY$67),"",ReferenceData!$AY$67),"")</f>
        <v>33.555999999999997</v>
      </c>
      <c r="AZ67">
        <f ca="1">IFERROR(IF(0=LEN(ReferenceData!$AZ$67),"",ReferenceData!$AZ$67),"")</f>
        <v>36.103000000000002</v>
      </c>
      <c r="BA67">
        <f ca="1">IFERROR(IF(0=LEN(ReferenceData!$BA$67),"",ReferenceData!$BA$67),"")</f>
        <v>34.215000000000003</v>
      </c>
      <c r="BB67">
        <f ca="1">IFERROR(IF(0=LEN(ReferenceData!$BB$67),"",ReferenceData!$BB$67),"")</f>
        <v>33.079000000000001</v>
      </c>
      <c r="BC67">
        <f ca="1">IFERROR(IF(0=LEN(ReferenceData!$BC$67),"",ReferenceData!$BC$67),"")</f>
        <v>35.173999999999999</v>
      </c>
      <c r="BD67">
        <f ca="1">IFERROR(IF(0=LEN(ReferenceData!$BD$67),"",ReferenceData!$BD$67),"")</f>
        <v>39.177</v>
      </c>
      <c r="BE67">
        <f ca="1">IFERROR(IF(0=LEN(ReferenceData!$BE$67),"",ReferenceData!$BE$67),"")</f>
        <v>35.543999999999997</v>
      </c>
      <c r="BF67">
        <f ca="1">IFERROR(IF(0=LEN(ReferenceData!$BF$67),"",ReferenceData!$BF$67),"")</f>
        <v>37.92</v>
      </c>
      <c r="BG67">
        <f ca="1">IFERROR(IF(0=LEN(ReferenceData!$BG$67),"",ReferenceData!$BG$67),"")</f>
        <v>30.056999999999999</v>
      </c>
      <c r="BH67">
        <f ca="1">IFERROR(IF(0=LEN(ReferenceData!$BH$67),"",ReferenceData!$BH$67),"")</f>
        <v>39.718000000000004</v>
      </c>
      <c r="BI67">
        <f ca="1">IFERROR(IF(0=LEN(ReferenceData!$BI$67),"",ReferenceData!$BI$67),"")</f>
        <v>37.531999999999996</v>
      </c>
      <c r="BJ67">
        <f ca="1">IFERROR(IF(0=LEN(ReferenceData!$BJ$67),"",ReferenceData!$BJ$67),"")</f>
        <v>32.914999999999999</v>
      </c>
      <c r="BK67">
        <f ca="1">IFERROR(IF(0=LEN(ReferenceData!$BK$67),"",ReferenceData!$BK$67),"")</f>
        <v>20.478999999999999</v>
      </c>
      <c r="BL67">
        <f ca="1">IFERROR(IF(0=LEN(ReferenceData!$BL$67),"",ReferenceData!$BL$67),"")</f>
        <v>37.08000088</v>
      </c>
      <c r="BM67">
        <f ca="1">IFERROR(IF(0=LEN(ReferenceData!$BM$67),"",ReferenceData!$BM$67),"")</f>
        <v>36.197999000000003</v>
      </c>
    </row>
    <row r="68" spans="1:65">
      <c r="A68" t="str">
        <f>IFERROR(IF(0=LEN(ReferenceData!$A$68),"",ReferenceData!$A$68),"")</f>
        <v xml:space="preserve">    Healthcare Trust of America In</v>
      </c>
      <c r="B68" t="str">
        <f>IFERROR(IF(0=LEN(ReferenceData!$B$68),"",ReferenceData!$B$68),"")</f>
        <v>HTA US Equity</v>
      </c>
      <c r="C68" t="str">
        <f>IFERROR(IF(0=LEN(ReferenceData!$C$68),"",ReferenceData!$C$68),"")</f>
        <v>RR009</v>
      </c>
      <c r="D68" t="str">
        <f>IFERROR(IF(0=LEN(ReferenceData!$D$68),"",ReferenceData!$D$68),"")</f>
        <v>EBITDA</v>
      </c>
      <c r="E68" t="str">
        <f>IFERROR(IF(0=LEN(ReferenceData!$E$68),"",ReferenceData!$E$68),"")</f>
        <v>动态</v>
      </c>
      <c r="F68" t="str">
        <f ca="1">IFERROR(IF(0=LEN(ReferenceData!$F$68),"",ReferenceData!$F$68),"")</f>
        <v/>
      </c>
      <c r="G68">
        <f ca="1">IFERROR(IF(0=LEN(ReferenceData!$G$68),"",ReferenceData!$G$68),"")</f>
        <v>101.077</v>
      </c>
      <c r="H68">
        <f ca="1">IFERROR(IF(0=LEN(ReferenceData!$H$68),"",ReferenceData!$H$68),"")</f>
        <v>109.149</v>
      </c>
      <c r="I68">
        <f ca="1">IFERROR(IF(0=LEN(ReferenceData!$I$68),"",ReferenceData!$I$68),"")</f>
        <v>76.688000000000002</v>
      </c>
      <c r="J68">
        <f ca="1">IFERROR(IF(0=LEN(ReferenceData!$J$68),"",ReferenceData!$J$68),"")</f>
        <v>75.777000000000001</v>
      </c>
      <c r="K68">
        <f ca="1">IFERROR(IF(0=LEN(ReferenceData!$K$68),"",ReferenceData!$K$68),"")</f>
        <v>71.192999999999998</v>
      </c>
      <c r="L68">
        <f ca="1">IFERROR(IF(0=LEN(ReferenceData!$L$68),"",ReferenceData!$L$68),"")</f>
        <v>72.542000000000002</v>
      </c>
      <c r="M68">
        <f ca="1">IFERROR(IF(0=LEN(ReferenceData!$M$68),"",ReferenceData!$M$68),"")</f>
        <v>68.831000000000003</v>
      </c>
      <c r="N68">
        <f ca="1">IFERROR(IF(0=LEN(ReferenceData!$N$68),"",ReferenceData!$N$68),"")</f>
        <v>64.638999999999996</v>
      </c>
      <c r="O68">
        <f ca="1">IFERROR(IF(0=LEN(ReferenceData!$O$68),"",ReferenceData!$O$68),"")</f>
        <v>62.997</v>
      </c>
      <c r="P68">
        <f ca="1">IFERROR(IF(0=LEN(ReferenceData!$P$68),"",ReferenceData!$P$68),"")</f>
        <v>62.023000000000003</v>
      </c>
      <c r="Q68">
        <f ca="1">IFERROR(IF(0=LEN(ReferenceData!$Q$68),"",ReferenceData!$Q$68),"")</f>
        <v>61.094000000000001</v>
      </c>
      <c r="R68">
        <f ca="1">IFERROR(IF(0=LEN(ReferenceData!$R$68),"",ReferenceData!$R$68),"")</f>
        <v>59.084000000000003</v>
      </c>
      <c r="S68">
        <f ca="1">IFERROR(IF(0=LEN(ReferenceData!$S$68),"",ReferenceData!$S$68),"")</f>
        <v>58.893000000000001</v>
      </c>
      <c r="T68">
        <f ca="1">IFERROR(IF(0=LEN(ReferenceData!$T$68),"",ReferenceData!$T$68),"")</f>
        <v>56.646999999999998</v>
      </c>
      <c r="U68">
        <f ca="1">IFERROR(IF(0=LEN(ReferenceData!$U$68),"",ReferenceData!$U$68),"")</f>
        <v>51.112000000000002</v>
      </c>
      <c r="V68">
        <f ca="1">IFERROR(IF(0=LEN(ReferenceData!$V$68),"",ReferenceData!$V$68),"")</f>
        <v>53.609000000000002</v>
      </c>
      <c r="W68">
        <f ca="1">IFERROR(IF(0=LEN(ReferenceData!$W$68),"",ReferenceData!$W$68),"")</f>
        <v>49.911000000000001</v>
      </c>
      <c r="X68">
        <f ca="1">IFERROR(IF(0=LEN(ReferenceData!$X$68),"",ReferenceData!$X$68),"")</f>
        <v>48.88</v>
      </c>
      <c r="Y68">
        <f ca="1">IFERROR(IF(0=LEN(ReferenceData!$Y$68),"",ReferenceData!$Y$68),"")</f>
        <v>47.55</v>
      </c>
      <c r="Z68">
        <f ca="1">IFERROR(IF(0=LEN(ReferenceData!$Z$68),"",ReferenceData!$Z$68),"")</f>
        <v>41.017000000000003</v>
      </c>
      <c r="AA68">
        <f ca="1">IFERROR(IF(0=LEN(ReferenceData!$AA$68),"",ReferenceData!$AA$68),"")</f>
        <v>38.402000000000001</v>
      </c>
      <c r="AB68">
        <f ca="1">IFERROR(IF(0=LEN(ReferenceData!$AB$68),"",ReferenceData!$AB$68),"")</f>
        <v>39.929000000000002</v>
      </c>
      <c r="AC68">
        <f ca="1">IFERROR(IF(0=LEN(ReferenceData!$AC$68),"",ReferenceData!$AC$68),"")</f>
        <v>28.419</v>
      </c>
      <c r="AD68">
        <f ca="1">IFERROR(IF(0=LEN(ReferenceData!$AD$68),"",ReferenceData!$AD$68),"")</f>
        <v>37.164999999999999</v>
      </c>
      <c r="AE68">
        <f ca="1">IFERROR(IF(0=LEN(ReferenceData!$AE$68),"",ReferenceData!$AE$68),"")</f>
        <v>29.606999999999999</v>
      </c>
      <c r="AF68">
        <f ca="1">IFERROR(IF(0=LEN(ReferenceData!$AF$68),"",ReferenceData!$AF$68),"")</f>
        <v>34.950000000000003</v>
      </c>
      <c r="AG68">
        <f ca="1">IFERROR(IF(0=LEN(ReferenceData!$AG$68),"",ReferenceData!$AG$68),"")</f>
        <v>40.253</v>
      </c>
      <c r="AH68">
        <f ca="1">IFERROR(IF(0=LEN(ReferenceData!$AH$68),"",ReferenceData!$AH$68),"")</f>
        <v>35.911999999999999</v>
      </c>
      <c r="AI68">
        <f ca="1">IFERROR(IF(0=LEN(ReferenceData!$AI$68),"",ReferenceData!$AI$68),"")</f>
        <v>25.254999999999999</v>
      </c>
      <c r="AJ68">
        <f ca="1">IFERROR(IF(0=LEN(ReferenceData!$AJ$68),"",ReferenceData!$AJ$68),"")</f>
        <v>27.25</v>
      </c>
      <c r="AK68">
        <f ca="1">IFERROR(IF(0=LEN(ReferenceData!$AK$68),"",ReferenceData!$AK$68),"")</f>
        <v>19.228000000000002</v>
      </c>
      <c r="AL68">
        <f ca="1">IFERROR(IF(0=LEN(ReferenceData!$AL$68),"",ReferenceData!$AL$68),"")</f>
        <v>26.408000000000001</v>
      </c>
      <c r="AM68" t="str">
        <f ca="1">IFERROR(IF(0=LEN(ReferenceData!$AM$68),"",ReferenceData!$AM$68),"")</f>
        <v/>
      </c>
      <c r="AN68" t="str">
        <f ca="1">IFERROR(IF(0=LEN(ReferenceData!$AN$68),"",ReferenceData!$AN$68),"")</f>
        <v/>
      </c>
      <c r="AO68" t="str">
        <f ca="1">IFERROR(IF(0=LEN(ReferenceData!$AO$68),"",ReferenceData!$AO$68),"")</f>
        <v/>
      </c>
      <c r="AP68" t="str">
        <f ca="1">IFERROR(IF(0=LEN(ReferenceData!$AP$68),"",ReferenceData!$AP$68),"")</f>
        <v/>
      </c>
      <c r="AQ68" t="str">
        <f ca="1">IFERROR(IF(0=LEN(ReferenceData!$AQ$68),"",ReferenceData!$AQ$68),"")</f>
        <v/>
      </c>
      <c r="AR68" t="str">
        <f ca="1">IFERROR(IF(0=LEN(ReferenceData!$AR$68),"",ReferenceData!$AR$68),"")</f>
        <v/>
      </c>
      <c r="AS68" t="str">
        <f ca="1">IFERROR(IF(0=LEN(ReferenceData!$AS$68),"",ReferenceData!$AS$68),"")</f>
        <v/>
      </c>
      <c r="AT68" t="str">
        <f ca="1">IFERROR(IF(0=LEN(ReferenceData!$AT$68),"",ReferenceData!$AT$68),"")</f>
        <v/>
      </c>
      <c r="AU68" t="str">
        <f ca="1">IFERROR(IF(0=LEN(ReferenceData!$AU$68),"",ReferenceData!$AU$68),"")</f>
        <v/>
      </c>
      <c r="AV68" t="str">
        <f ca="1">IFERROR(IF(0=LEN(ReferenceData!$AV$68),"",ReferenceData!$AV$68),"")</f>
        <v/>
      </c>
      <c r="AW68" t="str">
        <f ca="1">IFERROR(IF(0=LEN(ReferenceData!$AW$68),"",ReferenceData!$AW$68),"")</f>
        <v/>
      </c>
      <c r="AX68" t="str">
        <f ca="1">IFERROR(IF(0=LEN(ReferenceData!$AX$68),"",ReferenceData!$AX$68),"")</f>
        <v/>
      </c>
      <c r="AY68" t="str">
        <f ca="1">IFERROR(IF(0=LEN(ReferenceData!$AY$68),"",ReferenceData!$AY$68),"")</f>
        <v/>
      </c>
      <c r="AZ68" t="str">
        <f ca="1">IFERROR(IF(0=LEN(ReferenceData!$AZ$68),"",ReferenceData!$AZ$68),"")</f>
        <v/>
      </c>
      <c r="BA68" t="str">
        <f ca="1">IFERROR(IF(0=LEN(ReferenceData!$BA$68),"",ReferenceData!$BA$68),"")</f>
        <v/>
      </c>
      <c r="BB68" t="str">
        <f ca="1">IFERROR(IF(0=LEN(ReferenceData!$BB$68),"",ReferenceData!$BB$68),"")</f>
        <v/>
      </c>
      <c r="BC68" t="str">
        <f ca="1">IFERROR(IF(0=LEN(ReferenceData!$BC$68),"",ReferenceData!$BC$68),"")</f>
        <v/>
      </c>
      <c r="BD68" t="str">
        <f ca="1">IFERROR(IF(0=LEN(ReferenceData!$BD$68),"",ReferenceData!$BD$68),"")</f>
        <v/>
      </c>
      <c r="BE68" t="str">
        <f ca="1">IFERROR(IF(0=LEN(ReferenceData!$BE$68),"",ReferenceData!$BE$68),"")</f>
        <v/>
      </c>
      <c r="BF68" t="str">
        <f ca="1">IFERROR(IF(0=LEN(ReferenceData!$BF$68),"",ReferenceData!$BF$68),"")</f>
        <v/>
      </c>
      <c r="BG68" t="str">
        <f ca="1">IFERROR(IF(0=LEN(ReferenceData!$BG$68),"",ReferenceData!$BG$68),"")</f>
        <v/>
      </c>
      <c r="BH68" t="str">
        <f ca="1">IFERROR(IF(0=LEN(ReferenceData!$BH$68),"",ReferenceData!$BH$68),"")</f>
        <v/>
      </c>
      <c r="BI68" t="str">
        <f ca="1">IFERROR(IF(0=LEN(ReferenceData!$BI$68),"",ReferenceData!$BI$68),"")</f>
        <v/>
      </c>
      <c r="BJ68" t="str">
        <f ca="1">IFERROR(IF(0=LEN(ReferenceData!$BJ$68),"",ReferenceData!$BJ$68),"")</f>
        <v/>
      </c>
      <c r="BK68" t="str">
        <f ca="1">IFERROR(IF(0=LEN(ReferenceData!$BK$68),"",ReferenceData!$BK$68),"")</f>
        <v/>
      </c>
      <c r="BL68" t="str">
        <f ca="1">IFERROR(IF(0=LEN(ReferenceData!$BL$68),"",ReferenceData!$BL$68),"")</f>
        <v/>
      </c>
      <c r="BM68" t="str">
        <f ca="1">IFERROR(IF(0=LEN(ReferenceData!$BM$68),"",ReferenceData!$BM$68),"")</f>
        <v/>
      </c>
    </row>
    <row r="69" spans="1:65">
      <c r="A69" t="str">
        <f>IFERROR(IF(0=LEN(ReferenceData!$A$69),"",ReferenceData!$A$69),"")</f>
        <v xml:space="preserve">    Medical Properties Trust Inc</v>
      </c>
      <c r="B69" t="str">
        <f>IFERROR(IF(0=LEN(ReferenceData!$B$69),"",ReferenceData!$B$69),"")</f>
        <v>MPW US Equity</v>
      </c>
      <c r="C69" t="str">
        <f>IFERROR(IF(0=LEN(ReferenceData!$C$69),"",ReferenceData!$C$69),"")</f>
        <v>RR009</v>
      </c>
      <c r="D69" t="str">
        <f>IFERROR(IF(0=LEN(ReferenceData!$D$69),"",ReferenceData!$D$69),"")</f>
        <v>EBITDA</v>
      </c>
      <c r="E69" t="str">
        <f>IFERROR(IF(0=LEN(ReferenceData!$E$69),"",ReferenceData!$E$69),"")</f>
        <v>动态</v>
      </c>
      <c r="F69" t="str">
        <f ca="1">IFERROR(IF(0=LEN(ReferenceData!$F$69),"",ReferenceData!$F$69),"")</f>
        <v/>
      </c>
      <c r="G69">
        <f ca="1">IFERROR(IF(0=LEN(ReferenceData!$G$69),"",ReferenceData!$G$69),"")</f>
        <v>181.251</v>
      </c>
      <c r="H69">
        <f ca="1">IFERROR(IF(0=LEN(ReferenceData!$H$69),"",ReferenceData!$H$69),"")</f>
        <v>154.68100000000001</v>
      </c>
      <c r="I69">
        <f ca="1">IFERROR(IF(0=LEN(ReferenceData!$I$69),"",ReferenceData!$I$69),"")</f>
        <v>141.14699999999999</v>
      </c>
      <c r="J69">
        <f ca="1">IFERROR(IF(0=LEN(ReferenceData!$J$69),"",ReferenceData!$J$69),"")</f>
        <v>140.48400000000001</v>
      </c>
      <c r="K69">
        <f ca="1">IFERROR(IF(0=LEN(ReferenceData!$K$69),"",ReferenceData!$K$69),"")</f>
        <v>100.602</v>
      </c>
      <c r="L69">
        <f ca="1">IFERROR(IF(0=LEN(ReferenceData!$L$69),"",ReferenceData!$L$69),"")</f>
        <v>112.42</v>
      </c>
      <c r="M69">
        <f ca="1">IFERROR(IF(0=LEN(ReferenceData!$M$69),"",ReferenceData!$M$69),"")</f>
        <v>101.973</v>
      </c>
      <c r="N69">
        <f ca="1">IFERROR(IF(0=LEN(ReferenceData!$N$69),"",ReferenceData!$N$69),"")</f>
        <v>124.244</v>
      </c>
      <c r="O69">
        <f ca="1">IFERROR(IF(0=LEN(ReferenceData!$O$69),"",ReferenceData!$O$69),"")</f>
        <v>115.241</v>
      </c>
      <c r="P69">
        <f ca="1">IFERROR(IF(0=LEN(ReferenceData!$P$69),"",ReferenceData!$P$69),"")</f>
        <v>77.685000000000002</v>
      </c>
      <c r="Q69">
        <f ca="1">IFERROR(IF(0=LEN(ReferenceData!$Q$69),"",ReferenceData!$Q$69),"")</f>
        <v>63.353999999999999</v>
      </c>
      <c r="R69">
        <f ca="1">IFERROR(IF(0=LEN(ReferenceData!$R$69),"",ReferenceData!$R$69),"")</f>
        <v>78.784000000000006</v>
      </c>
      <c r="S69">
        <f ca="1">IFERROR(IF(0=LEN(ReferenceData!$S$69),"",ReferenceData!$S$69),"")</f>
        <v>52.068348999999998</v>
      </c>
      <c r="T69">
        <f ca="1">IFERROR(IF(0=LEN(ReferenceData!$T$69),"",ReferenceData!$T$69),"")</f>
        <v>66.852999999999994</v>
      </c>
      <c r="U69">
        <f ca="1">IFERROR(IF(0=LEN(ReferenceData!$U$69),"",ReferenceData!$U$69),"")</f>
        <v>36.527000000000001</v>
      </c>
      <c r="V69">
        <f ca="1">IFERROR(IF(0=LEN(ReferenceData!$V$69),"",ReferenceData!$V$69),"")</f>
        <v>42.616</v>
      </c>
      <c r="W69">
        <f ca="1">IFERROR(IF(0=LEN(ReferenceData!$W$69),"",ReferenceData!$W$69),"")</f>
        <v>45.473861999999997</v>
      </c>
      <c r="X69">
        <f ca="1">IFERROR(IF(0=LEN(ReferenceData!$X$69),"",ReferenceData!$X$69),"")</f>
        <v>49.542999999999999</v>
      </c>
      <c r="Y69">
        <f ca="1">IFERROR(IF(0=LEN(ReferenceData!$Y$69),"",ReferenceData!$Y$69),"")</f>
        <v>47.631</v>
      </c>
      <c r="Z69">
        <f ca="1">IFERROR(IF(0=LEN(ReferenceData!$Z$69),"",ReferenceData!$Z$69),"")</f>
        <v>49.481999999999999</v>
      </c>
      <c r="AA69">
        <f ca="1">IFERROR(IF(0=LEN(ReferenceData!$AA$69),"",ReferenceData!$AA$69),"")</f>
        <v>48.012314000000003</v>
      </c>
      <c r="AB69">
        <f ca="1">IFERROR(IF(0=LEN(ReferenceData!$AB$69),"",ReferenceData!$AB$69),"")</f>
        <v>45.831000000000003</v>
      </c>
      <c r="AC69">
        <f ca="1">IFERROR(IF(0=LEN(ReferenceData!$AC$69),"",ReferenceData!$AC$69),"")</f>
        <v>42.046999999999997</v>
      </c>
      <c r="AD69">
        <f ca="1">IFERROR(IF(0=LEN(ReferenceData!$AD$69),"",ReferenceData!$AD$69),"")</f>
        <v>30.638999999999999</v>
      </c>
      <c r="AE69">
        <f ca="1">IFERROR(IF(0=LEN(ReferenceData!$AE$69),"",ReferenceData!$AE$69),"")</f>
        <v>27.832031000000001</v>
      </c>
      <c r="AF69">
        <f ca="1">IFERROR(IF(0=LEN(ReferenceData!$AF$69),"",ReferenceData!$AF$69),"")</f>
        <v>29.03</v>
      </c>
      <c r="AG69">
        <f ca="1">IFERROR(IF(0=LEN(ReferenceData!$AG$69),"",ReferenceData!$AG$69),"")</f>
        <v>26.376000000000001</v>
      </c>
      <c r="AH69">
        <f ca="1">IFERROR(IF(0=LEN(ReferenceData!$AH$69),"",ReferenceData!$AH$69),"")</f>
        <v>25.888999999999999</v>
      </c>
      <c r="AI69">
        <f ca="1">IFERROR(IF(0=LEN(ReferenceData!$AI$69),"",ReferenceData!$AI$69),"")</f>
        <v>22.261119999999998</v>
      </c>
      <c r="AJ69">
        <f ca="1">IFERROR(IF(0=LEN(ReferenceData!$AJ$69),"",ReferenceData!$AJ$69),"")</f>
        <v>22.073</v>
      </c>
      <c r="AK69">
        <f ca="1">IFERROR(IF(0=LEN(ReferenceData!$AK$69),"",ReferenceData!$AK$69),"")</f>
        <v>20.582000000000001</v>
      </c>
      <c r="AL69">
        <f ca="1">IFERROR(IF(0=LEN(ReferenceData!$AL$69),"",ReferenceData!$AL$69),"")</f>
        <v>13.074</v>
      </c>
      <c r="AM69">
        <f ca="1">IFERROR(IF(0=LEN(ReferenceData!$AM$69),"",ReferenceData!$AM$69),"")</f>
        <v>25.296329</v>
      </c>
      <c r="AN69">
        <f ca="1">IFERROR(IF(0=LEN(ReferenceData!$AN$69),"",ReferenceData!$AN$69),"")</f>
        <v>26.065999999999999</v>
      </c>
      <c r="AO69">
        <f ca="1">IFERROR(IF(0=LEN(ReferenceData!$AO$69),"",ReferenceData!$AO$69),"")</f>
        <v>23.141999999999999</v>
      </c>
      <c r="AP69">
        <f ca="1">IFERROR(IF(0=LEN(ReferenceData!$AP$69),"",ReferenceData!$AP$69),"")</f>
        <v>25.539000000000001</v>
      </c>
      <c r="AQ69">
        <f ca="1">IFERROR(IF(0=LEN(ReferenceData!$AQ$69),"",ReferenceData!$AQ$69),"")</f>
        <v>19.099744000000001</v>
      </c>
      <c r="AR69">
        <f ca="1">IFERROR(IF(0=LEN(ReferenceData!$AR$69),"",ReferenceData!$AR$69),"")</f>
        <v>28.803000000000001</v>
      </c>
      <c r="AS69">
        <f ca="1">IFERROR(IF(0=LEN(ReferenceData!$AS$69),"",ReferenceData!$AS$69),"")</f>
        <v>26.670999999999999</v>
      </c>
      <c r="AT69">
        <f ca="1">IFERROR(IF(0=LEN(ReferenceData!$AT$69),"",ReferenceData!$AT$69),"")</f>
        <v>19.411000000000001</v>
      </c>
      <c r="AU69">
        <f ca="1">IFERROR(IF(0=LEN(ReferenceData!$AU$69),"",ReferenceData!$AU$69),"")</f>
        <v>20.384596999999999</v>
      </c>
      <c r="AV69">
        <f ca="1">IFERROR(IF(0=LEN(ReferenceData!$AV$69),"",ReferenceData!$AV$69),"")</f>
        <v>18.833161</v>
      </c>
      <c r="AW69">
        <f ca="1">IFERROR(IF(0=LEN(ReferenceData!$AW$69),"",ReferenceData!$AW$69),"")</f>
        <v>19.078578</v>
      </c>
      <c r="AX69">
        <f ca="1">IFERROR(IF(0=LEN(ReferenceData!$AX$69),"",ReferenceData!$AX$69),"")</f>
        <v>10.996776000000001</v>
      </c>
      <c r="AY69">
        <f ca="1">IFERROR(IF(0=LEN(ReferenceData!$AY$69),"",ReferenceData!$AY$69),"")</f>
        <v>14.096316</v>
      </c>
      <c r="AZ69">
        <f ca="1">IFERROR(IF(0=LEN(ReferenceData!$AZ$69),"",ReferenceData!$AZ$69),"")</f>
        <v>11.55593</v>
      </c>
      <c r="BA69">
        <f ca="1">IFERROR(IF(0=LEN(ReferenceData!$BA$69),"",ReferenceData!$BA$69),"")</f>
        <v>8.7958809999999996</v>
      </c>
      <c r="BB69">
        <f ca="1">IFERROR(IF(0=LEN(ReferenceData!$BB$69),"",ReferenceData!$BB$69),"")</f>
        <v>8.85168</v>
      </c>
      <c r="BC69">
        <f ca="1">IFERROR(IF(0=LEN(ReferenceData!$BC$69),"",ReferenceData!$BC$69),"")</f>
        <v>7.1115269799999998</v>
      </c>
      <c r="BD69">
        <f ca="1">IFERROR(IF(0=LEN(ReferenceData!$BD$69),"",ReferenceData!$BD$69),"")</f>
        <v>6.4737679999999997</v>
      </c>
      <c r="BE69">
        <f ca="1">IFERROR(IF(0=LEN(ReferenceData!$BE$69),"",ReferenceData!$BE$69),"")</f>
        <v>6.2223817710000002</v>
      </c>
      <c r="BF69">
        <f ca="1">IFERROR(IF(0=LEN(ReferenceData!$BF$69),"",ReferenceData!$BF$69),"")</f>
        <v>5.1459999679999999</v>
      </c>
      <c r="BG69" t="str">
        <f ca="1">IFERROR(IF(0=LEN(ReferenceData!$BG$69),"",ReferenceData!$BG$69),"")</f>
        <v/>
      </c>
      <c r="BH69" t="str">
        <f ca="1">IFERROR(IF(0=LEN(ReferenceData!$BH$69),"",ReferenceData!$BH$69),"")</f>
        <v/>
      </c>
      <c r="BI69" t="str">
        <f ca="1">IFERROR(IF(0=LEN(ReferenceData!$BI$69),"",ReferenceData!$BI$69),"")</f>
        <v/>
      </c>
      <c r="BJ69" t="str">
        <f ca="1">IFERROR(IF(0=LEN(ReferenceData!$BJ$69),"",ReferenceData!$BJ$69),"")</f>
        <v/>
      </c>
      <c r="BK69" t="str">
        <f ca="1">IFERROR(IF(0=LEN(ReferenceData!$BK$69),"",ReferenceData!$BK$69),"")</f>
        <v/>
      </c>
      <c r="BL69" t="str">
        <f ca="1">IFERROR(IF(0=LEN(ReferenceData!$BL$69),"",ReferenceData!$BL$69),"")</f>
        <v/>
      </c>
      <c r="BM69" t="str">
        <f ca="1">IFERROR(IF(0=LEN(ReferenceData!$BM$69),"",ReferenceData!$BM$69),"")</f>
        <v/>
      </c>
    </row>
    <row r="70" spans="1:65">
      <c r="A70" t="str">
        <f>IFERROR(IF(0=LEN(ReferenceData!$A$70),"",ReferenceData!$A$70),"")</f>
        <v xml:space="preserve">    Omega Healthcare Investors Inc</v>
      </c>
      <c r="B70" t="str">
        <f>IFERROR(IF(0=LEN(ReferenceData!$B$70),"",ReferenceData!$B$70),"")</f>
        <v>OHI US Equity</v>
      </c>
      <c r="C70" t="str">
        <f>IFERROR(IF(0=LEN(ReferenceData!$C$70),"",ReferenceData!$C$70),"")</f>
        <v>RR009</v>
      </c>
      <c r="D70" t="str">
        <f>IFERROR(IF(0=LEN(ReferenceData!$D$70),"",ReferenceData!$D$70),"")</f>
        <v>EBITDA</v>
      </c>
      <c r="E70" t="str">
        <f>IFERROR(IF(0=LEN(ReferenceData!$E$70),"",ReferenceData!$E$70),"")</f>
        <v>动态</v>
      </c>
      <c r="F70" t="str">
        <f ca="1">IFERROR(IF(0=LEN(ReferenceData!$F$70),"",ReferenceData!$F$70),"")</f>
        <v/>
      </c>
      <c r="G70">
        <f ca="1">IFERROR(IF(0=LEN(ReferenceData!$G$70),"",ReferenceData!$G$70),"")</f>
        <v>144.52199999999999</v>
      </c>
      <c r="H70">
        <f ca="1">IFERROR(IF(0=LEN(ReferenceData!$H$70),"",ReferenceData!$H$70),"")</f>
        <v>-16.317</v>
      </c>
      <c r="I70">
        <f ca="1">IFERROR(IF(0=LEN(ReferenceData!$I$70),"",ReferenceData!$I$70),"")</f>
        <v>211.429</v>
      </c>
      <c r="J70">
        <f ca="1">IFERROR(IF(0=LEN(ReferenceData!$J$70),"",ReferenceData!$J$70),"")</f>
        <v>209.21899999999999</v>
      </c>
      <c r="K70">
        <f ca="1">IFERROR(IF(0=LEN(ReferenceData!$K$70),"",ReferenceData!$K$70),"")</f>
        <v>217.458</v>
      </c>
      <c r="L70">
        <f ca="1">IFERROR(IF(0=LEN(ReferenceData!$L$70),"",ReferenceData!$L$70),"")</f>
        <v>192.62899999999999</v>
      </c>
      <c r="M70">
        <f ca="1">IFERROR(IF(0=LEN(ReferenceData!$M$70),"",ReferenceData!$M$70),"")</f>
        <v>207.749</v>
      </c>
      <c r="N70">
        <f ca="1">IFERROR(IF(0=LEN(ReferenceData!$N$70),"",ReferenceData!$N$70),"")</f>
        <v>158.971</v>
      </c>
      <c r="O70">
        <f ca="1">IFERROR(IF(0=LEN(ReferenceData!$O$70),"",ReferenceData!$O$70),"")</f>
        <v>185.78899999999999</v>
      </c>
      <c r="P70">
        <f ca="1">IFERROR(IF(0=LEN(ReferenceData!$P$70),"",ReferenceData!$P$70),"")</f>
        <v>186.215</v>
      </c>
      <c r="Q70">
        <f ca="1">IFERROR(IF(0=LEN(ReferenceData!$Q$70),"",ReferenceData!$Q$70),"")</f>
        <v>133.41</v>
      </c>
      <c r="R70">
        <f ca="1">IFERROR(IF(0=LEN(ReferenceData!$R$70),"",ReferenceData!$R$70),"")</f>
        <v>116.55800000000001</v>
      </c>
      <c r="S70">
        <f ca="1">IFERROR(IF(0=LEN(ReferenceData!$S$70),"",ReferenceData!$S$70),"")</f>
        <v>120.672</v>
      </c>
      <c r="T70">
        <f ca="1">IFERROR(IF(0=LEN(ReferenceData!$T$70),"",ReferenceData!$T$70),"")</f>
        <v>122.33199999999999</v>
      </c>
      <c r="U70">
        <f ca="1">IFERROR(IF(0=LEN(ReferenceData!$U$70),"",ReferenceData!$U$70),"")</f>
        <v>111.139</v>
      </c>
      <c r="V70">
        <f ca="1">IFERROR(IF(0=LEN(ReferenceData!$V$70),"",ReferenceData!$V$70),"")</f>
        <v>114.425</v>
      </c>
      <c r="W70">
        <f ca="1">IFERROR(IF(0=LEN(ReferenceData!$W$70),"",ReferenceData!$W$70),"")</f>
        <v>105.41</v>
      </c>
      <c r="X70">
        <f ca="1">IFERROR(IF(0=LEN(ReferenceData!$X$70),"",ReferenceData!$X$70),"")</f>
        <v>95.527000000000001</v>
      </c>
      <c r="Y70">
        <f ca="1">IFERROR(IF(0=LEN(ReferenceData!$Y$70),"",ReferenceData!$Y$70),"")</f>
        <v>96.957999999999998</v>
      </c>
      <c r="Z70">
        <f ca="1">IFERROR(IF(0=LEN(ReferenceData!$Z$70),"",ReferenceData!$Z$70),"")</f>
        <v>96.43</v>
      </c>
      <c r="AA70">
        <f ca="1">IFERROR(IF(0=LEN(ReferenceData!$AA$70),"",ReferenceData!$AA$70),"")</f>
        <v>89.111999999999995</v>
      </c>
      <c r="AB70">
        <f ca="1">IFERROR(IF(0=LEN(ReferenceData!$AB$70),"",ReferenceData!$AB$70),"")</f>
        <v>81.451999999999998</v>
      </c>
      <c r="AC70">
        <f ca="1">IFERROR(IF(0=LEN(ReferenceData!$AC$70),"",ReferenceData!$AC$70),"")</f>
        <v>78.772999999999996</v>
      </c>
      <c r="AD70">
        <f ca="1">IFERROR(IF(0=LEN(ReferenceData!$AD$70),"",ReferenceData!$AD$70),"")</f>
        <v>78.611999999999995</v>
      </c>
      <c r="AE70">
        <f ca="1">IFERROR(IF(0=LEN(ReferenceData!$AE$70),"",ReferenceData!$AE$70),"")</f>
        <v>66.539000000000001</v>
      </c>
      <c r="AF70">
        <f ca="1">IFERROR(IF(0=LEN(ReferenceData!$AF$70),"",ReferenceData!$AF$70),"")</f>
        <v>68.277000000000001</v>
      </c>
      <c r="AG70">
        <f ca="1">IFERROR(IF(0=LEN(ReferenceData!$AG$70),"",ReferenceData!$AG$70),"")</f>
        <v>63.311999999999998</v>
      </c>
      <c r="AH70">
        <f ca="1">IFERROR(IF(0=LEN(ReferenceData!$AH$70),"",ReferenceData!$AH$70),"")</f>
        <v>40.003999999999998</v>
      </c>
      <c r="AI70">
        <f ca="1">IFERROR(IF(0=LEN(ReferenceData!$AI$70),"",ReferenceData!$AI$70),"")</f>
        <v>67.605000000000004</v>
      </c>
      <c r="AJ70">
        <f ca="1">IFERROR(IF(0=LEN(ReferenceData!$AJ$70),"",ReferenceData!$AJ$70),"")</f>
        <v>64.790000000000006</v>
      </c>
      <c r="AK70">
        <f ca="1">IFERROR(IF(0=LEN(ReferenceData!$AK$70),"",ReferenceData!$AK$70),"")</f>
        <v>50.988999999999997</v>
      </c>
      <c r="AL70">
        <f ca="1">IFERROR(IF(0=LEN(ReferenceData!$AL$70),"",ReferenceData!$AL$70),"")</f>
        <v>50.176000000000002</v>
      </c>
      <c r="AM70">
        <f ca="1">IFERROR(IF(0=LEN(ReferenceData!$AM$70),"",ReferenceData!$AM$70),"")</f>
        <v>37.343000000000004</v>
      </c>
      <c r="AN70">
        <f ca="1">IFERROR(IF(0=LEN(ReferenceData!$AN$70),"",ReferenceData!$AN$70),"")</f>
        <v>42.09</v>
      </c>
      <c r="AO70">
        <f ca="1">IFERROR(IF(0=LEN(ReferenceData!$AO$70),"",ReferenceData!$AO$70),"")</f>
        <v>40.567999999999998</v>
      </c>
      <c r="AP70">
        <f ca="1">IFERROR(IF(0=LEN(ReferenceData!$AP$70),"",ReferenceData!$AP$70),"")</f>
        <v>40.578000000000003</v>
      </c>
      <c r="AQ70">
        <f ca="1">IFERROR(IF(0=LEN(ReferenceData!$AQ$70),"",ReferenceData!$AQ$70),"")</f>
        <v>39.703000000000003</v>
      </c>
      <c r="AR70">
        <f ca="1">IFERROR(IF(0=LEN(ReferenceData!$AR$70),"",ReferenceData!$AR$70),"")</f>
        <v>36.241</v>
      </c>
      <c r="AS70">
        <f ca="1">IFERROR(IF(0=LEN(ReferenceData!$AS$70),"",ReferenceData!$AS$70),"")</f>
        <v>36.496000000000002</v>
      </c>
      <c r="AT70">
        <f ca="1">IFERROR(IF(0=LEN(ReferenceData!$AT$70),"",ReferenceData!$AT$70),"")</f>
        <v>37.837000000000003</v>
      </c>
      <c r="AU70">
        <f ca="1">IFERROR(IF(0=LEN(ReferenceData!$AU$70),"",ReferenceData!$AU$70),"")</f>
        <v>38.136000000000003</v>
      </c>
      <c r="AV70">
        <f ca="1">IFERROR(IF(0=LEN(ReferenceData!$AV$70),"",ReferenceData!$AV$70),"")</f>
        <v>36.524999999999999</v>
      </c>
      <c r="AW70">
        <f ca="1">IFERROR(IF(0=LEN(ReferenceData!$AW$70),"",ReferenceData!$AW$70),"")</f>
        <v>35.362000000000002</v>
      </c>
      <c r="AX70">
        <f ca="1">IFERROR(IF(0=LEN(ReferenceData!$AX$70),"",ReferenceData!$AX$70),"")</f>
        <v>40.100999999999999</v>
      </c>
      <c r="AY70">
        <f ca="1">IFERROR(IF(0=LEN(ReferenceData!$AY$70),"",ReferenceData!$AY$70),"")</f>
        <v>46.219000000000001</v>
      </c>
      <c r="AZ70">
        <f ca="1">IFERROR(IF(0=LEN(ReferenceData!$AZ$70),"",ReferenceData!$AZ$70),"")</f>
        <v>19.975999999999999</v>
      </c>
      <c r="BA70">
        <f ca="1">IFERROR(IF(0=LEN(ReferenceData!$BA$70),"",ReferenceData!$BA$70),"")</f>
        <v>30.100999999999999</v>
      </c>
      <c r="BB70">
        <f ca="1">IFERROR(IF(0=LEN(ReferenceData!$BB$70),"",ReferenceData!$BB$70),"")</f>
        <v>29.873000000000001</v>
      </c>
      <c r="BC70">
        <f ca="1">IFERROR(IF(0=LEN(ReferenceData!$BC$70),"",ReferenceData!$BC$70),"")</f>
        <v>28.808</v>
      </c>
      <c r="BD70">
        <f ca="1">IFERROR(IF(0=LEN(ReferenceData!$BD$70),"",ReferenceData!$BD$70),"")</f>
        <v>25.111999999999998</v>
      </c>
      <c r="BE70">
        <f ca="1">IFERROR(IF(0=LEN(ReferenceData!$BE$70),"",ReferenceData!$BE$70),"")</f>
        <v>23.135000000000002</v>
      </c>
      <c r="BF70">
        <f ca="1">IFERROR(IF(0=LEN(ReferenceData!$BF$70),"",ReferenceData!$BF$70),"")</f>
        <v>25.61</v>
      </c>
      <c r="BG70">
        <f ca="1">IFERROR(IF(0=LEN(ReferenceData!$BG$70),"",ReferenceData!$BG$70),"")</f>
        <v>17.814</v>
      </c>
      <c r="BH70">
        <f ca="1">IFERROR(IF(0=LEN(ReferenceData!$BH$70),"",ReferenceData!$BH$70),"")</f>
        <v>20.637000560000001</v>
      </c>
      <c r="BI70">
        <f ca="1">IFERROR(IF(0=LEN(ReferenceData!$BI$70),"",ReferenceData!$BI$70),"")</f>
        <v>20.30499983</v>
      </c>
      <c r="BJ70">
        <f ca="1">IFERROR(IF(0=LEN(ReferenceData!$BJ$70),"",ReferenceData!$BJ$70),"")</f>
        <v>19.633000370000001</v>
      </c>
      <c r="BK70">
        <f ca="1">IFERROR(IF(0=LEN(ReferenceData!$BK$70),"",ReferenceData!$BK$70),"")</f>
        <v>19.122</v>
      </c>
      <c r="BL70">
        <f ca="1">IFERROR(IF(0=LEN(ReferenceData!$BL$70),"",ReferenceData!$BL$70),"")</f>
        <v>25.179999349999999</v>
      </c>
      <c r="BM70">
        <f ca="1">IFERROR(IF(0=LEN(ReferenceData!$BM$70),"",ReferenceData!$BM$70),"")</f>
        <v>18.277999879999999</v>
      </c>
    </row>
    <row r="71" spans="1:65">
      <c r="A71" t="str">
        <f>IFERROR(IF(0=LEN(ReferenceData!$A$71),"",ReferenceData!$A$71),"")</f>
        <v xml:space="preserve">    Sabra Health Care REIT Inc</v>
      </c>
      <c r="B71" t="str">
        <f>IFERROR(IF(0=LEN(ReferenceData!$B$71),"",ReferenceData!$B$71),"")</f>
        <v>SBRA US Equity</v>
      </c>
      <c r="C71" t="str">
        <f>IFERROR(IF(0=LEN(ReferenceData!$C$71),"",ReferenceData!$C$71),"")</f>
        <v>RR009</v>
      </c>
      <c r="D71" t="str">
        <f>IFERROR(IF(0=LEN(ReferenceData!$D$71),"",ReferenceData!$D$71),"")</f>
        <v>EBITDA</v>
      </c>
      <c r="E71" t="str">
        <f>IFERROR(IF(0=LEN(ReferenceData!$E$71),"",ReferenceData!$E$71),"")</f>
        <v>动态</v>
      </c>
      <c r="F71" t="str">
        <f ca="1">IFERROR(IF(0=LEN(ReferenceData!$F$71),"",ReferenceData!$F$71),"")</f>
        <v/>
      </c>
      <c r="G71">
        <f ca="1">IFERROR(IF(0=LEN(ReferenceData!$G$71),"",ReferenceData!$G$71),"")</f>
        <v>140.809</v>
      </c>
      <c r="H71">
        <f ca="1">IFERROR(IF(0=LEN(ReferenceData!$H$71),"",ReferenceData!$H$71),"")</f>
        <v>65.295000000000002</v>
      </c>
      <c r="I71">
        <f ca="1">IFERROR(IF(0=LEN(ReferenceData!$I$71),"",ReferenceData!$I$71),"")</f>
        <v>48.645000000000003</v>
      </c>
      <c r="J71">
        <f ca="1">IFERROR(IF(0=LEN(ReferenceData!$J$71),"",ReferenceData!$J$71),"")</f>
        <v>51.587000000000003</v>
      </c>
      <c r="K71">
        <f ca="1">IFERROR(IF(0=LEN(ReferenceData!$K$71),"",ReferenceData!$K$71),"")</f>
        <v>53.69</v>
      </c>
      <c r="L71">
        <f ca="1">IFERROR(IF(0=LEN(ReferenceData!$L$71),"",ReferenceData!$L$71),"")</f>
        <v>53.811999999999998</v>
      </c>
      <c r="M71">
        <f ca="1">IFERROR(IF(0=LEN(ReferenceData!$M$71),"",ReferenceData!$M$71),"")</f>
        <v>67.95</v>
      </c>
      <c r="N71">
        <f ca="1">IFERROR(IF(0=LEN(ReferenceData!$N$71),"",ReferenceData!$N$71),"")</f>
        <v>24.099</v>
      </c>
      <c r="O71">
        <f ca="1">IFERROR(IF(0=LEN(ReferenceData!$O$71),"",ReferenceData!$O$71),"")</f>
        <v>54.805999999999997</v>
      </c>
      <c r="P71">
        <f ca="1">IFERROR(IF(0=LEN(ReferenceData!$P$71),"",ReferenceData!$P$71),"")</f>
        <v>53.454000000000001</v>
      </c>
      <c r="Q71">
        <f ca="1">IFERROR(IF(0=LEN(ReferenceData!$Q$71),"",ReferenceData!$Q$71),"")</f>
        <v>43.752000000000002</v>
      </c>
      <c r="R71">
        <f ca="1">IFERROR(IF(0=LEN(ReferenceData!$R$71),"",ReferenceData!$R$71),"")</f>
        <v>47.569000000000003</v>
      </c>
      <c r="S71">
        <f ca="1">IFERROR(IF(0=LEN(ReferenceData!$S$71),"",ReferenceData!$S$71),"")</f>
        <v>46.377000000000002</v>
      </c>
      <c r="T71">
        <f ca="1">IFERROR(IF(0=LEN(ReferenceData!$T$71),"",ReferenceData!$T$71),"")</f>
        <v>37.758000000000003</v>
      </c>
      <c r="U71">
        <f ca="1">IFERROR(IF(0=LEN(ReferenceData!$U$71),"",ReferenceData!$U$71),"")</f>
        <v>35.046999999999997</v>
      </c>
      <c r="V71">
        <f ca="1">IFERROR(IF(0=LEN(ReferenceData!$V$71),"",ReferenceData!$V$71),"")</f>
        <v>34.997</v>
      </c>
      <c r="W71">
        <f ca="1">IFERROR(IF(0=LEN(ReferenceData!$W$71),"",ReferenceData!$W$71),"")</f>
        <v>32.33</v>
      </c>
      <c r="X71">
        <f ca="1">IFERROR(IF(0=LEN(ReferenceData!$X$71),"",ReferenceData!$X$71),"")</f>
        <v>29.869</v>
      </c>
      <c r="Y71">
        <f ca="1">IFERROR(IF(0=LEN(ReferenceData!$Y$71),"",ReferenceData!$Y$71),"")</f>
        <v>28.853000000000002</v>
      </c>
      <c r="Z71">
        <f ca="1">IFERROR(IF(0=LEN(ReferenceData!$Z$71),"",ReferenceData!$Z$71),"")</f>
        <v>27.305</v>
      </c>
      <c r="AA71">
        <f ca="1">IFERROR(IF(0=LEN(ReferenceData!$AA$71),"",ReferenceData!$AA$71),"")</f>
        <v>21.291</v>
      </c>
      <c r="AB71">
        <f ca="1">IFERROR(IF(0=LEN(ReferenceData!$AB$71),"",ReferenceData!$AB$71),"")</f>
        <v>22.26</v>
      </c>
      <c r="AC71">
        <f ca="1">IFERROR(IF(0=LEN(ReferenceData!$AC$71),"",ReferenceData!$AC$71),"")</f>
        <v>21.628</v>
      </c>
      <c r="AD71">
        <f ca="1">IFERROR(IF(0=LEN(ReferenceData!$AD$71),"",ReferenceData!$AD$71),"")</f>
        <v>19.405999999999999</v>
      </c>
      <c r="AE71">
        <f ca="1">IFERROR(IF(0=LEN(ReferenceData!$AE$71),"",ReferenceData!$AE$71),"")</f>
        <v>22.119</v>
      </c>
      <c r="AF71">
        <f ca="1">IFERROR(IF(0=LEN(ReferenceData!$AF$71),"",ReferenceData!$AF$71),"")</f>
        <v>16.818000000000001</v>
      </c>
      <c r="AG71">
        <f ca="1">IFERROR(IF(0=LEN(ReferenceData!$AG$71),"",ReferenceData!$AG$71),"")</f>
        <v>15.882999999999999</v>
      </c>
      <c r="AH71">
        <f ca="1">IFERROR(IF(0=LEN(ReferenceData!$AH$71),"",ReferenceData!$AH$71),"")</f>
        <v>14.930999999999999</v>
      </c>
      <c r="AI71" t="str">
        <f ca="1">IFERROR(IF(0=LEN(ReferenceData!$AI$71),"",ReferenceData!$AI$71),"")</f>
        <v/>
      </c>
      <c r="AJ71" t="str">
        <f ca="1">IFERROR(IF(0=LEN(ReferenceData!$AJ$71),"",ReferenceData!$AJ$71),"")</f>
        <v/>
      </c>
      <c r="AK71" t="str">
        <f ca="1">IFERROR(IF(0=LEN(ReferenceData!$AK$71),"",ReferenceData!$AK$71),"")</f>
        <v/>
      </c>
      <c r="AL71" t="str">
        <f ca="1">IFERROR(IF(0=LEN(ReferenceData!$AL$71),"",ReferenceData!$AL$71),"")</f>
        <v/>
      </c>
      <c r="AM71" t="str">
        <f ca="1">IFERROR(IF(0=LEN(ReferenceData!$AM$71),"",ReferenceData!$AM$71),"")</f>
        <v/>
      </c>
      <c r="AN71" t="str">
        <f ca="1">IFERROR(IF(0=LEN(ReferenceData!$AN$71),"",ReferenceData!$AN$71),"")</f>
        <v/>
      </c>
      <c r="AO71" t="str">
        <f ca="1">IFERROR(IF(0=LEN(ReferenceData!$AO$71),"",ReferenceData!$AO$71),"")</f>
        <v/>
      </c>
      <c r="AP71" t="str">
        <f ca="1">IFERROR(IF(0=LEN(ReferenceData!$AP$71),"",ReferenceData!$AP$71),"")</f>
        <v/>
      </c>
      <c r="AQ71" t="str">
        <f ca="1">IFERROR(IF(0=LEN(ReferenceData!$AQ$71),"",ReferenceData!$AQ$71),"")</f>
        <v/>
      </c>
      <c r="AR71" t="str">
        <f ca="1">IFERROR(IF(0=LEN(ReferenceData!$AR$71),"",ReferenceData!$AR$71),"")</f>
        <v/>
      </c>
      <c r="AS71" t="str">
        <f ca="1">IFERROR(IF(0=LEN(ReferenceData!$AS$71),"",ReferenceData!$AS$71),"")</f>
        <v/>
      </c>
      <c r="AT71" t="str">
        <f ca="1">IFERROR(IF(0=LEN(ReferenceData!$AT$71),"",ReferenceData!$AT$71),"")</f>
        <v/>
      </c>
      <c r="AU71" t="str">
        <f ca="1">IFERROR(IF(0=LEN(ReferenceData!$AU$71),"",ReferenceData!$AU$71),"")</f>
        <v/>
      </c>
      <c r="AV71" t="str">
        <f ca="1">IFERROR(IF(0=LEN(ReferenceData!$AV$71),"",ReferenceData!$AV$71),"")</f>
        <v/>
      </c>
      <c r="AW71" t="str">
        <f ca="1">IFERROR(IF(0=LEN(ReferenceData!$AW$71),"",ReferenceData!$AW$71),"")</f>
        <v/>
      </c>
      <c r="AX71" t="str">
        <f ca="1">IFERROR(IF(0=LEN(ReferenceData!$AX$71),"",ReferenceData!$AX$71),"")</f>
        <v/>
      </c>
      <c r="AY71" t="str">
        <f ca="1">IFERROR(IF(0=LEN(ReferenceData!$AY$71),"",ReferenceData!$AY$71),"")</f>
        <v/>
      </c>
      <c r="AZ71" t="str">
        <f ca="1">IFERROR(IF(0=LEN(ReferenceData!$AZ$71),"",ReferenceData!$AZ$71),"")</f>
        <v/>
      </c>
      <c r="BA71" t="str">
        <f ca="1">IFERROR(IF(0=LEN(ReferenceData!$BA$71),"",ReferenceData!$BA$71),"")</f>
        <v/>
      </c>
      <c r="BB71" t="str">
        <f ca="1">IFERROR(IF(0=LEN(ReferenceData!$BB$71),"",ReferenceData!$BB$71),"")</f>
        <v/>
      </c>
      <c r="BC71" t="str">
        <f ca="1">IFERROR(IF(0=LEN(ReferenceData!$BC$71),"",ReferenceData!$BC$71),"")</f>
        <v/>
      </c>
      <c r="BD71" t="str">
        <f ca="1">IFERROR(IF(0=LEN(ReferenceData!$BD$71),"",ReferenceData!$BD$71),"")</f>
        <v/>
      </c>
      <c r="BE71" t="str">
        <f ca="1">IFERROR(IF(0=LEN(ReferenceData!$BE$71),"",ReferenceData!$BE$71),"")</f>
        <v/>
      </c>
      <c r="BF71" t="str">
        <f ca="1">IFERROR(IF(0=LEN(ReferenceData!$BF$71),"",ReferenceData!$BF$71),"")</f>
        <v/>
      </c>
      <c r="BG71" t="str">
        <f ca="1">IFERROR(IF(0=LEN(ReferenceData!$BG$71),"",ReferenceData!$BG$71),"")</f>
        <v/>
      </c>
      <c r="BH71" t="str">
        <f ca="1">IFERROR(IF(0=LEN(ReferenceData!$BH$71),"",ReferenceData!$BH$71),"")</f>
        <v/>
      </c>
      <c r="BI71" t="str">
        <f ca="1">IFERROR(IF(0=LEN(ReferenceData!$BI$71),"",ReferenceData!$BI$71),"")</f>
        <v/>
      </c>
      <c r="BJ71" t="str">
        <f ca="1">IFERROR(IF(0=LEN(ReferenceData!$BJ$71),"",ReferenceData!$BJ$71),"")</f>
        <v/>
      </c>
      <c r="BK71" t="str">
        <f ca="1">IFERROR(IF(0=LEN(ReferenceData!$BK$71),"",ReferenceData!$BK$71),"")</f>
        <v/>
      </c>
      <c r="BL71" t="str">
        <f ca="1">IFERROR(IF(0=LEN(ReferenceData!$BL$71),"",ReferenceData!$BL$71),"")</f>
        <v/>
      </c>
      <c r="BM71" t="str">
        <f ca="1">IFERROR(IF(0=LEN(ReferenceData!$BM$71),"",ReferenceData!$BM$71),"")</f>
        <v/>
      </c>
    </row>
    <row r="72" spans="1:65">
      <c r="A72" t="str">
        <f>IFERROR(IF(0=LEN(ReferenceData!$A$72),"",ReferenceData!$A$72),"")</f>
        <v xml:space="preserve">    Senior Housing Properties Trus</v>
      </c>
      <c r="B72" t="str">
        <f>IFERROR(IF(0=LEN(ReferenceData!$B$72),"",ReferenceData!$B$72),"")</f>
        <v>SNH US Equity</v>
      </c>
      <c r="C72" t="str">
        <f>IFERROR(IF(0=LEN(ReferenceData!$C$72),"",ReferenceData!$C$72),"")</f>
        <v>RR009</v>
      </c>
      <c r="D72" t="str">
        <f>IFERROR(IF(0=LEN(ReferenceData!$D$72),"",ReferenceData!$D$72),"")</f>
        <v>EBITDA</v>
      </c>
      <c r="E72" t="str">
        <f>IFERROR(IF(0=LEN(ReferenceData!$E$72),"",ReferenceData!$E$72),"")</f>
        <v>动态</v>
      </c>
      <c r="F72" t="str">
        <f ca="1">IFERROR(IF(0=LEN(ReferenceData!$F$72),"",ReferenceData!$F$72),"")</f>
        <v/>
      </c>
      <c r="G72">
        <f ca="1">IFERROR(IF(0=LEN(ReferenceData!$G$72),"",ReferenceData!$G$72),"")</f>
        <v>127.633</v>
      </c>
      <c r="H72">
        <f ca="1">IFERROR(IF(0=LEN(ReferenceData!$H$72),"",ReferenceData!$H$72),"")</f>
        <v>142.08199999999999</v>
      </c>
      <c r="I72">
        <f ca="1">IFERROR(IF(0=LEN(ReferenceData!$I$72),"",ReferenceData!$I$72),"")</f>
        <v>134.214</v>
      </c>
      <c r="J72">
        <f ca="1">IFERROR(IF(0=LEN(ReferenceData!$J$72),"",ReferenceData!$J$72),"")</f>
        <v>148.12899999999999</v>
      </c>
      <c r="K72">
        <f ca="1">IFERROR(IF(0=LEN(ReferenceData!$K$72),"",ReferenceData!$K$72),"")</f>
        <v>159.27000000000001</v>
      </c>
      <c r="L72">
        <f ca="1">IFERROR(IF(0=LEN(ReferenceData!$L$72),"",ReferenceData!$L$72),"")</f>
        <v>143.12700000000001</v>
      </c>
      <c r="M72">
        <f ca="1">IFERROR(IF(0=LEN(ReferenceData!$M$72),"",ReferenceData!$M$72),"")</f>
        <v>146.786</v>
      </c>
      <c r="N72">
        <f ca="1">IFERROR(IF(0=LEN(ReferenceData!$N$72),"",ReferenceData!$N$72),"")</f>
        <v>141.73400000000001</v>
      </c>
      <c r="O72">
        <f ca="1">IFERROR(IF(0=LEN(ReferenceData!$O$72),"",ReferenceData!$O$72),"")</f>
        <v>155.358</v>
      </c>
      <c r="P72">
        <f ca="1">IFERROR(IF(0=LEN(ReferenceData!$P$72),"",ReferenceData!$P$72),"")</f>
        <v>147.38800000000001</v>
      </c>
      <c r="Q72">
        <f ca="1">IFERROR(IF(0=LEN(ReferenceData!$Q$72),"",ReferenceData!$Q$72),"")</f>
        <v>137.51900000000001</v>
      </c>
      <c r="R72">
        <f ca="1">IFERROR(IF(0=LEN(ReferenceData!$R$72),"",ReferenceData!$R$72),"")</f>
        <v>131.05099999999999</v>
      </c>
      <c r="S72">
        <f ca="1">IFERROR(IF(0=LEN(ReferenceData!$S$72),"",ReferenceData!$S$72),"")</f>
        <v>132.9</v>
      </c>
      <c r="T72">
        <f ca="1">IFERROR(IF(0=LEN(ReferenceData!$T$72),"",ReferenceData!$T$72),"")</f>
        <v>123.768</v>
      </c>
      <c r="U72">
        <f ca="1">IFERROR(IF(0=LEN(ReferenceData!$U$72),"",ReferenceData!$U$72),"")</f>
        <v>114.833</v>
      </c>
      <c r="V72">
        <f ca="1">IFERROR(IF(0=LEN(ReferenceData!$V$72),"",ReferenceData!$V$72),"")</f>
        <v>105.283</v>
      </c>
      <c r="W72">
        <f ca="1">IFERROR(IF(0=LEN(ReferenceData!$W$72),"",ReferenceData!$W$72),"")</f>
        <v>112.20399999999999</v>
      </c>
      <c r="X72">
        <f ca="1">IFERROR(IF(0=LEN(ReferenceData!$X$72),"",ReferenceData!$X$72),"")</f>
        <v>104.345</v>
      </c>
      <c r="Y72">
        <f ca="1">IFERROR(IF(0=LEN(ReferenceData!$Y$72),"",ReferenceData!$Y$72),"")</f>
        <v>99.813000000000002</v>
      </c>
      <c r="Z72">
        <f ca="1">IFERROR(IF(0=LEN(ReferenceData!$Z$72),"",ReferenceData!$Z$72),"")</f>
        <v>101.973</v>
      </c>
      <c r="AA72">
        <f ca="1">IFERROR(IF(0=LEN(ReferenceData!$AA$72),"",ReferenceData!$AA$72),"")</f>
        <v>110.785</v>
      </c>
      <c r="AB72">
        <f ca="1">IFERROR(IF(0=LEN(ReferenceData!$AB$72),"",ReferenceData!$AB$72),"")</f>
        <v>97.257999999999996</v>
      </c>
      <c r="AC72">
        <f ca="1">IFERROR(IF(0=LEN(ReferenceData!$AC$72),"",ReferenceData!$AC$72),"")</f>
        <v>95.284000000000006</v>
      </c>
      <c r="AD72">
        <f ca="1">IFERROR(IF(0=LEN(ReferenceData!$AD$72),"",ReferenceData!$AD$72),"")</f>
        <v>94.295000000000002</v>
      </c>
      <c r="AE72">
        <f ca="1">IFERROR(IF(0=LEN(ReferenceData!$AE$72),"",ReferenceData!$AE$72),"")</f>
        <v>96.507999999999996</v>
      </c>
      <c r="AF72">
        <f ca="1">IFERROR(IF(0=LEN(ReferenceData!$AF$72),"",ReferenceData!$AF$72),"")</f>
        <v>83.334999999999994</v>
      </c>
      <c r="AG72">
        <f ca="1">IFERROR(IF(0=LEN(ReferenceData!$AG$72),"",ReferenceData!$AG$72),"")</f>
        <v>80.253</v>
      </c>
      <c r="AH72">
        <f ca="1">IFERROR(IF(0=LEN(ReferenceData!$AH$72),"",ReferenceData!$AH$72),"")</f>
        <v>80.683999999999997</v>
      </c>
      <c r="AI72">
        <f ca="1">IFERROR(IF(0=LEN(ReferenceData!$AI$72),"",ReferenceData!$AI$72),"")</f>
        <v>77.858999999999995</v>
      </c>
      <c r="AJ72">
        <f ca="1">IFERROR(IF(0=LEN(ReferenceData!$AJ$72),"",ReferenceData!$AJ$72),"")</f>
        <v>70.531000000000006</v>
      </c>
      <c r="AK72">
        <f ca="1">IFERROR(IF(0=LEN(ReferenceData!$AK$72),"",ReferenceData!$AK$72),"")</f>
        <v>70.804000000000002</v>
      </c>
      <c r="AL72">
        <f ca="1">IFERROR(IF(0=LEN(ReferenceData!$AL$72),"",ReferenceData!$AL$72),"")</f>
        <v>70.536000000000001</v>
      </c>
      <c r="AM72">
        <f ca="1">IFERROR(IF(0=LEN(ReferenceData!$AM$72),"",ReferenceData!$AM$72),"")</f>
        <v>73.712999999999994</v>
      </c>
      <c r="AN72">
        <f ca="1">IFERROR(IF(0=LEN(ReferenceData!$AN$72),"",ReferenceData!$AN$72),"")</f>
        <v>51.365000000000002</v>
      </c>
      <c r="AO72">
        <f ca="1">IFERROR(IF(0=LEN(ReferenceData!$AO$72),"",ReferenceData!$AO$72),"")</f>
        <v>60.948999999999998</v>
      </c>
      <c r="AP72">
        <f ca="1">IFERROR(IF(0=LEN(ReferenceData!$AP$72),"",ReferenceData!$AP$72),"")</f>
        <v>60.601999999999997</v>
      </c>
      <c r="AQ72">
        <f ca="1">IFERROR(IF(0=LEN(ReferenceData!$AQ$72),"",ReferenceData!$AQ$72),"")</f>
        <v>66.622</v>
      </c>
      <c r="AR72">
        <f ca="1">IFERROR(IF(0=LEN(ReferenceData!$AR$72),"",ReferenceData!$AR$72),"")</f>
        <v>54.423999999999999</v>
      </c>
      <c r="AS72">
        <f ca="1">IFERROR(IF(0=LEN(ReferenceData!$AS$72),"",ReferenceData!$AS$72),"")</f>
        <v>48.783000000000001</v>
      </c>
      <c r="AT72">
        <f ca="1">IFERROR(IF(0=LEN(ReferenceData!$AT$72),"",ReferenceData!$AT$72),"")</f>
        <v>45.856999999999999</v>
      </c>
      <c r="AU72">
        <f ca="1">IFERROR(IF(0=LEN(ReferenceData!$AU$72),"",ReferenceData!$AU$72),"")</f>
        <v>49.661999999999999</v>
      </c>
      <c r="AV72">
        <f ca="1">IFERROR(IF(0=LEN(ReferenceData!$AV$72),"",ReferenceData!$AV$72),"")</f>
        <v>41.656999999999996</v>
      </c>
      <c r="AW72">
        <f ca="1">IFERROR(IF(0=LEN(ReferenceData!$AW$72),"",ReferenceData!$AW$72),"")</f>
        <v>41.512999999999998</v>
      </c>
      <c r="AX72">
        <f ca="1">IFERROR(IF(0=LEN(ReferenceData!$AX$72),"",ReferenceData!$AX$72),"")</f>
        <v>41.036000000000001</v>
      </c>
      <c r="AY72">
        <f ca="1">IFERROR(IF(0=LEN(ReferenceData!$AY$72),"",ReferenceData!$AY$72),"")</f>
        <v>51.27</v>
      </c>
      <c r="AZ72">
        <f ca="1">IFERROR(IF(0=LEN(ReferenceData!$AZ$72),"",ReferenceData!$AZ$72),"")</f>
        <v>38.228999999999999</v>
      </c>
      <c r="BA72">
        <f ca="1">IFERROR(IF(0=LEN(ReferenceData!$BA$72),"",ReferenceData!$BA$72),"")</f>
        <v>37.893000000000001</v>
      </c>
      <c r="BB72">
        <f ca="1">IFERROR(IF(0=LEN(ReferenceData!$BB$72),"",ReferenceData!$BB$72),"")</f>
        <v>37.768999999999998</v>
      </c>
      <c r="BC72">
        <f ca="1">IFERROR(IF(0=LEN(ReferenceData!$BC$72),"",ReferenceData!$BC$72),"")</f>
        <v>40.755000000000003</v>
      </c>
      <c r="BD72">
        <f ca="1">IFERROR(IF(0=LEN(ReferenceData!$BD$72),"",ReferenceData!$BD$72),"")</f>
        <v>36.963000299999997</v>
      </c>
      <c r="BE72">
        <f ca="1">IFERROR(IF(0=LEN(ReferenceData!$BE$72),"",ReferenceData!$BE$72),"")</f>
        <v>36.51799965</v>
      </c>
      <c r="BF72">
        <f ca="1">IFERROR(IF(0=LEN(ReferenceData!$BF$72),"",ReferenceData!$BF$72),"")</f>
        <v>35.833999630000001</v>
      </c>
      <c r="BG72">
        <f ca="1">IFERROR(IF(0=LEN(ReferenceData!$BG$72),"",ReferenceData!$BG$72),"")</f>
        <v>37.725000000000001</v>
      </c>
      <c r="BH72">
        <f ca="1">IFERROR(IF(0=LEN(ReferenceData!$BH$72),"",ReferenceData!$BH$72),"")</f>
        <v>32.946999550000001</v>
      </c>
      <c r="BI72">
        <f ca="1">IFERROR(IF(0=LEN(ReferenceData!$BI$72),"",ReferenceData!$BI$72),"")</f>
        <v>32.763999939999998</v>
      </c>
      <c r="BJ72">
        <f ca="1">IFERROR(IF(0=LEN(ReferenceData!$BJ$72),"",ReferenceData!$BJ$72),"")</f>
        <v>33.998999599999998</v>
      </c>
      <c r="BK72">
        <f ca="1">IFERROR(IF(0=LEN(ReferenceData!$BK$72),"",ReferenceData!$BK$72),"")</f>
        <v>32.975999829999999</v>
      </c>
      <c r="BL72">
        <f ca="1">IFERROR(IF(0=LEN(ReferenceData!$BL$72),"",ReferenceData!$BL$72),"")</f>
        <v>28.905999999999999</v>
      </c>
      <c r="BM72">
        <f ca="1">IFERROR(IF(0=LEN(ReferenceData!$BM$72),"",ReferenceData!$BM$72),"")</f>
        <v>28.812000000000001</v>
      </c>
    </row>
    <row r="73" spans="1:65">
      <c r="A73" t="str">
        <f>IFERROR(IF(0=LEN(ReferenceData!$A$73),"",ReferenceData!$A$73),"")</f>
        <v xml:space="preserve">    Ventas Inc</v>
      </c>
      <c r="B73" t="str">
        <f>IFERROR(IF(0=LEN(ReferenceData!$B$73),"",ReferenceData!$B$73),"")</f>
        <v>VTR US Equity</v>
      </c>
      <c r="C73" t="str">
        <f>IFERROR(IF(0=LEN(ReferenceData!$C$73),"",ReferenceData!$C$73),"")</f>
        <v>RR009</v>
      </c>
      <c r="D73" t="str">
        <f>IFERROR(IF(0=LEN(ReferenceData!$D$73),"",ReferenceData!$D$73),"")</f>
        <v>EBITDA</v>
      </c>
      <c r="E73" t="str">
        <f>IFERROR(IF(0=LEN(ReferenceData!$E$73),"",ReferenceData!$E$73),"")</f>
        <v>动态</v>
      </c>
      <c r="F73" t="str">
        <f ca="1">IFERROR(IF(0=LEN(ReferenceData!$F$73),"",ReferenceData!$F$73),"")</f>
        <v/>
      </c>
      <c r="G73">
        <f ca="1">IFERROR(IF(0=LEN(ReferenceData!$G$73),"",ReferenceData!$G$73),"")</f>
        <v>484.995</v>
      </c>
      <c r="H73">
        <f ca="1">IFERROR(IF(0=LEN(ReferenceData!$H$73),"",ReferenceData!$H$73),"")</f>
        <v>489.18200000000002</v>
      </c>
      <c r="I73">
        <f ca="1">IFERROR(IF(0=LEN(ReferenceData!$I$73),"",ReferenceData!$I$73),"")</f>
        <v>489.78300000000002</v>
      </c>
      <c r="J73">
        <f ca="1">IFERROR(IF(0=LEN(ReferenceData!$J$73),"",ReferenceData!$J$73),"")</f>
        <v>477.70100000000002</v>
      </c>
      <c r="K73">
        <f ca="1">IFERROR(IF(0=LEN(ReferenceData!$K$73),"",ReferenceData!$K$73),"")</f>
        <v>478.161</v>
      </c>
      <c r="L73">
        <f ca="1">IFERROR(IF(0=LEN(ReferenceData!$L$73),"",ReferenceData!$L$73),"")</f>
        <v>457.24099999999999</v>
      </c>
      <c r="M73">
        <f ca="1">IFERROR(IF(0=LEN(ReferenceData!$M$73),"",ReferenceData!$M$73),"")</f>
        <v>455.279</v>
      </c>
      <c r="N73">
        <f ca="1">IFERROR(IF(0=LEN(ReferenceData!$N$73),"",ReferenceData!$N$73),"")</f>
        <v>459.25799999999998</v>
      </c>
      <c r="O73">
        <f ca="1">IFERROR(IF(0=LEN(ReferenceData!$O$73),"",ReferenceData!$O$73),"")</f>
        <v>455.91399999999999</v>
      </c>
      <c r="P73">
        <f ca="1">IFERROR(IF(0=LEN(ReferenceData!$P$73),"",ReferenceData!$P$73),"")</f>
        <v>392.964</v>
      </c>
      <c r="Q73">
        <f ca="1">IFERROR(IF(0=LEN(ReferenceData!$Q$73),"",ReferenceData!$Q$73),"")</f>
        <v>451.76600000000002</v>
      </c>
      <c r="R73">
        <f ca="1">IFERROR(IF(0=LEN(ReferenceData!$R$73),"",ReferenceData!$R$73),"")</f>
        <v>424.17599999999999</v>
      </c>
      <c r="S73">
        <f ca="1">IFERROR(IF(0=LEN(ReferenceData!$S$73),"",ReferenceData!$S$73),"")</f>
        <v>399.96499999999997</v>
      </c>
      <c r="T73">
        <f ca="1">IFERROR(IF(0=LEN(ReferenceData!$T$73),"",ReferenceData!$T$73),"")</f>
        <v>376.40600000000001</v>
      </c>
      <c r="U73">
        <f ca="1">IFERROR(IF(0=LEN(ReferenceData!$U$73),"",ReferenceData!$U$73),"")</f>
        <v>421.21</v>
      </c>
      <c r="V73">
        <f ca="1">IFERROR(IF(0=LEN(ReferenceData!$V$73),"",ReferenceData!$V$73),"")</f>
        <v>407.11500000000001</v>
      </c>
      <c r="W73">
        <f ca="1">IFERROR(IF(0=LEN(ReferenceData!$W$73),"",ReferenceData!$W$73),"")</f>
        <v>409.43400000000003</v>
      </c>
      <c r="X73">
        <f ca="1">IFERROR(IF(0=LEN(ReferenceData!$X$73),"",ReferenceData!$X$73),"")</f>
        <v>401.20400000000001</v>
      </c>
      <c r="Y73">
        <f ca="1">IFERROR(IF(0=LEN(ReferenceData!$Y$73),"",ReferenceData!$Y$73),"")</f>
        <v>401.42500000000001</v>
      </c>
      <c r="Z73">
        <f ca="1">IFERROR(IF(0=LEN(ReferenceData!$Z$73),"",ReferenceData!$Z$73),"")</f>
        <v>392.50799999999998</v>
      </c>
      <c r="AA73">
        <f ca="1">IFERROR(IF(0=LEN(ReferenceData!$AA$73),"",ReferenceData!$AA$73),"")</f>
        <v>375.846</v>
      </c>
      <c r="AB73">
        <f ca="1">IFERROR(IF(0=LEN(ReferenceData!$AB$73),"",ReferenceData!$AB$73),"")</f>
        <v>361.01600000000002</v>
      </c>
      <c r="AC73">
        <f ca="1">IFERROR(IF(0=LEN(ReferenceData!$AC$73),"",ReferenceData!$AC$73),"")</f>
        <v>322.78399999999999</v>
      </c>
      <c r="AD73">
        <f ca="1">IFERROR(IF(0=LEN(ReferenceData!$AD$73),"",ReferenceData!$AD$73),"")</f>
        <v>321.63499999999999</v>
      </c>
      <c r="AE73">
        <f ca="1">IFERROR(IF(0=LEN(ReferenceData!$AE$73),"",ReferenceData!$AE$73),"")</f>
        <v>129.363</v>
      </c>
      <c r="AF73">
        <f ca="1">IFERROR(IF(0=LEN(ReferenceData!$AF$73),"",ReferenceData!$AF$73),"")</f>
        <v>338.02499999999998</v>
      </c>
      <c r="AG73">
        <f ca="1">IFERROR(IF(0=LEN(ReferenceData!$AG$73),"",ReferenceData!$AG$73),"")</f>
        <v>138.19499999999999</v>
      </c>
      <c r="AH73">
        <f ca="1">IFERROR(IF(0=LEN(ReferenceData!$AH$73),"",ReferenceData!$AH$73),"")</f>
        <v>157.709</v>
      </c>
      <c r="AI73">
        <f ca="1">IFERROR(IF(0=LEN(ReferenceData!$AI$73),"",ReferenceData!$AI$73),"")</f>
        <v>160.05500000000001</v>
      </c>
      <c r="AJ73">
        <f ca="1">IFERROR(IF(0=LEN(ReferenceData!$AJ$73),"",ReferenceData!$AJ$73),"")</f>
        <v>153.334</v>
      </c>
      <c r="AK73">
        <f ca="1">IFERROR(IF(0=LEN(ReferenceData!$AK$73),"",ReferenceData!$AK$73),"")</f>
        <v>156.43</v>
      </c>
      <c r="AL73">
        <f ca="1">IFERROR(IF(0=LEN(ReferenceData!$AL$73),"",ReferenceData!$AL$73),"")</f>
        <v>151.38399999999999</v>
      </c>
      <c r="AM73">
        <f ca="1">IFERROR(IF(0=LEN(ReferenceData!$AM$73),"",ReferenceData!$AM$73),"")</f>
        <v>150.03</v>
      </c>
      <c r="AN73">
        <f ca="1">IFERROR(IF(0=LEN(ReferenceData!$AN$73),"",ReferenceData!$AN$73),"")</f>
        <v>143.11500000000001</v>
      </c>
      <c r="AO73">
        <f ca="1">IFERROR(IF(0=LEN(ReferenceData!$AO$73),"",ReferenceData!$AO$73),"")</f>
        <v>145.29499999999999</v>
      </c>
      <c r="AP73">
        <f ca="1">IFERROR(IF(0=LEN(ReferenceData!$AP$73),"",ReferenceData!$AP$73),"")</f>
        <v>141.19399999999999</v>
      </c>
      <c r="AQ73">
        <f ca="1">IFERROR(IF(0=LEN(ReferenceData!$AQ$73),"",ReferenceData!$AQ$73),"")</f>
        <v>327.25</v>
      </c>
      <c r="AR73">
        <f ca="1">IFERROR(IF(0=LEN(ReferenceData!$AR$73),"",ReferenceData!$AR$73),"")</f>
        <v>-34.393000000000001</v>
      </c>
      <c r="AS73">
        <f ca="1">IFERROR(IF(0=LEN(ReferenceData!$AS$73),"",ReferenceData!$AS$73),"")</f>
        <v>147.376</v>
      </c>
      <c r="AT73">
        <f ca="1">IFERROR(IF(0=LEN(ReferenceData!$AT$73),"",ReferenceData!$AT$73),"")</f>
        <v>146.316</v>
      </c>
      <c r="AU73">
        <f ca="1">IFERROR(IF(0=LEN(ReferenceData!$AU$73),"",ReferenceData!$AU$73),"")</f>
        <v>139.19800000000001</v>
      </c>
      <c r="AV73">
        <f ca="1">IFERROR(IF(0=LEN(ReferenceData!$AV$73),"",ReferenceData!$AV$73),"")</f>
        <v>144</v>
      </c>
      <c r="AW73">
        <f ca="1">IFERROR(IF(0=LEN(ReferenceData!$AW$73),"",ReferenceData!$AW$73),"")</f>
        <v>134.92099999999999</v>
      </c>
      <c r="AX73">
        <f ca="1">IFERROR(IF(0=LEN(ReferenceData!$AX$73),"",ReferenceData!$AX$73),"")</f>
        <v>111.15900000000001</v>
      </c>
      <c r="AY73">
        <f ca="1">IFERROR(IF(0=LEN(ReferenceData!$AY$73),"",ReferenceData!$AY$73),"")</f>
        <v>105.605</v>
      </c>
      <c r="AZ73">
        <f ca="1">IFERROR(IF(0=LEN(ReferenceData!$AZ$73),"",ReferenceData!$AZ$73),"")</f>
        <v>96.860230000000001</v>
      </c>
      <c r="BA73">
        <f ca="1">IFERROR(IF(0=LEN(ReferenceData!$BA$73),"",ReferenceData!$BA$73),"")</f>
        <v>90.408000000000001</v>
      </c>
      <c r="BB73">
        <f ca="1">IFERROR(IF(0=LEN(ReferenceData!$BB$73),"",ReferenceData!$BB$73),"")</f>
        <v>90.561000000000007</v>
      </c>
      <c r="BC73">
        <f ca="1">IFERROR(IF(0=LEN(ReferenceData!$BC$73),"",ReferenceData!$BC$73),"")</f>
        <v>89.024000000000001</v>
      </c>
      <c r="BD73">
        <f ca="1">IFERROR(IF(0=LEN(ReferenceData!$BD$73),"",ReferenceData!$BD$73),"")</f>
        <v>90.119</v>
      </c>
      <c r="BE73">
        <f ca="1">IFERROR(IF(0=LEN(ReferenceData!$BE$73),"",ReferenceData!$BE$73),"")</f>
        <v>67.878</v>
      </c>
      <c r="BF73">
        <f ca="1">IFERROR(IF(0=LEN(ReferenceData!$BF$73),"",ReferenceData!$BF$73),"")</f>
        <v>58.430999999999997</v>
      </c>
      <c r="BG73">
        <f ca="1">IFERROR(IF(0=LEN(ReferenceData!$BG$73),"",ReferenceData!$BG$73),"")</f>
        <v>57.692</v>
      </c>
      <c r="BH73">
        <f ca="1">IFERROR(IF(0=LEN(ReferenceData!$BH$73),"",ReferenceData!$BH$73),"")</f>
        <v>57.444000000000003</v>
      </c>
      <c r="BI73">
        <f ca="1">IFERROR(IF(0=LEN(ReferenceData!$BI$73),"",ReferenceData!$BI$73),"")</f>
        <v>54.433</v>
      </c>
      <c r="BJ73">
        <f ca="1">IFERROR(IF(0=LEN(ReferenceData!$BJ$73),"",ReferenceData!$BJ$73),"")</f>
        <v>49.104999999999997</v>
      </c>
      <c r="BK73">
        <f ca="1">IFERROR(IF(0=LEN(ReferenceData!$BK$73),"",ReferenceData!$BK$73),"")</f>
        <v>46.167999270000003</v>
      </c>
      <c r="BL73">
        <f ca="1">IFERROR(IF(0=LEN(ReferenceData!$BL$73),"",ReferenceData!$BL$73),"")</f>
        <v>46.493999479999999</v>
      </c>
      <c r="BM73">
        <f ca="1">IFERROR(IF(0=LEN(ReferenceData!$BM$73),"",ReferenceData!$BM$73),"")</f>
        <v>43.374000000000002</v>
      </c>
    </row>
    <row r="74" spans="1:65">
      <c r="A74" t="str">
        <f>IFERROR(IF(0=LEN(ReferenceData!$A$74),"",ReferenceData!$A$74),"")</f>
        <v xml:space="preserve">    Welltower Inc</v>
      </c>
      <c r="B74" t="str">
        <f>IFERROR(IF(0=LEN(ReferenceData!$B$74),"",ReferenceData!$B$74),"")</f>
        <v>HCN US Equity</v>
      </c>
      <c r="C74" t="str">
        <f>IFERROR(IF(0=LEN(ReferenceData!$C$74),"",ReferenceData!$C$74),"")</f>
        <v>RR009</v>
      </c>
      <c r="D74" t="str">
        <f>IFERROR(IF(0=LEN(ReferenceData!$D$74),"",ReferenceData!$D$74),"")</f>
        <v>EBITDA</v>
      </c>
      <c r="E74" t="str">
        <f>IFERROR(IF(0=LEN(ReferenceData!$E$74),"",ReferenceData!$E$74),"")</f>
        <v>动态</v>
      </c>
      <c r="F74" t="str">
        <f ca="1">IFERROR(IF(0=LEN(ReferenceData!$F$74),"",ReferenceData!$F$74),"")</f>
        <v/>
      </c>
      <c r="G74">
        <f ca="1">IFERROR(IF(0=LEN(ReferenceData!$G$74),"",ReferenceData!$G$74),"")</f>
        <v>305.21100000000001</v>
      </c>
      <c r="H74">
        <f ca="1">IFERROR(IF(0=LEN(ReferenceData!$H$74),"",ReferenceData!$H$74),"")</f>
        <v>437.786</v>
      </c>
      <c r="I74">
        <f ca="1">IFERROR(IF(0=LEN(ReferenceData!$I$74),"",ReferenceData!$I$74),"")</f>
        <v>503.45</v>
      </c>
      <c r="J74">
        <f ca="1">IFERROR(IF(0=LEN(ReferenceData!$J$74),"",ReferenceData!$J$74),"")</f>
        <v>497.10599999999999</v>
      </c>
      <c r="K74">
        <f ca="1">IFERROR(IF(0=LEN(ReferenceData!$K$74),"",ReferenceData!$K$74),"")</f>
        <v>508.62700000000001</v>
      </c>
      <c r="L74">
        <f ca="1">IFERROR(IF(0=LEN(ReferenceData!$L$74),"",ReferenceData!$L$74),"")</f>
        <v>541.62400000000002</v>
      </c>
      <c r="M74">
        <f ca="1">IFERROR(IF(0=LEN(ReferenceData!$M$74),"",ReferenceData!$M$74),"")</f>
        <v>569.69500000000005</v>
      </c>
      <c r="N74">
        <f ca="1">IFERROR(IF(0=LEN(ReferenceData!$N$74),"",ReferenceData!$N$74),"")</f>
        <v>529.43100000000004</v>
      </c>
      <c r="O74">
        <f ca="1">IFERROR(IF(0=LEN(ReferenceData!$O$74),"",ReferenceData!$O$74),"")</f>
        <v>478.85199999999998</v>
      </c>
      <c r="P74">
        <f ca="1">IFERROR(IF(0=LEN(ReferenceData!$P$74),"",ReferenceData!$P$74),"")</f>
        <v>526.005</v>
      </c>
      <c r="Q74">
        <f ca="1">IFERROR(IF(0=LEN(ReferenceData!$Q$74),"",ReferenceData!$Q$74),"")</f>
        <v>498.024</v>
      </c>
      <c r="R74">
        <f ca="1">IFERROR(IF(0=LEN(ReferenceData!$R$74),"",ReferenceData!$R$74),"")</f>
        <v>431.91699999999997</v>
      </c>
      <c r="S74">
        <f ca="1">IFERROR(IF(0=LEN(ReferenceData!$S$74),"",ReferenceData!$S$74),"")</f>
        <v>429.38200000000001</v>
      </c>
      <c r="T74">
        <f ca="1">IFERROR(IF(0=LEN(ReferenceData!$T$74),"",ReferenceData!$T$74),"")</f>
        <v>437.88600000000002</v>
      </c>
      <c r="U74">
        <f ca="1">IFERROR(IF(0=LEN(ReferenceData!$U$74),"",ReferenceData!$U$74),"")</f>
        <v>424.09</v>
      </c>
      <c r="V74">
        <f ca="1">IFERROR(IF(0=LEN(ReferenceData!$V$74),"",ReferenceData!$V$74),"")</f>
        <v>426.82499999999999</v>
      </c>
      <c r="W74">
        <f ca="1">IFERROR(IF(0=LEN(ReferenceData!$W$74),"",ReferenceData!$W$74),"")</f>
        <v>596.94299999999998</v>
      </c>
      <c r="X74">
        <f ca="1">IFERROR(IF(0=LEN(ReferenceData!$X$74),"",ReferenceData!$X$74),"")</f>
        <v>391.50200000000001</v>
      </c>
      <c r="Y74">
        <f ca="1">IFERROR(IF(0=LEN(ReferenceData!$Y$74),"",ReferenceData!$Y$74),"")</f>
        <v>351.02499999999998</v>
      </c>
      <c r="Z74">
        <f ca="1">IFERROR(IF(0=LEN(ReferenceData!$Z$74),"",ReferenceData!$Z$74),"")</f>
        <v>352.32799999999997</v>
      </c>
      <c r="AA74">
        <f ca="1">IFERROR(IF(0=LEN(ReferenceData!$AA$74),"",ReferenceData!$AA$74),"")</f>
        <v>300.69400000000002</v>
      </c>
      <c r="AB74">
        <f ca="1">IFERROR(IF(0=LEN(ReferenceData!$AB$74),"",ReferenceData!$AB$74),"")</f>
        <v>264.45100000000002</v>
      </c>
      <c r="AC74">
        <f ca="1">IFERROR(IF(0=LEN(ReferenceData!$AC$74),"",ReferenceData!$AC$74),"")</f>
        <v>253.73</v>
      </c>
      <c r="AD74">
        <f ca="1">IFERROR(IF(0=LEN(ReferenceData!$AD$74),"",ReferenceData!$AD$74),"")</f>
        <v>262.12799999999999</v>
      </c>
      <c r="AE74">
        <f ca="1">IFERROR(IF(0=LEN(ReferenceData!$AE$74),"",ReferenceData!$AE$74),"")</f>
        <v>242.89</v>
      </c>
      <c r="AF74">
        <f ca="1">IFERROR(IF(0=LEN(ReferenceData!$AF$74),"",ReferenceData!$AF$74),"")</f>
        <v>244.523</v>
      </c>
      <c r="AG74">
        <f ca="1">IFERROR(IF(0=LEN(ReferenceData!$AG$74),"",ReferenceData!$AG$74),"")</f>
        <v>239.726</v>
      </c>
      <c r="AH74">
        <f ca="1">IFERROR(IF(0=LEN(ReferenceData!$AH$74),"",ReferenceData!$AH$74),"")</f>
        <v>131.53299999999999</v>
      </c>
      <c r="AI74">
        <f ca="1">IFERROR(IF(0=LEN(ReferenceData!$AI$74),"",ReferenceData!$AI$74),"")</f>
        <v>130.74</v>
      </c>
      <c r="AJ74">
        <f ca="1">IFERROR(IF(0=LEN(ReferenceData!$AJ$74),"",ReferenceData!$AJ$74),"")</f>
        <v>89.447999999999993</v>
      </c>
      <c r="AK74">
        <f ca="1">IFERROR(IF(0=LEN(ReferenceData!$AK$74),"",ReferenceData!$AK$74),"")</f>
        <v>131.75399999999999</v>
      </c>
      <c r="AL74">
        <f ca="1">IFERROR(IF(0=LEN(ReferenceData!$AL$74),"",ReferenceData!$AL$74),"")</f>
        <v>110.771</v>
      </c>
      <c r="AM74">
        <f ca="1">IFERROR(IF(0=LEN(ReferenceData!$AM$74),"",ReferenceData!$AM$74),"")</f>
        <v>85.998000000000005</v>
      </c>
      <c r="AN74">
        <f ca="1">IFERROR(IF(0=LEN(ReferenceData!$AN$74),"",ReferenceData!$AN$74),"")</f>
        <v>131.25</v>
      </c>
      <c r="AO74">
        <f ca="1">IFERROR(IF(0=LEN(ReferenceData!$AO$74),"",ReferenceData!$AO$74),"")</f>
        <v>118.985</v>
      </c>
      <c r="AP74">
        <f ca="1">IFERROR(IF(0=LEN(ReferenceData!$AP$74),"",ReferenceData!$AP$74),"")</f>
        <v>113.068</v>
      </c>
      <c r="AQ74">
        <f ca="1">IFERROR(IF(0=LEN(ReferenceData!$AQ$74),"",ReferenceData!$AQ$74),"")</f>
        <v>46.820999999999998</v>
      </c>
      <c r="AR74">
        <f ca="1">IFERROR(IF(0=LEN(ReferenceData!$AR$74),"",ReferenceData!$AR$74),"")</f>
        <v>125.375</v>
      </c>
      <c r="AS74">
        <f ca="1">IFERROR(IF(0=LEN(ReferenceData!$AS$74),"",ReferenceData!$AS$74),"")</f>
        <v>118.258</v>
      </c>
      <c r="AT74">
        <f ca="1">IFERROR(IF(0=LEN(ReferenceData!$AT$74),"",ReferenceData!$AT$74),"")</f>
        <v>106.55800000000001</v>
      </c>
      <c r="AU74">
        <f ca="1">IFERROR(IF(0=LEN(ReferenceData!$AU$74),"",ReferenceData!$AU$74),"")</f>
        <v>104.218</v>
      </c>
      <c r="AV74">
        <f ca="1">IFERROR(IF(0=LEN(ReferenceData!$AV$74),"",ReferenceData!$AV$74),"")</f>
        <v>102.788</v>
      </c>
      <c r="AW74">
        <f ca="1">IFERROR(IF(0=LEN(ReferenceData!$AW$74),"",ReferenceData!$AW$74),"")</f>
        <v>97.938000000000002</v>
      </c>
      <c r="AX74">
        <f ca="1">IFERROR(IF(0=LEN(ReferenceData!$AX$74),"",ReferenceData!$AX$74),"")</f>
        <v>92.738</v>
      </c>
      <c r="AY74">
        <f ca="1">IFERROR(IF(0=LEN(ReferenceData!$AY$74),"",ReferenceData!$AY$74),"")</f>
        <v>73.691999999999993</v>
      </c>
      <c r="AZ74">
        <f ca="1">IFERROR(IF(0=LEN(ReferenceData!$AZ$74),"",ReferenceData!$AZ$74),"")</f>
        <v>75.100999999999999</v>
      </c>
      <c r="BA74">
        <f ca="1">IFERROR(IF(0=LEN(ReferenceData!$BA$74),"",ReferenceData!$BA$74),"")</f>
        <v>71.7</v>
      </c>
      <c r="BB74">
        <f ca="1">IFERROR(IF(0=LEN(ReferenceData!$BB$74),"",ReferenceData!$BB$74),"")</f>
        <v>73.715000000000003</v>
      </c>
      <c r="BC74">
        <f ca="1">IFERROR(IF(0=LEN(ReferenceData!$BC$74),"",ReferenceData!$BC$74),"")</f>
        <v>73.554000000000002</v>
      </c>
      <c r="BD74">
        <f ca="1">IFERROR(IF(0=LEN(ReferenceData!$BD$74),"",ReferenceData!$BD$74),"")</f>
        <v>67.736999999999995</v>
      </c>
      <c r="BE74">
        <f ca="1">IFERROR(IF(0=LEN(ReferenceData!$BE$74),"",ReferenceData!$BE$74),"")</f>
        <v>64.096999999999994</v>
      </c>
      <c r="BF74">
        <f ca="1">IFERROR(IF(0=LEN(ReferenceData!$BF$74),"",ReferenceData!$BF$74),"")</f>
        <v>62.875999999999998</v>
      </c>
      <c r="BG74">
        <f ca="1">IFERROR(IF(0=LEN(ReferenceData!$BG$74),"",ReferenceData!$BG$74),"")</f>
        <v>53.094000000000001</v>
      </c>
      <c r="BH74">
        <f ca="1">IFERROR(IF(0=LEN(ReferenceData!$BH$74),"",ReferenceData!$BH$74),"")</f>
        <v>59.927</v>
      </c>
      <c r="BI74">
        <f ca="1">IFERROR(IF(0=LEN(ReferenceData!$BI$74),"",ReferenceData!$BI$74),"")</f>
        <v>55.923999999999999</v>
      </c>
      <c r="BJ74">
        <f ca="1">IFERROR(IF(0=LEN(ReferenceData!$BJ$74),"",ReferenceData!$BJ$74),"")</f>
        <v>57.728999999999999</v>
      </c>
      <c r="BK74">
        <f ca="1">IFERROR(IF(0=LEN(ReferenceData!$BK$74),"",ReferenceData!$BK$74),"")</f>
        <v>56.305000999999997</v>
      </c>
      <c r="BL74">
        <f ca="1">IFERROR(IF(0=LEN(ReferenceData!$BL$74),"",ReferenceData!$BL$74),"")</f>
        <v>46.713999999999999</v>
      </c>
      <c r="BM74">
        <f ca="1">IFERROR(IF(0=LEN(ReferenceData!$BM$74),"",ReferenceData!$BM$74),"")</f>
        <v>42.853999999999999</v>
      </c>
    </row>
    <row r="75" spans="1:65">
      <c r="A75" t="str">
        <f>IFERROR(IF(0=LEN(ReferenceData!$A$75),"",ReferenceData!$A$75),"")</f>
        <v>调整后EBITDA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Median</v>
      </c>
      <c r="F75" t="str">
        <f ca="1">IFERROR(IF(0=LEN(ReferenceData!$F$75),"",ReferenceData!$F$75),"")</f>
        <v/>
      </c>
      <c r="G75">
        <f ca="1">IFERROR(IF(0=LEN(ReferenceData!$G$75),"",ReferenceData!$G$75),"")</f>
        <v>256.56099999999998</v>
      </c>
      <c r="H75">
        <f ca="1">IFERROR(IF(0=LEN(ReferenceData!$H$75),"",ReferenceData!$H$75),"")</f>
        <v>257.11799999999999</v>
      </c>
      <c r="I75">
        <f ca="1">IFERROR(IF(0=LEN(ReferenceData!$I$75),"",ReferenceData!$I$75),"")</f>
        <v>213.095</v>
      </c>
      <c r="J75">
        <f ca="1">IFERROR(IF(0=LEN(ReferenceData!$J$75),"",ReferenceData!$J$75),"")</f>
        <v>225.31899999999999</v>
      </c>
      <c r="K75">
        <f ca="1">IFERROR(IF(0=LEN(ReferenceData!$K$75),"",ReferenceData!$K$75),"")</f>
        <v>228.57</v>
      </c>
      <c r="L75">
        <f ca="1">IFERROR(IF(0=LEN(ReferenceData!$L$75),"",ReferenceData!$L$75),"")</f>
        <v>153.667</v>
      </c>
      <c r="M75">
        <f ca="1">IFERROR(IF(0=LEN(ReferenceData!$M$75),"",ReferenceData!$M$75),"")</f>
        <v>187.161</v>
      </c>
      <c r="N75">
        <f ca="1">IFERROR(IF(0=LEN(ReferenceData!$N$75),"",ReferenceData!$N$75),"")</f>
        <v>179.005</v>
      </c>
      <c r="O75">
        <f ca="1">IFERROR(IF(0=LEN(ReferenceData!$O$75),"",ReferenceData!$O$75),"")</f>
        <v>177.113</v>
      </c>
      <c r="P75">
        <f ca="1">IFERROR(IF(0=LEN(ReferenceData!$P$75),"",ReferenceData!$P$75),"")</f>
        <v>172.411</v>
      </c>
      <c r="Q75">
        <f ca="1">IFERROR(IF(0=LEN(ReferenceData!$Q$75),"",ReferenceData!$Q$75),"")</f>
        <v>168.09699999999998</v>
      </c>
      <c r="R75">
        <f ca="1">IFERROR(IF(0=LEN(ReferenceData!$R$75),"",ReferenceData!$R$75),"")</f>
        <v>135.905</v>
      </c>
      <c r="S75">
        <f ca="1">IFERROR(IF(0=LEN(ReferenceData!$S$75),"",ReferenceData!$S$75),"")</f>
        <v>128.548</v>
      </c>
      <c r="T75">
        <f ca="1">IFERROR(IF(0=LEN(ReferenceData!$T$75),"",ReferenceData!$T$75),"")</f>
        <v>127.375</v>
      </c>
      <c r="U75">
        <f ca="1">IFERROR(IF(0=LEN(ReferenceData!$U$75),"",ReferenceData!$U$75),"")</f>
        <v>119.9785</v>
      </c>
      <c r="V75">
        <f ca="1">IFERROR(IF(0=LEN(ReferenceData!$V$75),"",ReferenceData!$V$75),"")</f>
        <v>113.521</v>
      </c>
      <c r="W75">
        <f ca="1">IFERROR(IF(0=LEN(ReferenceData!$W$75),"",ReferenceData!$W$75),"")</f>
        <v>112.364</v>
      </c>
      <c r="X75">
        <f ca="1">IFERROR(IF(0=LEN(ReferenceData!$X$75),"",ReferenceData!$X$75),"")</f>
        <v>108.375</v>
      </c>
      <c r="Y75">
        <f ca="1">IFERROR(IF(0=LEN(ReferenceData!$Y$75),"",ReferenceData!$Y$75),"")</f>
        <v>108.764</v>
      </c>
      <c r="Z75">
        <f ca="1">IFERROR(IF(0=LEN(ReferenceData!$Z$75),"",ReferenceData!$Z$75),"")</f>
        <v>247.49100000000001</v>
      </c>
      <c r="AA75">
        <f ca="1">IFERROR(IF(0=LEN(ReferenceData!$AA$75),"",ReferenceData!$AA$75),"")</f>
        <v>226.95600000000002</v>
      </c>
      <c r="AB75">
        <f ca="1">IFERROR(IF(0=LEN(ReferenceData!$AB$75),"",ReferenceData!$AB$75),"")</f>
        <v>209.2475</v>
      </c>
      <c r="AC75">
        <f ca="1">IFERROR(IF(0=LEN(ReferenceData!$AC$75),"",ReferenceData!$AC$75),"")</f>
        <v>206.1515</v>
      </c>
      <c r="AD75">
        <f ca="1">IFERROR(IF(0=LEN(ReferenceData!$AD$75),"",ReferenceData!$AD$75),"")</f>
        <v>316.10149999999999</v>
      </c>
      <c r="AE75">
        <f ca="1">IFERROR(IF(0=LEN(ReferenceData!$AE$75),"",ReferenceData!$AE$75),"")</f>
        <v>337.08</v>
      </c>
      <c r="AF75">
        <f ca="1">IFERROR(IF(0=LEN(ReferenceData!$AF$75),"",ReferenceData!$AF$75),"")</f>
        <v>257.92599999999999</v>
      </c>
      <c r="AG75">
        <f ca="1">IFERROR(IF(0=LEN(ReferenceData!$AG$75),"",ReferenceData!$AG$75),"")</f>
        <v>241.851</v>
      </c>
      <c r="AH75">
        <f ca="1">IFERROR(IF(0=LEN(ReferenceData!$AH$75),"",ReferenceData!$AH$75),"")</f>
        <v>167.4</v>
      </c>
      <c r="AI75">
        <f ca="1">IFERROR(IF(0=LEN(ReferenceData!$AI$75),"",ReferenceData!$AI$75),"")</f>
        <v>173.74799999999999</v>
      </c>
      <c r="AJ75">
        <f ca="1">IFERROR(IF(0=LEN(ReferenceData!$AJ$75),"",ReferenceData!$AJ$75),"")</f>
        <v>167.745</v>
      </c>
      <c r="AK75">
        <f ca="1">IFERROR(IF(0=LEN(ReferenceData!$AK$75),"",ReferenceData!$AK$75),"")</f>
        <v>162.75299999999999</v>
      </c>
      <c r="AL75">
        <f ca="1">IFERROR(IF(0=LEN(ReferenceData!$AL$75),"",ReferenceData!$AL$75),"")</f>
        <v>155.86699999999999</v>
      </c>
      <c r="AM75">
        <f ca="1">IFERROR(IF(0=LEN(ReferenceData!$AM$75),"",ReferenceData!$AM$75),"")</f>
        <v>155.363</v>
      </c>
      <c r="AN75">
        <f ca="1">IFERROR(IF(0=LEN(ReferenceData!$AN$75),"",ReferenceData!$AN$75),"")</f>
        <v>153.18100000000001</v>
      </c>
      <c r="AO75">
        <f ca="1">IFERROR(IF(0=LEN(ReferenceData!$AO$75),"",ReferenceData!$AO$75),"")</f>
        <v>156.17500000000001</v>
      </c>
      <c r="AP75">
        <f ca="1">IFERROR(IF(0=LEN(ReferenceData!$AP$75),"",ReferenceData!$AP$75),"")</f>
        <v>148.78800000000001</v>
      </c>
      <c r="AQ75">
        <f ca="1">IFERROR(IF(0=LEN(ReferenceData!$AQ$75),"",ReferenceData!$AQ$75),"")</f>
        <v>232.47499999999999</v>
      </c>
      <c r="AR75">
        <f ca="1">IFERROR(IF(0=LEN(ReferenceData!$AR$75),"",ReferenceData!$AR$75),"")</f>
        <v>154.56150000000002</v>
      </c>
      <c r="AS75">
        <f ca="1">IFERROR(IF(0=LEN(ReferenceData!$AS$75),"",ReferenceData!$AS$75),"")</f>
        <v>174.38900000000001</v>
      </c>
      <c r="AT75">
        <f ca="1">IFERROR(IF(0=LEN(ReferenceData!$AT$75),"",ReferenceData!$AT$75),"")</f>
        <v>176.6985</v>
      </c>
      <c r="AU75">
        <f ca="1">IFERROR(IF(0=LEN(ReferenceData!$AU$75),"",ReferenceData!$AU$75),"")</f>
        <v>238.45</v>
      </c>
      <c r="AV75">
        <f ca="1">IFERROR(IF(0=LEN(ReferenceData!$AV$75),"",ReferenceData!$AV$75),"")</f>
        <v>130.59100000000001</v>
      </c>
      <c r="AW75">
        <f ca="1">IFERROR(IF(0=LEN(ReferenceData!$AW$75),"",ReferenceData!$AW$75),"")</f>
        <v>157.5095</v>
      </c>
      <c r="AX75">
        <f ca="1">IFERROR(IF(0=LEN(ReferenceData!$AX$75),"",ReferenceData!$AX$75),"")</f>
        <v>148.93</v>
      </c>
      <c r="AY75">
        <f ca="1">IFERROR(IF(0=LEN(ReferenceData!$AY$75),"",ReferenceData!$AY$75),"")</f>
        <v>135.30449999999999</v>
      </c>
      <c r="AZ75">
        <f ca="1">IFERROR(IF(0=LEN(ReferenceData!$AZ$75),"",ReferenceData!$AZ$75),"")</f>
        <v>96.932999999999993</v>
      </c>
      <c r="BA75">
        <f ca="1">IFERROR(IF(0=LEN(ReferenceData!$BA$75),"",ReferenceData!$BA$75),"")</f>
        <v>94.632499999999993</v>
      </c>
      <c r="BB75">
        <f ca="1">IFERROR(IF(0=LEN(ReferenceData!$BB$75),"",ReferenceData!$BB$75),"")</f>
        <v>97.450999999999993</v>
      </c>
      <c r="BC75" t="str">
        <f ca="1">IFERROR(IF(0=LEN(ReferenceData!$BC$75),"",ReferenceData!$BC$75),"")</f>
        <v/>
      </c>
      <c r="BD75" t="str">
        <f ca="1">IFERROR(IF(0=LEN(ReferenceData!$BD$75),"",ReferenceData!$BD$75),"")</f>
        <v/>
      </c>
      <c r="BE75" t="str">
        <f ca="1">IFERROR(IF(0=LEN(ReferenceData!$BE$75),"",ReferenceData!$BE$75),"")</f>
        <v/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 t="str">
        <f ca="1">IFERROR(IF(0=LEN(ReferenceData!$BI$75),"",ReferenceData!$BI$75),"")</f>
        <v/>
      </c>
      <c r="BJ75" t="str">
        <f ca="1">IFERROR(IF(0=LEN(ReferenceData!$BJ$75),"",ReferenceData!$BJ$75),"")</f>
        <v/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>
      <c r="A76" t="str">
        <f>IFERROR(IF(0=LEN(ReferenceData!$A$76),"",ReferenceData!$A$76),"")</f>
        <v xml:space="preserve">    Alexandria Real Estate Equitie</v>
      </c>
      <c r="B76" t="str">
        <f>IFERROR(IF(0=LEN(ReferenceData!$B$76),"",ReferenceData!$B$76),"")</f>
        <v>ARE US Equity</v>
      </c>
      <c r="C76" t="str">
        <f>IFERROR(IF(0=LEN(ReferenceData!$C$76),"",ReferenceData!$C$76),"")</f>
        <v>IS972</v>
      </c>
      <c r="D76" t="str">
        <f>IFERROR(IF(0=LEN(ReferenceData!$D$76),"",ReferenceData!$D$76),"")</f>
        <v>IS_ADJUSTED_EBITDA_AS_REPORTED</v>
      </c>
      <c r="E76" t="str">
        <f>IFERROR(IF(0=LEN(ReferenceData!$E$76),"",ReferenceData!$E$76),"")</f>
        <v>动态</v>
      </c>
      <c r="F76" t="str">
        <f ca="1">IFERROR(IF(0=LEN(ReferenceData!$F$76),"",ReferenceData!$F$76),"")</f>
        <v/>
      </c>
      <c r="G76">
        <f ca="1">IFERROR(IF(0=LEN(ReferenceData!$G$76),"",ReferenceData!$G$76),"")</f>
        <v>204.34800000000001</v>
      </c>
      <c r="H76">
        <f ca="1">IFERROR(IF(0=LEN(ReferenceData!$H$76),"",ReferenceData!$H$76),"")</f>
        <v>193.45699999999999</v>
      </c>
      <c r="I76">
        <f ca="1">IFERROR(IF(0=LEN(ReferenceData!$I$76),"",ReferenceData!$I$76),"")</f>
        <v>188.762</v>
      </c>
      <c r="J76">
        <f ca="1">IFERROR(IF(0=LEN(ReferenceData!$J$76),"",ReferenceData!$J$76),"")</f>
        <v>180.941</v>
      </c>
      <c r="K76">
        <f ca="1">IFERROR(IF(0=LEN(ReferenceData!$K$76),"",ReferenceData!$K$76),"")</f>
        <v>165.709</v>
      </c>
      <c r="L76">
        <f ca="1">IFERROR(IF(0=LEN(ReferenceData!$L$76),"",ReferenceData!$L$76),"")</f>
        <v>153.667</v>
      </c>
      <c r="M76">
        <f ca="1">IFERROR(IF(0=LEN(ReferenceData!$M$76),"",ReferenceData!$M$76),"")</f>
        <v>145.29400000000001</v>
      </c>
      <c r="N76">
        <f ca="1">IFERROR(IF(0=LEN(ReferenceData!$N$76),"",ReferenceData!$N$76),"")</f>
        <v>136.29900000000001</v>
      </c>
      <c r="O76">
        <f ca="1">IFERROR(IF(0=LEN(ReferenceData!$O$76),"",ReferenceData!$O$76),"")</f>
        <v>146.51599999999999</v>
      </c>
      <c r="P76">
        <f ca="1">IFERROR(IF(0=LEN(ReferenceData!$P$76),"",ReferenceData!$P$76),"")</f>
        <v>141.90100000000001</v>
      </c>
      <c r="Q76">
        <f ca="1">IFERROR(IF(0=LEN(ReferenceData!$Q$76),"",ReferenceData!$Q$76),"")</f>
        <v>133.226</v>
      </c>
      <c r="R76">
        <f ca="1">IFERROR(IF(0=LEN(ReferenceData!$R$76),"",ReferenceData!$R$76),"")</f>
        <v>126.77200000000001</v>
      </c>
      <c r="S76">
        <f ca="1">IFERROR(IF(0=LEN(ReferenceData!$S$76),"",ReferenceData!$S$76),"")</f>
        <v>123.358</v>
      </c>
      <c r="T76">
        <f ca="1">IFERROR(IF(0=LEN(ReferenceData!$T$76),"",ReferenceData!$T$76),"")</f>
        <v>118.471</v>
      </c>
      <c r="U76">
        <f ca="1">IFERROR(IF(0=LEN(ReferenceData!$U$76),"",ReferenceData!$U$76),"")</f>
        <v>113.142</v>
      </c>
      <c r="V76">
        <f ca="1">IFERROR(IF(0=LEN(ReferenceData!$V$76),"",ReferenceData!$V$76),"")</f>
        <v>113.521</v>
      </c>
      <c r="W76">
        <f ca="1">IFERROR(IF(0=LEN(ReferenceData!$W$76),"",ReferenceData!$W$76),"")</f>
        <v>112.364</v>
      </c>
      <c r="X76">
        <f ca="1">IFERROR(IF(0=LEN(ReferenceData!$X$76),"",ReferenceData!$X$76),"")</f>
        <v>102.887</v>
      </c>
      <c r="Y76">
        <f ca="1">IFERROR(IF(0=LEN(ReferenceData!$Y$76),"",ReferenceData!$Y$76),"")</f>
        <v>99.927000000000007</v>
      </c>
      <c r="Z76">
        <f ca="1">IFERROR(IF(0=LEN(ReferenceData!$Z$76),"",ReferenceData!$Z$76),"")</f>
        <v>112.364</v>
      </c>
      <c r="AA76">
        <f ca="1">IFERROR(IF(0=LEN(ReferenceData!$AA$76),"",ReferenceData!$AA$76),"")</f>
        <v>102.21899999999999</v>
      </c>
      <c r="AB76">
        <f ca="1">IFERROR(IF(0=LEN(ReferenceData!$AB$76),"",ReferenceData!$AB$76),"")</f>
        <v>95.653999999999996</v>
      </c>
      <c r="AC76">
        <f ca="1">IFERROR(IF(0=LEN(ReferenceData!$AC$76),"",ReferenceData!$AC$76),"")</f>
        <v>100.792</v>
      </c>
      <c r="AD76">
        <f ca="1">IFERROR(IF(0=LEN(ReferenceData!$AD$76),"",ReferenceData!$AD$76),"")</f>
        <v>94.459000000000003</v>
      </c>
      <c r="AE76">
        <f ca="1">IFERROR(IF(0=LEN(ReferenceData!$AE$76),"",ReferenceData!$AE$76),"")</f>
        <v>94.491</v>
      </c>
      <c r="AF76">
        <f ca="1">IFERROR(IF(0=LEN(ReferenceData!$AF$76),"",ReferenceData!$AF$76),"")</f>
        <v>94.292000000000002</v>
      </c>
      <c r="AG76">
        <f ca="1">IFERROR(IF(0=LEN(ReferenceData!$AG$76),"",ReferenceData!$AG$76),"")</f>
        <v>95.242000000000004</v>
      </c>
      <c r="AH76">
        <f ca="1">IFERROR(IF(0=LEN(ReferenceData!$AH$76),"",ReferenceData!$AH$76),"")</f>
        <v>92.025000000000006</v>
      </c>
      <c r="AI76">
        <f ca="1">IFERROR(IF(0=LEN(ReferenceData!$AI$76),"",ReferenceData!$AI$76),"")</f>
        <v>89.438999999999993</v>
      </c>
      <c r="AJ76">
        <f ca="1">IFERROR(IF(0=LEN(ReferenceData!$AJ$76),"",ReferenceData!$AJ$76),"")</f>
        <v>82.540999999999997</v>
      </c>
      <c r="AK76">
        <f ca="1">IFERROR(IF(0=LEN(ReferenceData!$AK$76),"",ReferenceData!$AK$76),"")</f>
        <v>81.05</v>
      </c>
      <c r="AL76">
        <f ca="1">IFERROR(IF(0=LEN(ReferenceData!$AL$76),"",ReferenceData!$AL$76),"")</f>
        <v>78.792000000000002</v>
      </c>
      <c r="AM76">
        <f ca="1">IFERROR(IF(0=LEN(ReferenceData!$AM$76),"",ReferenceData!$AM$76),"")</f>
        <v>81.162000000000006</v>
      </c>
      <c r="AN76">
        <f ca="1">IFERROR(IF(0=LEN(ReferenceData!$AN$76),"",ReferenceData!$AN$76),"")</f>
        <v>80.08</v>
      </c>
      <c r="AO76">
        <f ca="1">IFERROR(IF(0=LEN(ReferenceData!$AO$76),"",ReferenceData!$AO$76),"")</f>
        <v>87.650999999999996</v>
      </c>
      <c r="AP76">
        <f ca="1">IFERROR(IF(0=LEN(ReferenceData!$AP$76),"",ReferenceData!$AP$76),"")</f>
        <v>93.704999999999998</v>
      </c>
      <c r="AQ76">
        <f ca="1">IFERROR(IF(0=LEN(ReferenceData!$AQ$76),"",ReferenceData!$AQ$76),"")</f>
        <v>92.394999999999996</v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  <c r="AT76" t="str">
        <f ca="1">IFERROR(IF(0=LEN(ReferenceData!$AT$76),"",ReferenceData!$AT$76),"")</f>
        <v/>
      </c>
      <c r="AU76" t="str">
        <f ca="1">IFERROR(IF(0=LEN(ReferenceData!$AU$76),"",ReferenceData!$AU$76),"")</f>
        <v/>
      </c>
      <c r="AV76" t="str">
        <f ca="1">IFERROR(IF(0=LEN(ReferenceData!$AV$76),"",ReferenceData!$AV$76),"")</f>
        <v/>
      </c>
      <c r="AW76" t="str">
        <f ca="1">IFERROR(IF(0=LEN(ReferenceData!$AW$76),"",ReferenceData!$AW$76),"")</f>
        <v/>
      </c>
      <c r="AX76" t="str">
        <f ca="1">IFERROR(IF(0=LEN(ReferenceData!$AX$76),"",ReferenceData!$AX$76),"")</f>
        <v/>
      </c>
      <c r="AY76" t="str">
        <f ca="1">IFERROR(IF(0=LEN(ReferenceData!$AY$76),"",ReferenceData!$AY$76),"")</f>
        <v/>
      </c>
      <c r="AZ76" t="str">
        <f ca="1">IFERROR(IF(0=LEN(ReferenceData!$AZ$76),"",ReferenceData!$AZ$76),"")</f>
        <v/>
      </c>
      <c r="BA76" t="str">
        <f ca="1">IFERROR(IF(0=LEN(ReferenceData!$BA$76),"",ReferenceData!$BA$76),"")</f>
        <v/>
      </c>
      <c r="BB76" t="str">
        <f ca="1">IFERROR(IF(0=LEN(ReferenceData!$BB$76),"",ReferenceData!$BB$76),"")</f>
        <v/>
      </c>
      <c r="BC76" t="str">
        <f ca="1">IFERROR(IF(0=LEN(ReferenceData!$BC$76),"",ReferenceData!$BC$76),"")</f>
        <v/>
      </c>
      <c r="BD76" t="str">
        <f ca="1">IFERROR(IF(0=LEN(ReferenceData!$BD$76),"",ReferenceData!$BD$76),"")</f>
        <v/>
      </c>
      <c r="BE76" t="str">
        <f ca="1">IFERROR(IF(0=LEN(ReferenceData!$BE$76),"",ReferenceData!$BE$76),"")</f>
        <v/>
      </c>
      <c r="BF76" t="str">
        <f ca="1">IFERROR(IF(0=LEN(ReferenceData!$BF$76),"",ReferenceData!$BF$76),"")</f>
        <v/>
      </c>
      <c r="BG76" t="str">
        <f ca="1">IFERROR(IF(0=LEN(ReferenceData!$BG$76),"",ReferenceData!$BG$76),"")</f>
        <v/>
      </c>
      <c r="BH76" t="str">
        <f ca="1">IFERROR(IF(0=LEN(ReferenceData!$BH$76),"",ReferenceData!$BH$76),"")</f>
        <v/>
      </c>
      <c r="BI76" t="str">
        <f ca="1">IFERROR(IF(0=LEN(ReferenceData!$BI$76),"",ReferenceData!$BI$76),"")</f>
        <v/>
      </c>
      <c r="BJ76" t="str">
        <f ca="1">IFERROR(IF(0=LEN(ReferenceData!$BJ$76),"",ReferenceData!$BJ$76),"")</f>
        <v/>
      </c>
      <c r="BK76" t="str">
        <f ca="1">IFERROR(IF(0=LEN(ReferenceData!$BK$76),"",ReferenceData!$BK$76),"")</f>
        <v/>
      </c>
      <c r="BL76" t="str">
        <f ca="1">IFERROR(IF(0=LEN(ReferenceData!$BL$76),"",ReferenceData!$BL$76),"")</f>
        <v/>
      </c>
      <c r="BM76" t="str">
        <f ca="1">IFERROR(IF(0=LEN(ReferenceData!$BM$76),"",ReferenceData!$BM$76),"")</f>
        <v/>
      </c>
    </row>
    <row r="77" spans="1:65">
      <c r="A77" t="str">
        <f>IFERROR(IF(0=LEN(ReferenceData!$A$77),"",ReferenceData!$A$77),"")</f>
        <v xml:space="preserve">    Care Capital Properties Inc</v>
      </c>
      <c r="B77" t="str">
        <f>IFERROR(IF(0=LEN(ReferenceData!$B$77),"",ReferenceData!$B$77),"")</f>
        <v>CCP US Equity</v>
      </c>
      <c r="C77" t="str">
        <f>IFERROR(IF(0=LEN(ReferenceData!$C$77),"",ReferenceData!$C$77),"")</f>
        <v>IS972</v>
      </c>
      <c r="D77" t="str">
        <f>IFERROR(IF(0=LEN(ReferenceData!$D$77),"",ReferenceData!$D$77),"")</f>
        <v>IS_ADJUSTED_EBITDA_AS_REPORTED</v>
      </c>
      <c r="E77" t="str">
        <f>IFERROR(IF(0=LEN(ReferenceData!$E$77),"",ReferenceData!$E$77),"")</f>
        <v>动态</v>
      </c>
      <c r="F77" t="str">
        <f ca="1">IFERROR(IF(0=LEN(ReferenceData!$F$77),"",ReferenceData!$F$77),"")</f>
        <v/>
      </c>
      <c r="G77" t="str">
        <f ca="1">IFERROR(IF(0=LEN(ReferenceData!$G$77),"",ReferenceData!$G$77),"")</f>
        <v/>
      </c>
      <c r="H77" t="str">
        <f ca="1">IFERROR(IF(0=LEN(ReferenceData!$H$77),"",ReferenceData!$H$77),"")</f>
        <v/>
      </c>
      <c r="I77">
        <f ca="1">IFERROR(IF(0=LEN(ReferenceData!$I$77),"",ReferenceData!$I$77),"")</f>
        <v>84.075999999999993</v>
      </c>
      <c r="J77">
        <f ca="1">IFERROR(IF(0=LEN(ReferenceData!$J$77),"",ReferenceData!$J$77),"")</f>
        <v>72.591999999999999</v>
      </c>
      <c r="K77">
        <f ca="1">IFERROR(IF(0=LEN(ReferenceData!$K$77),"",ReferenceData!$K$77),"")</f>
        <v>79.132999999999996</v>
      </c>
      <c r="L77">
        <f ca="1">IFERROR(IF(0=LEN(ReferenceData!$L$77),"",ReferenceData!$L$77),"")</f>
        <v>79.001999999999995</v>
      </c>
      <c r="M77">
        <f ca="1">IFERROR(IF(0=LEN(ReferenceData!$M$77),"",ReferenceData!$M$77),"")</f>
        <v>77.933000000000007</v>
      </c>
      <c r="N77">
        <f ca="1">IFERROR(IF(0=LEN(ReferenceData!$N$77),"",ReferenceData!$N$77),"")</f>
        <v>77.754999999999995</v>
      </c>
      <c r="O77">
        <f ca="1">IFERROR(IF(0=LEN(ReferenceData!$O$77),"",ReferenceData!$O$77),"")</f>
        <v>81.105999999999995</v>
      </c>
      <c r="P77">
        <f ca="1">IFERROR(IF(0=LEN(ReferenceData!$P$77),"",ReferenceData!$P$77),"")</f>
        <v>76.054000000000002</v>
      </c>
      <c r="Q77">
        <f ca="1">IFERROR(IF(0=LEN(ReferenceData!$Q$77),"",ReferenceData!$Q$77),"")</f>
        <v>73.147000000000006</v>
      </c>
      <c r="R77" t="str">
        <f ca="1">IFERROR(IF(0=LEN(ReferenceData!$R$77),"",ReferenceData!$R$77),"")</f>
        <v/>
      </c>
      <c r="S77" t="str">
        <f ca="1">IFERROR(IF(0=LEN(ReferenceData!$S$77),"",ReferenceData!$S$77),"")</f>
        <v/>
      </c>
      <c r="T77" t="str">
        <f ca="1">IFERROR(IF(0=LEN(ReferenceData!$T$77),"",ReferenceData!$T$77),"")</f>
        <v/>
      </c>
      <c r="U77" t="str">
        <f ca="1">IFERROR(IF(0=LEN(ReferenceData!$U$77),"",ReferenceData!$U$77),"")</f>
        <v/>
      </c>
      <c r="V77" t="str">
        <f ca="1">IFERROR(IF(0=LEN(ReferenceData!$V$77),"",ReferenceData!$V$77),"")</f>
        <v/>
      </c>
      <c r="W77" t="str">
        <f ca="1">IFERROR(IF(0=LEN(ReferenceData!$W$77),"",ReferenceData!$W$77),"")</f>
        <v/>
      </c>
      <c r="X77" t="str">
        <f ca="1">IFERROR(IF(0=LEN(ReferenceData!$X$77),"",ReferenceData!$X$77),"")</f>
        <v/>
      </c>
      <c r="Y77" t="str">
        <f ca="1">IFERROR(IF(0=LEN(ReferenceData!$Y$77),"",ReferenceData!$Y$77),"")</f>
        <v/>
      </c>
      <c r="Z77" t="str">
        <f ca="1">IFERROR(IF(0=LEN(ReferenceData!$Z$77),"",ReferenceData!$Z$77),"")</f>
        <v/>
      </c>
      <c r="AA77" t="str">
        <f ca="1">IFERROR(IF(0=LEN(ReferenceData!$AA$77),"",ReferenceData!$AA$77),"")</f>
        <v/>
      </c>
      <c r="AB77" t="str">
        <f ca="1">IFERROR(IF(0=LEN(ReferenceData!$AB$77),"",ReferenceData!$AB$77),"")</f>
        <v/>
      </c>
      <c r="AC77" t="str">
        <f ca="1">IFERROR(IF(0=LEN(ReferenceData!$AC$77),"",ReferenceData!$AC$77),"")</f>
        <v/>
      </c>
      <c r="AD77" t="str">
        <f ca="1">IFERROR(IF(0=LEN(ReferenceData!$AD$77),"",ReferenceData!$AD$77),"")</f>
        <v/>
      </c>
      <c r="AE77" t="str">
        <f ca="1">IFERROR(IF(0=LEN(ReferenceData!$AE$77),"",ReferenceData!$AE$77),"")</f>
        <v/>
      </c>
      <c r="AF77" t="str">
        <f ca="1">IFERROR(IF(0=LEN(ReferenceData!$AF$77),"",ReferenceData!$AF$77),"")</f>
        <v/>
      </c>
      <c r="AG77" t="str">
        <f ca="1">IFERROR(IF(0=LEN(ReferenceData!$AG$77),"",ReferenceData!$AG$77),"")</f>
        <v/>
      </c>
      <c r="AH77" t="str">
        <f ca="1">IFERROR(IF(0=LEN(ReferenceData!$AH$77),"",ReferenceData!$AH$77),"")</f>
        <v/>
      </c>
      <c r="AI77" t="str">
        <f ca="1">IFERROR(IF(0=LEN(ReferenceData!$AI$77),"",ReferenceData!$AI$77),"")</f>
        <v/>
      </c>
      <c r="AJ77" t="str">
        <f ca="1">IFERROR(IF(0=LEN(ReferenceData!$AJ$77),"",ReferenceData!$AJ$77),"")</f>
        <v/>
      </c>
      <c r="AK77" t="str">
        <f ca="1">IFERROR(IF(0=LEN(ReferenceData!$AK$77),"",ReferenceData!$AK$77),"")</f>
        <v/>
      </c>
      <c r="AL77" t="str">
        <f ca="1">IFERROR(IF(0=LEN(ReferenceData!$AL$77),"",ReferenceData!$AL$77),"")</f>
        <v/>
      </c>
      <c r="AM77" t="str">
        <f ca="1">IFERROR(IF(0=LEN(ReferenceData!$AM$77),"",ReferenceData!$AM$77),"")</f>
        <v/>
      </c>
      <c r="AN77" t="str">
        <f ca="1">IFERROR(IF(0=LEN(ReferenceData!$AN$77),"",ReferenceData!$AN$77),"")</f>
        <v/>
      </c>
      <c r="AO77" t="str">
        <f ca="1">IFERROR(IF(0=LEN(ReferenceData!$AO$77),"",ReferenceData!$AO$77),"")</f>
        <v/>
      </c>
      <c r="AP77" t="str">
        <f ca="1">IFERROR(IF(0=LEN(ReferenceData!$AP$77),"",ReferenceData!$AP$77),"")</f>
        <v/>
      </c>
      <c r="AQ77" t="str">
        <f ca="1">IFERROR(IF(0=LEN(ReferenceData!$AQ$77),"",ReferenceData!$AQ$77),"")</f>
        <v/>
      </c>
      <c r="AR77" t="str">
        <f ca="1">IFERROR(IF(0=LEN(ReferenceData!$AR$77),"",ReferenceData!$AR$77),"")</f>
        <v/>
      </c>
      <c r="AS77" t="str">
        <f ca="1">IFERROR(IF(0=LEN(ReferenceData!$AS$77),"",ReferenceData!$AS$77),"")</f>
        <v/>
      </c>
      <c r="AT77" t="str">
        <f ca="1">IFERROR(IF(0=LEN(ReferenceData!$AT$77),"",ReferenceData!$AT$77),"")</f>
        <v/>
      </c>
      <c r="AU77" t="str">
        <f ca="1">IFERROR(IF(0=LEN(ReferenceData!$AU$77),"",ReferenceData!$AU$77),"")</f>
        <v/>
      </c>
      <c r="AV77" t="str">
        <f ca="1">IFERROR(IF(0=LEN(ReferenceData!$AV$77),"",ReferenceData!$AV$77),"")</f>
        <v/>
      </c>
      <c r="AW77" t="str">
        <f ca="1">IFERROR(IF(0=LEN(ReferenceData!$AW$77),"",ReferenceData!$AW$77),"")</f>
        <v/>
      </c>
      <c r="AX77" t="str">
        <f ca="1">IFERROR(IF(0=LEN(ReferenceData!$AX$77),"",ReferenceData!$AX$77),"")</f>
        <v/>
      </c>
      <c r="AY77" t="str">
        <f ca="1">IFERROR(IF(0=LEN(ReferenceData!$AY$77),"",ReferenceData!$AY$77),"")</f>
        <v/>
      </c>
      <c r="AZ77" t="str">
        <f ca="1">IFERROR(IF(0=LEN(ReferenceData!$AZ$77),"",ReferenceData!$AZ$77),"")</f>
        <v/>
      </c>
      <c r="BA77" t="str">
        <f ca="1">IFERROR(IF(0=LEN(ReferenceData!$BA$77),"",ReferenceData!$BA$77),"")</f>
        <v/>
      </c>
      <c r="BB77" t="str">
        <f ca="1">IFERROR(IF(0=LEN(ReferenceData!$BB$77),"",ReferenceData!$BB$77),"")</f>
        <v/>
      </c>
      <c r="BC77" t="str">
        <f ca="1">IFERROR(IF(0=LEN(ReferenceData!$BC$77),"",ReferenceData!$BC$77),"")</f>
        <v/>
      </c>
      <c r="BD77" t="str">
        <f ca="1">IFERROR(IF(0=LEN(ReferenceData!$BD$77),"",ReferenceData!$BD$77),"")</f>
        <v/>
      </c>
      <c r="BE77" t="str">
        <f ca="1">IFERROR(IF(0=LEN(ReferenceData!$BE$77),"",ReferenceData!$BE$77),"")</f>
        <v/>
      </c>
      <c r="BF77" t="str">
        <f ca="1">IFERROR(IF(0=LEN(ReferenceData!$BF$77),"",ReferenceData!$BF$77),"")</f>
        <v/>
      </c>
      <c r="BG77" t="str">
        <f ca="1">IFERROR(IF(0=LEN(ReferenceData!$BG$77),"",ReferenceData!$BG$77),"")</f>
        <v/>
      </c>
      <c r="BH77" t="str">
        <f ca="1">IFERROR(IF(0=LEN(ReferenceData!$BH$77),"",ReferenceData!$BH$77),"")</f>
        <v/>
      </c>
      <c r="BI77" t="str">
        <f ca="1">IFERROR(IF(0=LEN(ReferenceData!$BI$77),"",ReferenceData!$BI$77),"")</f>
        <v/>
      </c>
      <c r="BJ77" t="str">
        <f ca="1">IFERROR(IF(0=LEN(ReferenceData!$BJ$77),"",ReferenceData!$BJ$77),"")</f>
        <v/>
      </c>
      <c r="BK77" t="str">
        <f ca="1">IFERROR(IF(0=LEN(ReferenceData!$BK$77),"",ReferenceData!$BK$77),"")</f>
        <v/>
      </c>
      <c r="BL77" t="str">
        <f ca="1">IFERROR(IF(0=LEN(ReferenceData!$BL$77),"",ReferenceData!$BL$77),"")</f>
        <v/>
      </c>
      <c r="BM77" t="str">
        <f ca="1">IFERROR(IF(0=LEN(ReferenceData!$BM$77),"",ReferenceData!$BM$77),"")</f>
        <v/>
      </c>
    </row>
    <row r="78" spans="1:65">
      <c r="A78" t="str">
        <f>IFERROR(IF(0=LEN(ReferenceData!$A$78),"",ReferenceData!$A$78),"")</f>
        <v xml:space="preserve">    HCP Inc</v>
      </c>
      <c r="B78" t="str">
        <f>IFERROR(IF(0=LEN(ReferenceData!$B$78),"",ReferenceData!$B$78),"")</f>
        <v>HCP US Equity</v>
      </c>
      <c r="C78" t="str">
        <f>IFERROR(IF(0=LEN(ReferenceData!$C$78),"",ReferenceData!$C$78),"")</f>
        <v>IS972</v>
      </c>
      <c r="D78" t="str">
        <f>IFERROR(IF(0=LEN(ReferenceData!$D$78),"",ReferenceData!$D$78),"")</f>
        <v>IS_ADJUSTED_EBITDA_AS_REPORTED</v>
      </c>
      <c r="E78" t="str">
        <f>IFERROR(IF(0=LEN(ReferenceData!$E$78),"",ReferenceData!$E$78),"")</f>
        <v>动态</v>
      </c>
      <c r="F78" t="str">
        <f ca="1">IFERROR(IF(0=LEN(ReferenceData!$F$78),"",ReferenceData!$F$78),"")</f>
        <v/>
      </c>
      <c r="G78">
        <f ca="1">IFERROR(IF(0=LEN(ReferenceData!$G$78),"",ReferenceData!$G$78),"")</f>
        <v>298.48099999999999</v>
      </c>
      <c r="H78">
        <f ca="1">IFERROR(IF(0=LEN(ReferenceData!$H$78),"",ReferenceData!$H$78),"")</f>
        <v>300.084</v>
      </c>
      <c r="I78">
        <f ca="1">IFERROR(IF(0=LEN(ReferenceData!$I$78),"",ReferenceData!$I$78),"")</f>
        <v>305.42200000000003</v>
      </c>
      <c r="J78">
        <f ca="1">IFERROR(IF(0=LEN(ReferenceData!$J$78),"",ReferenceData!$J$78),"")</f>
        <v>331.983</v>
      </c>
      <c r="K78">
        <f ca="1">IFERROR(IF(0=LEN(ReferenceData!$K$78),"",ReferenceData!$K$78),"")</f>
        <v>382.72500000000002</v>
      </c>
      <c r="L78">
        <f ca="1">IFERROR(IF(0=LEN(ReferenceData!$L$78),"",ReferenceData!$L$78),"")</f>
        <v>458.52100000000002</v>
      </c>
      <c r="M78">
        <f ca="1">IFERROR(IF(0=LEN(ReferenceData!$M$78),"",ReferenceData!$M$78),"")</f>
        <v>474.226</v>
      </c>
      <c r="N78">
        <f ca="1">IFERROR(IF(0=LEN(ReferenceData!$N$78),"",ReferenceData!$N$78),"")</f>
        <v>451.923</v>
      </c>
      <c r="O78">
        <f ca="1">IFERROR(IF(0=LEN(ReferenceData!$O$78),"",ReferenceData!$O$78),"")</f>
        <v>504.61</v>
      </c>
      <c r="P78">
        <f ca="1">IFERROR(IF(0=LEN(ReferenceData!$P$78),"",ReferenceData!$P$78),"")</f>
        <v>492.46600000000001</v>
      </c>
      <c r="Q78">
        <f ca="1">IFERROR(IF(0=LEN(ReferenceData!$Q$78),"",ReferenceData!$Q$78),"")</f>
        <v>482.47199999999998</v>
      </c>
      <c r="R78">
        <f ca="1">IFERROR(IF(0=LEN(ReferenceData!$R$78),"",ReferenceData!$R$78),"")</f>
        <v>484.517</v>
      </c>
      <c r="S78">
        <f ca="1">IFERROR(IF(0=LEN(ReferenceData!$S$78),"",ReferenceData!$S$78),"")</f>
        <v>480.15</v>
      </c>
      <c r="T78">
        <f ca="1">IFERROR(IF(0=LEN(ReferenceData!$T$78),"",ReferenceData!$T$78),"")</f>
        <v>464.21899999999999</v>
      </c>
      <c r="U78">
        <f ca="1">IFERROR(IF(0=LEN(ReferenceData!$U$78),"",ReferenceData!$U$78),"")</f>
        <v>448.26299999999998</v>
      </c>
      <c r="V78">
        <f ca="1">IFERROR(IF(0=LEN(ReferenceData!$V$78),"",ReferenceData!$V$78),"")</f>
        <v>456.40899999999999</v>
      </c>
      <c r="W78">
        <f ca="1">IFERROR(IF(0=LEN(ReferenceData!$W$78),"",ReferenceData!$W$78),"")</f>
        <v>456.69</v>
      </c>
      <c r="X78">
        <f ca="1">IFERROR(IF(0=LEN(ReferenceData!$X$78),"",ReferenceData!$X$78),"")</f>
        <v>449.35899999999998</v>
      </c>
      <c r="Y78">
        <f ca="1">IFERROR(IF(0=LEN(ReferenceData!$Y$78),"",ReferenceData!$Y$78),"")</f>
        <v>440.87799999999999</v>
      </c>
      <c r="Z78">
        <f ca="1">IFERROR(IF(0=LEN(ReferenceData!$Z$78),"",ReferenceData!$Z$78),"")</f>
        <v>453.52699999999999</v>
      </c>
      <c r="AA78">
        <f ca="1">IFERROR(IF(0=LEN(ReferenceData!$AA$78),"",ReferenceData!$AA$78),"")</f>
        <v>431.69</v>
      </c>
      <c r="AB78">
        <f ca="1">IFERROR(IF(0=LEN(ReferenceData!$AB$78),"",ReferenceData!$AB$78),"")</f>
        <v>405.62200000000001</v>
      </c>
      <c r="AC78">
        <f ca="1">IFERROR(IF(0=LEN(ReferenceData!$AC$78),"",ReferenceData!$AC$78),"")</f>
        <v>399.11599999999999</v>
      </c>
      <c r="AD78">
        <f ca="1">IFERROR(IF(0=LEN(ReferenceData!$AD$78),"",ReferenceData!$AD$78),"")</f>
        <v>390.94600000000003</v>
      </c>
      <c r="AE78">
        <f ca="1">IFERROR(IF(0=LEN(ReferenceData!$AE$78),"",ReferenceData!$AE$78),"")</f>
        <v>386.59899999999999</v>
      </c>
      <c r="AF78">
        <f ca="1">IFERROR(IF(0=LEN(ReferenceData!$AF$78),"",ReferenceData!$AF$78),"")</f>
        <v>384.82799999999997</v>
      </c>
      <c r="AG78">
        <f ca="1">IFERROR(IF(0=LEN(ReferenceData!$AG$78),"",ReferenceData!$AG$78),"")</f>
        <v>432.36500000000001</v>
      </c>
      <c r="AH78">
        <f ca="1">IFERROR(IF(0=LEN(ReferenceData!$AH$78),"",ReferenceData!$AH$78),"")</f>
        <v>269.46899999999999</v>
      </c>
      <c r="AI78">
        <f ca="1">IFERROR(IF(0=LEN(ReferenceData!$AI$78),"",ReferenceData!$AI$78),"")</f>
        <v>283.495</v>
      </c>
      <c r="AJ78">
        <f ca="1">IFERROR(IF(0=LEN(ReferenceData!$AJ$78),"",ReferenceData!$AJ$78),"")</f>
        <v>254.435</v>
      </c>
      <c r="AK78">
        <f ca="1">IFERROR(IF(0=LEN(ReferenceData!$AK$78),"",ReferenceData!$AK$78),"")</f>
        <v>249.208</v>
      </c>
      <c r="AL78">
        <f ca="1">IFERROR(IF(0=LEN(ReferenceData!$AL$78),"",ReferenceData!$AL$78),"")</f>
        <v>237.392</v>
      </c>
      <c r="AM78">
        <f ca="1">IFERROR(IF(0=LEN(ReferenceData!$AM$78),"",ReferenceData!$AM$78),"")</f>
        <v>247.67400000000001</v>
      </c>
      <c r="AN78">
        <f ca="1">IFERROR(IF(0=LEN(ReferenceData!$AN$78),"",ReferenceData!$AN$78),"")</f>
        <v>237.31399999999999</v>
      </c>
      <c r="AO78">
        <f ca="1">IFERROR(IF(0=LEN(ReferenceData!$AO$78),"",ReferenceData!$AO$78),"")</f>
        <v>242.541</v>
      </c>
      <c r="AP78">
        <f ca="1">IFERROR(IF(0=LEN(ReferenceData!$AP$78),"",ReferenceData!$AP$78),"")</f>
        <v>221.291</v>
      </c>
      <c r="AQ78">
        <f ca="1">IFERROR(IF(0=LEN(ReferenceData!$AQ$78),"",ReferenceData!$AQ$78),"")</f>
        <v>232.47499999999999</v>
      </c>
      <c r="AR78">
        <f ca="1">IFERROR(IF(0=LEN(ReferenceData!$AR$78),"",ReferenceData!$AR$78),"")</f>
        <v>279.54300000000001</v>
      </c>
      <c r="AS78">
        <f ca="1">IFERROR(IF(0=LEN(ReferenceData!$AS$78),"",ReferenceData!$AS$78),"")</f>
        <v>233.852</v>
      </c>
      <c r="AT78">
        <f ca="1">IFERROR(IF(0=LEN(ReferenceData!$AT$78),"",ReferenceData!$AT$78),"")</f>
        <v>237.30600000000001</v>
      </c>
      <c r="AU78">
        <f ca="1">IFERROR(IF(0=LEN(ReferenceData!$AU$78),"",ReferenceData!$AU$78),"")</f>
        <v>238.45</v>
      </c>
      <c r="AV78">
        <f ca="1">IFERROR(IF(0=LEN(ReferenceData!$AV$78),"",ReferenceData!$AV$78),"")</f>
        <v>229.88900000000001</v>
      </c>
      <c r="AW78">
        <f ca="1">IFERROR(IF(0=LEN(ReferenceData!$AW$78),"",ReferenceData!$AW$78),"")</f>
        <v>211.46799999999999</v>
      </c>
      <c r="AX78">
        <f ca="1">IFERROR(IF(0=LEN(ReferenceData!$AX$78),"",ReferenceData!$AX$78),"")</f>
        <v>197.87299999999999</v>
      </c>
      <c r="AY78">
        <f ca="1">IFERROR(IF(0=LEN(ReferenceData!$AY$78),"",ReferenceData!$AY$78),"")</f>
        <v>192.67599999999999</v>
      </c>
      <c r="AZ78">
        <f ca="1">IFERROR(IF(0=LEN(ReferenceData!$AZ$78),"",ReferenceData!$AZ$78),"")</f>
        <v>116.96</v>
      </c>
      <c r="BA78">
        <f ca="1">IFERROR(IF(0=LEN(ReferenceData!$BA$78),"",ReferenceData!$BA$78),"")</f>
        <v>112.239</v>
      </c>
      <c r="BB78">
        <f ca="1">IFERROR(IF(0=LEN(ReferenceData!$BB$78),"",ReferenceData!$BB$78),"")</f>
        <v>118.949</v>
      </c>
      <c r="BC78" t="str">
        <f ca="1">IFERROR(IF(0=LEN(ReferenceData!$BC$78),"",ReferenceData!$BC$78),"")</f>
        <v/>
      </c>
      <c r="BD78" t="str">
        <f ca="1">IFERROR(IF(0=LEN(ReferenceData!$BD$78),"",ReferenceData!$BD$78),"")</f>
        <v/>
      </c>
      <c r="BE78" t="str">
        <f ca="1">IFERROR(IF(0=LEN(ReferenceData!$BE$78),"",ReferenceData!$BE$78),"")</f>
        <v/>
      </c>
      <c r="BF78" t="str">
        <f ca="1">IFERROR(IF(0=LEN(ReferenceData!$BF$78),"",ReferenceData!$BF$78),"")</f>
        <v/>
      </c>
      <c r="BG78" t="str">
        <f ca="1">IFERROR(IF(0=LEN(ReferenceData!$BG$78),"",ReferenceData!$BG$78),"")</f>
        <v/>
      </c>
      <c r="BH78" t="str">
        <f ca="1">IFERROR(IF(0=LEN(ReferenceData!$BH$78),"",ReferenceData!$BH$78),"")</f>
        <v/>
      </c>
      <c r="BI78" t="str">
        <f ca="1">IFERROR(IF(0=LEN(ReferenceData!$BI$78),"",ReferenceData!$BI$78),"")</f>
        <v/>
      </c>
      <c r="BJ78" t="str">
        <f ca="1">IFERROR(IF(0=LEN(ReferenceData!$BJ$78),"",ReferenceData!$BJ$78),"")</f>
        <v/>
      </c>
      <c r="BK78" t="str">
        <f ca="1">IFERROR(IF(0=LEN(ReferenceData!$BK$78),"",ReferenceData!$BK$78),"")</f>
        <v/>
      </c>
      <c r="BL78" t="str">
        <f ca="1">IFERROR(IF(0=LEN(ReferenceData!$BL$78),"",ReferenceData!$BL$78),"")</f>
        <v/>
      </c>
      <c r="BM78" t="str">
        <f ca="1">IFERROR(IF(0=LEN(ReferenceData!$BM$78),"",ReferenceData!$BM$78),"")</f>
        <v/>
      </c>
    </row>
    <row r="79" spans="1:65">
      <c r="A79" t="str">
        <f>IFERROR(IF(0=LEN(ReferenceData!$A$79),"",ReferenceData!$A$79),"")</f>
        <v xml:space="preserve">    Healthcare Realty Trust Inc</v>
      </c>
      <c r="B79" t="str">
        <f>IFERROR(IF(0=LEN(ReferenceData!$B$79),"",ReferenceData!$B$79),"")</f>
        <v>HR US Equity</v>
      </c>
      <c r="C79" t="str">
        <f>IFERROR(IF(0=LEN(ReferenceData!$C$79),"",ReferenceData!$C$79),"")</f>
        <v>IS972</v>
      </c>
      <c r="D79" t="str">
        <f>IFERROR(IF(0=LEN(ReferenceData!$D$79),"",ReferenceData!$D$79),"")</f>
        <v>IS_ADJUSTED_EBITDA_AS_REPORTED</v>
      </c>
      <c r="E79" t="str">
        <f>IFERROR(IF(0=LEN(ReferenceData!$E$79),"",ReferenceData!$E$79),"")</f>
        <v>动态</v>
      </c>
      <c r="F79" t="str">
        <f ca="1">IFERROR(IF(0=LEN(ReferenceData!$F$79),"",ReferenceData!$F$79),"")</f>
        <v/>
      </c>
      <c r="G79">
        <f ca="1">IFERROR(IF(0=LEN(ReferenceData!$G$79),"",ReferenceData!$G$79),"")</f>
        <v>66.44</v>
      </c>
      <c r="H79">
        <f ca="1">IFERROR(IF(0=LEN(ReferenceData!$H$79),"",ReferenceData!$H$79),"")</f>
        <v>63.707999999999998</v>
      </c>
      <c r="I79">
        <f ca="1">IFERROR(IF(0=LEN(ReferenceData!$I$79),"",ReferenceData!$I$79),"")</f>
        <v>61.390999999999998</v>
      </c>
      <c r="J79">
        <f ca="1">IFERROR(IF(0=LEN(ReferenceData!$J$79),"",ReferenceData!$J$79),"")</f>
        <v>59.448</v>
      </c>
      <c r="K79">
        <f ca="1">IFERROR(IF(0=LEN(ReferenceData!$K$79),"",ReferenceData!$K$79),"")</f>
        <v>61.344999999999999</v>
      </c>
      <c r="L79">
        <f ca="1">IFERROR(IF(0=LEN(ReferenceData!$L$79),"",ReferenceData!$L$79),"")</f>
        <v>61.360999999999997</v>
      </c>
      <c r="M79" t="str">
        <f ca="1">IFERROR(IF(0=LEN(ReferenceData!$M$79),"",ReferenceData!$M$79),"")</f>
        <v/>
      </c>
      <c r="N79" t="str">
        <f ca="1">IFERROR(IF(0=LEN(ReferenceData!$N$79),"",ReferenceData!$N$79),"")</f>
        <v/>
      </c>
      <c r="O79" t="str">
        <f ca="1">IFERROR(IF(0=LEN(ReferenceData!$O$79),"",ReferenceData!$O$79),"")</f>
        <v/>
      </c>
      <c r="P79" t="str">
        <f ca="1">IFERROR(IF(0=LEN(ReferenceData!$P$79),"",ReferenceData!$P$79),"")</f>
        <v/>
      </c>
      <c r="Q79" t="str">
        <f ca="1">IFERROR(IF(0=LEN(ReferenceData!$Q$79),"",ReferenceData!$Q$79),"")</f>
        <v/>
      </c>
      <c r="R79" t="str">
        <f ca="1">IFERROR(IF(0=LEN(ReferenceData!$R$79),"",ReferenceData!$R$79),"")</f>
        <v/>
      </c>
      <c r="S79" t="str">
        <f ca="1">IFERROR(IF(0=LEN(ReferenceData!$S$79),"",ReferenceData!$S$79),"")</f>
        <v/>
      </c>
      <c r="T79" t="str">
        <f ca="1">IFERROR(IF(0=LEN(ReferenceData!$T$79),"",ReferenceData!$T$79),"")</f>
        <v/>
      </c>
      <c r="U79" t="str">
        <f ca="1">IFERROR(IF(0=LEN(ReferenceData!$U$79),"",ReferenceData!$U$79),"")</f>
        <v/>
      </c>
      <c r="V79" t="str">
        <f ca="1">IFERROR(IF(0=LEN(ReferenceData!$V$79),"",ReferenceData!$V$79),"")</f>
        <v/>
      </c>
      <c r="W79" t="str">
        <f ca="1">IFERROR(IF(0=LEN(ReferenceData!$W$79),"",ReferenceData!$W$79),"")</f>
        <v/>
      </c>
      <c r="X79" t="str">
        <f ca="1">IFERROR(IF(0=LEN(ReferenceData!$X$79),"",ReferenceData!$X$79),"")</f>
        <v/>
      </c>
      <c r="Y79" t="str">
        <f ca="1">IFERROR(IF(0=LEN(ReferenceData!$Y$79),"",ReferenceData!$Y$79),"")</f>
        <v/>
      </c>
      <c r="Z79" t="str">
        <f ca="1">IFERROR(IF(0=LEN(ReferenceData!$Z$79),"",ReferenceData!$Z$79),"")</f>
        <v/>
      </c>
      <c r="AA79" t="str">
        <f ca="1">IFERROR(IF(0=LEN(ReferenceData!$AA$79),"",ReferenceData!$AA$79),"")</f>
        <v/>
      </c>
      <c r="AB79" t="str">
        <f ca="1">IFERROR(IF(0=LEN(ReferenceData!$AB$79),"",ReferenceData!$AB$79),"")</f>
        <v/>
      </c>
      <c r="AC79" t="str">
        <f ca="1">IFERROR(IF(0=LEN(ReferenceData!$AC$79),"",ReferenceData!$AC$79),"")</f>
        <v/>
      </c>
      <c r="AD79" t="str">
        <f ca="1">IFERROR(IF(0=LEN(ReferenceData!$AD$79),"",ReferenceData!$AD$79),"")</f>
        <v/>
      </c>
      <c r="AE79" t="str">
        <f ca="1">IFERROR(IF(0=LEN(ReferenceData!$AE$79),"",ReferenceData!$AE$79),"")</f>
        <v/>
      </c>
      <c r="AF79" t="str">
        <f ca="1">IFERROR(IF(0=LEN(ReferenceData!$AF$79),"",ReferenceData!$AF$79),"")</f>
        <v/>
      </c>
      <c r="AG79" t="str">
        <f ca="1">IFERROR(IF(0=LEN(ReferenceData!$AG$79),"",ReferenceData!$AG$79),"")</f>
        <v/>
      </c>
      <c r="AH79" t="str">
        <f ca="1">IFERROR(IF(0=LEN(ReferenceData!$AH$79),"",ReferenceData!$AH$79),"")</f>
        <v/>
      </c>
      <c r="AI79" t="str">
        <f ca="1">IFERROR(IF(0=LEN(ReferenceData!$AI$79),"",ReferenceData!$AI$79),"")</f>
        <v/>
      </c>
      <c r="AJ79" t="str">
        <f ca="1">IFERROR(IF(0=LEN(ReferenceData!$AJ$79),"",ReferenceData!$AJ$79),"")</f>
        <v/>
      </c>
      <c r="AK79" t="str">
        <f ca="1">IFERROR(IF(0=LEN(ReferenceData!$AK$79),"",ReferenceData!$AK$79),"")</f>
        <v/>
      </c>
      <c r="AL79" t="str">
        <f ca="1">IFERROR(IF(0=LEN(ReferenceData!$AL$79),"",ReferenceData!$AL$79),"")</f>
        <v/>
      </c>
      <c r="AM79" t="str">
        <f ca="1">IFERROR(IF(0=LEN(ReferenceData!$AM$79),"",ReferenceData!$AM$79),"")</f>
        <v/>
      </c>
      <c r="AN79" t="str">
        <f ca="1">IFERROR(IF(0=LEN(ReferenceData!$AN$79),"",ReferenceData!$AN$79),"")</f>
        <v/>
      </c>
      <c r="AO79" t="str">
        <f ca="1">IFERROR(IF(0=LEN(ReferenceData!$AO$79),"",ReferenceData!$AO$79),"")</f>
        <v/>
      </c>
      <c r="AP79" t="str">
        <f ca="1">IFERROR(IF(0=LEN(ReferenceData!$AP$79),"",ReferenceData!$AP$79),"")</f>
        <v/>
      </c>
      <c r="AQ79" t="str">
        <f ca="1">IFERROR(IF(0=LEN(ReferenceData!$AQ$79),"",ReferenceData!$AQ$79),"")</f>
        <v/>
      </c>
      <c r="AR79" t="str">
        <f ca="1">IFERROR(IF(0=LEN(ReferenceData!$AR$79),"",ReferenceData!$AR$79),"")</f>
        <v/>
      </c>
      <c r="AS79" t="str">
        <f ca="1">IFERROR(IF(0=LEN(ReferenceData!$AS$79),"",ReferenceData!$AS$79),"")</f>
        <v/>
      </c>
      <c r="AT79" t="str">
        <f ca="1">IFERROR(IF(0=LEN(ReferenceData!$AT$79),"",ReferenceData!$AT$79),"")</f>
        <v/>
      </c>
      <c r="AU79" t="str">
        <f ca="1">IFERROR(IF(0=LEN(ReferenceData!$AU$79),"",ReferenceData!$AU$79),"")</f>
        <v/>
      </c>
      <c r="AV79" t="str">
        <f ca="1">IFERROR(IF(0=LEN(ReferenceData!$AV$79),"",ReferenceData!$AV$79),"")</f>
        <v/>
      </c>
      <c r="AW79" t="str">
        <f ca="1">IFERROR(IF(0=LEN(ReferenceData!$AW$79),"",ReferenceData!$AW$79),"")</f>
        <v/>
      </c>
      <c r="AX79" t="str">
        <f ca="1">IFERROR(IF(0=LEN(ReferenceData!$AX$79),"",ReferenceData!$AX$79),"")</f>
        <v/>
      </c>
      <c r="AY79" t="str">
        <f ca="1">IFERROR(IF(0=LEN(ReferenceData!$AY$79),"",ReferenceData!$AY$79),"")</f>
        <v/>
      </c>
      <c r="AZ79" t="str">
        <f ca="1">IFERROR(IF(0=LEN(ReferenceData!$AZ$79),"",ReferenceData!$AZ$79),"")</f>
        <v/>
      </c>
      <c r="BA79" t="str">
        <f ca="1">IFERROR(IF(0=LEN(ReferenceData!$BA$79),"",ReferenceData!$BA$79),"")</f>
        <v/>
      </c>
      <c r="BB79" t="str">
        <f ca="1">IFERROR(IF(0=LEN(ReferenceData!$BB$79),"",ReferenceData!$BB$79),"")</f>
        <v/>
      </c>
      <c r="BC79" t="str">
        <f ca="1">IFERROR(IF(0=LEN(ReferenceData!$BC$79),"",ReferenceData!$BC$79),"")</f>
        <v/>
      </c>
      <c r="BD79" t="str">
        <f ca="1">IFERROR(IF(0=LEN(ReferenceData!$BD$79),"",ReferenceData!$BD$79),"")</f>
        <v/>
      </c>
      <c r="BE79" t="str">
        <f ca="1">IFERROR(IF(0=LEN(ReferenceData!$BE$79),"",ReferenceData!$BE$79),"")</f>
        <v/>
      </c>
      <c r="BF79" t="str">
        <f ca="1">IFERROR(IF(0=LEN(ReferenceData!$BF$79),"",ReferenceData!$BF$79),"")</f>
        <v/>
      </c>
      <c r="BG79" t="str">
        <f ca="1">IFERROR(IF(0=LEN(ReferenceData!$BG$79),"",ReferenceData!$BG$79),"")</f>
        <v/>
      </c>
      <c r="BH79" t="str">
        <f ca="1">IFERROR(IF(0=LEN(ReferenceData!$BH$79),"",ReferenceData!$BH$79),"")</f>
        <v/>
      </c>
      <c r="BI79" t="str">
        <f ca="1">IFERROR(IF(0=LEN(ReferenceData!$BI$79),"",ReferenceData!$BI$79),"")</f>
        <v/>
      </c>
      <c r="BJ79" t="str">
        <f ca="1">IFERROR(IF(0=LEN(ReferenceData!$BJ$79),"",ReferenceData!$BJ$79),"")</f>
        <v/>
      </c>
      <c r="BK79" t="str">
        <f ca="1">IFERROR(IF(0=LEN(ReferenceData!$BK$79),"",ReferenceData!$BK$79),"")</f>
        <v/>
      </c>
      <c r="BL79" t="str">
        <f ca="1">IFERROR(IF(0=LEN(ReferenceData!$BL$79),"",ReferenceData!$BL$79),"")</f>
        <v/>
      </c>
      <c r="BM79" t="str">
        <f ca="1">IFERROR(IF(0=LEN(ReferenceData!$BM$79),"",ReferenceData!$BM$79),"")</f>
        <v/>
      </c>
    </row>
    <row r="80" spans="1:65">
      <c r="A80" t="str">
        <f>IFERROR(IF(0=LEN(ReferenceData!$A$80),"",ReferenceData!$A$80),"")</f>
        <v xml:space="preserve">    Healthcare Trust of America In</v>
      </c>
      <c r="B80" t="str">
        <f>IFERROR(IF(0=LEN(ReferenceData!$B$80),"",ReferenceData!$B$80),"")</f>
        <v>HTA US Equity</v>
      </c>
      <c r="C80" t="str">
        <f>IFERROR(IF(0=LEN(ReferenceData!$C$80),"",ReferenceData!$C$80),"")</f>
        <v>IS972</v>
      </c>
      <c r="D80" t="str">
        <f>IFERROR(IF(0=LEN(ReferenceData!$D$80),"",ReferenceData!$D$80),"")</f>
        <v>IS_ADJUSTED_EBITDA_AS_REPORTED</v>
      </c>
      <c r="E80" t="str">
        <f>IFERROR(IF(0=LEN(ReferenceData!$E$80),"",ReferenceData!$E$80),"")</f>
        <v>动态</v>
      </c>
      <c r="F80" t="str">
        <f ca="1">IFERROR(IF(0=LEN(ReferenceData!$F$80),"",ReferenceData!$F$80),"")</f>
        <v/>
      </c>
      <c r="G80">
        <f ca="1">IFERROR(IF(0=LEN(ReferenceData!$G$80),"",ReferenceData!$G$80),"")</f>
        <v>457.54</v>
      </c>
      <c r="H80">
        <f ca="1">IFERROR(IF(0=LEN(ReferenceData!$H$80),"",ReferenceData!$H$80),"")</f>
        <v>457.71600000000001</v>
      </c>
      <c r="I80">
        <f ca="1">IFERROR(IF(0=LEN(ReferenceData!$I$80),"",ReferenceData!$I$80),"")</f>
        <v>442.31599999999997</v>
      </c>
      <c r="J80">
        <f ca="1">IFERROR(IF(0=LEN(ReferenceData!$J$80),"",ReferenceData!$J$80),"")</f>
        <v>319.13200000000001</v>
      </c>
      <c r="K80">
        <f ca="1">IFERROR(IF(0=LEN(ReferenceData!$K$80),"",ReferenceData!$K$80),"")</f>
        <v>312.33999999999997</v>
      </c>
      <c r="L80">
        <f ca="1">IFERROR(IF(0=LEN(ReferenceData!$L$80),"",ReferenceData!$L$80),"")</f>
        <v>77.944000000000003</v>
      </c>
      <c r="M80">
        <f ca="1">IFERROR(IF(0=LEN(ReferenceData!$M$80),"",ReferenceData!$M$80),"")</f>
        <v>73.563999999999993</v>
      </c>
      <c r="N80">
        <f ca="1">IFERROR(IF(0=LEN(ReferenceData!$N$80),"",ReferenceData!$N$80),"")</f>
        <v>69.978999999999999</v>
      </c>
      <c r="O80">
        <f ca="1">IFERROR(IF(0=LEN(ReferenceData!$O$80),"",ReferenceData!$O$80),"")</f>
        <v>66.869</v>
      </c>
      <c r="P80">
        <f ca="1">IFERROR(IF(0=LEN(ReferenceData!$P$80),"",ReferenceData!$P$80),"")</f>
        <v>66.256</v>
      </c>
      <c r="Q80">
        <f ca="1">IFERROR(IF(0=LEN(ReferenceData!$Q$80),"",ReferenceData!$Q$80),"")</f>
        <v>66.768000000000001</v>
      </c>
      <c r="R80">
        <f ca="1">IFERROR(IF(0=LEN(ReferenceData!$R$80),"",ReferenceData!$R$80),"")</f>
        <v>63.670999999999999</v>
      </c>
      <c r="S80">
        <f ca="1">IFERROR(IF(0=LEN(ReferenceData!$S$80),"",ReferenceData!$S$80),"")</f>
        <v>62.488999999999997</v>
      </c>
      <c r="T80">
        <f ca="1">IFERROR(IF(0=LEN(ReferenceData!$T$80),"",ReferenceData!$T$80),"")</f>
        <v>69.432000000000002</v>
      </c>
      <c r="U80">
        <f ca="1">IFERROR(IF(0=LEN(ReferenceData!$U$80),"",ReferenceData!$U$80),"")</f>
        <v>60.811999999999998</v>
      </c>
      <c r="V80">
        <f ca="1">IFERROR(IF(0=LEN(ReferenceData!$V$80),"",ReferenceData!$V$80),"")</f>
        <v>56.83</v>
      </c>
      <c r="W80">
        <f ca="1">IFERROR(IF(0=LEN(ReferenceData!$W$80),"",ReferenceData!$W$80),"")</f>
        <v>55.987000000000002</v>
      </c>
      <c r="X80">
        <f ca="1">IFERROR(IF(0=LEN(ReferenceData!$X$80),"",ReferenceData!$X$80),"")</f>
        <v>51.637999999999998</v>
      </c>
      <c r="Y80">
        <f ca="1">IFERROR(IF(0=LEN(ReferenceData!$Y$80),"",ReferenceData!$Y$80),"")</f>
        <v>48.878999999999998</v>
      </c>
      <c r="Z80">
        <f ca="1">IFERROR(IF(0=LEN(ReferenceData!$Z$80),"",ReferenceData!$Z$80),"")</f>
        <v>47.017000000000003</v>
      </c>
      <c r="AA80">
        <f ca="1">IFERROR(IF(0=LEN(ReferenceData!$AA$80),"",ReferenceData!$AA$80),"")</f>
        <v>46.805</v>
      </c>
      <c r="AB80">
        <f ca="1">IFERROR(IF(0=LEN(ReferenceData!$AB$80),"",ReferenceData!$AB$80),"")</f>
        <v>46.926000000000002</v>
      </c>
      <c r="AC80">
        <f ca="1">IFERROR(IF(0=LEN(ReferenceData!$AC$80),"",ReferenceData!$AC$80),"")</f>
        <v>45.415999999999997</v>
      </c>
      <c r="AD80" t="str">
        <f ca="1">IFERROR(IF(0=LEN(ReferenceData!$AD$80),"",ReferenceData!$AD$80),"")</f>
        <v/>
      </c>
      <c r="AE80" t="str">
        <f ca="1">IFERROR(IF(0=LEN(ReferenceData!$AE$80),"",ReferenceData!$AE$80),"")</f>
        <v/>
      </c>
      <c r="AF80" t="str">
        <f ca="1">IFERROR(IF(0=LEN(ReferenceData!$AF$80),"",ReferenceData!$AF$80),"")</f>
        <v/>
      </c>
      <c r="AG80" t="str">
        <f ca="1">IFERROR(IF(0=LEN(ReferenceData!$AG$80),"",ReferenceData!$AG$80),"")</f>
        <v/>
      </c>
      <c r="AH80" t="str">
        <f ca="1">IFERROR(IF(0=LEN(ReferenceData!$AH$80),"",ReferenceData!$AH$80),"")</f>
        <v/>
      </c>
      <c r="AI80" t="str">
        <f ca="1">IFERROR(IF(0=LEN(ReferenceData!$AI$80),"",ReferenceData!$AI$80),"")</f>
        <v/>
      </c>
      <c r="AJ80" t="str">
        <f ca="1">IFERROR(IF(0=LEN(ReferenceData!$AJ$80),"",ReferenceData!$AJ$80),"")</f>
        <v/>
      </c>
      <c r="AK80" t="str">
        <f ca="1">IFERROR(IF(0=LEN(ReferenceData!$AK$80),"",ReferenceData!$AK$80),"")</f>
        <v/>
      </c>
      <c r="AL80" t="str">
        <f ca="1">IFERROR(IF(0=LEN(ReferenceData!$AL$80),"",ReferenceData!$AL$80),"")</f>
        <v/>
      </c>
      <c r="AM80" t="str">
        <f ca="1">IFERROR(IF(0=LEN(ReferenceData!$AM$80),"",ReferenceData!$AM$80),"")</f>
        <v/>
      </c>
      <c r="AN80" t="str">
        <f ca="1">IFERROR(IF(0=LEN(ReferenceData!$AN$80),"",ReferenceData!$AN$80),"")</f>
        <v/>
      </c>
      <c r="AO80" t="str">
        <f ca="1">IFERROR(IF(0=LEN(ReferenceData!$AO$80),"",ReferenceData!$AO$80),"")</f>
        <v/>
      </c>
      <c r="AP80" t="str">
        <f ca="1">IFERROR(IF(0=LEN(ReferenceData!$AP$80),"",ReferenceData!$AP$80),"")</f>
        <v/>
      </c>
      <c r="AQ80" t="str">
        <f ca="1">IFERROR(IF(0=LEN(ReferenceData!$AQ$80),"",ReferenceData!$AQ$80),"")</f>
        <v/>
      </c>
      <c r="AR80" t="str">
        <f ca="1">IFERROR(IF(0=LEN(ReferenceData!$AR$80),"",ReferenceData!$AR$80),"")</f>
        <v/>
      </c>
      <c r="AS80" t="str">
        <f ca="1">IFERROR(IF(0=LEN(ReferenceData!$AS$80),"",ReferenceData!$AS$80),"")</f>
        <v/>
      </c>
      <c r="AT80" t="str">
        <f ca="1">IFERROR(IF(0=LEN(ReferenceData!$AT$80),"",ReferenceData!$AT$80),"")</f>
        <v/>
      </c>
      <c r="AU80" t="str">
        <f ca="1">IFERROR(IF(0=LEN(ReferenceData!$AU$80),"",ReferenceData!$AU$80),"")</f>
        <v/>
      </c>
      <c r="AV80" t="str">
        <f ca="1">IFERROR(IF(0=LEN(ReferenceData!$AV$80),"",ReferenceData!$AV$80),"")</f>
        <v/>
      </c>
      <c r="AW80" t="str">
        <f ca="1">IFERROR(IF(0=LEN(ReferenceData!$AW$80),"",ReferenceData!$AW$80),"")</f>
        <v/>
      </c>
      <c r="AX80" t="str">
        <f ca="1">IFERROR(IF(0=LEN(ReferenceData!$AX$80),"",ReferenceData!$AX$80),"")</f>
        <v/>
      </c>
      <c r="AY80" t="str">
        <f ca="1">IFERROR(IF(0=LEN(ReferenceData!$AY$80),"",ReferenceData!$AY$80),"")</f>
        <v/>
      </c>
      <c r="AZ80" t="str">
        <f ca="1">IFERROR(IF(0=LEN(ReferenceData!$AZ$80),"",ReferenceData!$AZ$80),"")</f>
        <v/>
      </c>
      <c r="BA80" t="str">
        <f ca="1">IFERROR(IF(0=LEN(ReferenceData!$BA$80),"",ReferenceData!$BA$80),"")</f>
        <v/>
      </c>
      <c r="BB80" t="str">
        <f ca="1">IFERROR(IF(0=LEN(ReferenceData!$BB$80),"",ReferenceData!$BB$80),"")</f>
        <v/>
      </c>
      <c r="BC80" t="str">
        <f ca="1">IFERROR(IF(0=LEN(ReferenceData!$BC$80),"",ReferenceData!$BC$80),"")</f>
        <v/>
      </c>
      <c r="BD80" t="str">
        <f ca="1">IFERROR(IF(0=LEN(ReferenceData!$BD$80),"",ReferenceData!$BD$80),"")</f>
        <v/>
      </c>
      <c r="BE80" t="str">
        <f ca="1">IFERROR(IF(0=LEN(ReferenceData!$BE$80),"",ReferenceData!$BE$80),"")</f>
        <v/>
      </c>
      <c r="BF80" t="str">
        <f ca="1">IFERROR(IF(0=LEN(ReferenceData!$BF$80),"",ReferenceData!$BF$80),"")</f>
        <v/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>
      <c r="A81" t="str">
        <f>IFERROR(IF(0=LEN(ReferenceData!$A$81),"",ReferenceData!$A$81),"")</f>
        <v xml:space="preserve">    Medical Properties Trust Inc</v>
      </c>
      <c r="B81" t="str">
        <f>IFERROR(IF(0=LEN(ReferenceData!$B$81),"",ReferenceData!$B$81),"")</f>
        <v>MPW US Equity</v>
      </c>
      <c r="C81" t="str">
        <f>IFERROR(IF(0=LEN(ReferenceData!$C$81),"",ReferenceData!$C$81),"")</f>
        <v>IS972</v>
      </c>
      <c r="D81" t="str">
        <f>IFERROR(IF(0=LEN(ReferenceData!$D$81),"",ReferenceData!$D$81),"")</f>
        <v>IS_ADJUSTED_EBITDA_AS_REPORTED</v>
      </c>
      <c r="E81" t="str">
        <f>IFERROR(IF(0=LEN(ReferenceData!$E$81),"",ReferenceData!$E$81),"")</f>
        <v>动态</v>
      </c>
      <c r="F81" t="str">
        <f ca="1">IFERROR(IF(0=LEN(ReferenceData!$F$81),"",ReferenceData!$F$81),"")</f>
        <v/>
      </c>
      <c r="G81" t="str">
        <f ca="1">IFERROR(IF(0=LEN(ReferenceData!$G$81),"",ReferenceData!$G$81),"")</f>
        <v/>
      </c>
      <c r="H81" t="str">
        <f ca="1">IFERROR(IF(0=LEN(ReferenceData!$H$81),"",ReferenceData!$H$81),"")</f>
        <v/>
      </c>
      <c r="I81" t="str">
        <f ca="1">IFERROR(IF(0=LEN(ReferenceData!$I$81),"",ReferenceData!$I$81),"")</f>
        <v/>
      </c>
      <c r="J81" t="str">
        <f ca="1">IFERROR(IF(0=LEN(ReferenceData!$J$81),"",ReferenceData!$J$81),"")</f>
        <v/>
      </c>
      <c r="K81" t="str">
        <f ca="1">IFERROR(IF(0=LEN(ReferenceData!$K$81),"",ReferenceData!$K$81),"")</f>
        <v/>
      </c>
      <c r="L81" t="str">
        <f ca="1">IFERROR(IF(0=LEN(ReferenceData!$L$81),"",ReferenceData!$L$81),"")</f>
        <v/>
      </c>
      <c r="M81" t="str">
        <f ca="1">IFERROR(IF(0=LEN(ReferenceData!$M$81),"",ReferenceData!$M$81),"")</f>
        <v/>
      </c>
      <c r="N81" t="str">
        <f ca="1">IFERROR(IF(0=LEN(ReferenceData!$N$81),"",ReferenceData!$N$81),"")</f>
        <v/>
      </c>
      <c r="O81" t="str">
        <f ca="1">IFERROR(IF(0=LEN(ReferenceData!$O$81),"",ReferenceData!$O$81),"")</f>
        <v/>
      </c>
      <c r="P81" t="str">
        <f ca="1">IFERROR(IF(0=LEN(ReferenceData!$P$81),"",ReferenceData!$P$81),"")</f>
        <v/>
      </c>
      <c r="Q81" t="str">
        <f ca="1">IFERROR(IF(0=LEN(ReferenceData!$Q$81),"",ReferenceData!$Q$81),"")</f>
        <v/>
      </c>
      <c r="R81" t="str">
        <f ca="1">IFERROR(IF(0=LEN(ReferenceData!$R$81),"",ReferenceData!$R$81),"")</f>
        <v/>
      </c>
      <c r="S81" t="str">
        <f ca="1">IFERROR(IF(0=LEN(ReferenceData!$S$81),"",ReferenceData!$S$81),"")</f>
        <v/>
      </c>
      <c r="T81" t="str">
        <f ca="1">IFERROR(IF(0=LEN(ReferenceData!$T$81),"",ReferenceData!$T$81),"")</f>
        <v/>
      </c>
      <c r="U81" t="str">
        <f ca="1">IFERROR(IF(0=LEN(ReferenceData!$U$81),"",ReferenceData!$U$81),"")</f>
        <v/>
      </c>
      <c r="V81" t="str">
        <f ca="1">IFERROR(IF(0=LEN(ReferenceData!$V$81),"",ReferenceData!$V$81),"")</f>
        <v/>
      </c>
      <c r="W81" t="str">
        <f ca="1">IFERROR(IF(0=LEN(ReferenceData!$W$81),"",ReferenceData!$W$81),"")</f>
        <v/>
      </c>
      <c r="X81" t="str">
        <f ca="1">IFERROR(IF(0=LEN(ReferenceData!$X$81),"",ReferenceData!$X$81),"")</f>
        <v/>
      </c>
      <c r="Y81" t="str">
        <f ca="1">IFERROR(IF(0=LEN(ReferenceData!$Y$81),"",ReferenceData!$Y$81),"")</f>
        <v/>
      </c>
      <c r="Z81" t="str">
        <f ca="1">IFERROR(IF(0=LEN(ReferenceData!$Z$81),"",ReferenceData!$Z$81),"")</f>
        <v/>
      </c>
      <c r="AA81" t="str">
        <f ca="1">IFERROR(IF(0=LEN(ReferenceData!$AA$81),"",ReferenceData!$AA$81),"")</f>
        <v/>
      </c>
      <c r="AB81" t="str">
        <f ca="1">IFERROR(IF(0=LEN(ReferenceData!$AB$81),"",ReferenceData!$AB$81),"")</f>
        <v/>
      </c>
      <c r="AC81" t="str">
        <f ca="1">IFERROR(IF(0=LEN(ReferenceData!$AC$81),"",ReferenceData!$AC$81),"")</f>
        <v/>
      </c>
      <c r="AD81" t="str">
        <f ca="1">IFERROR(IF(0=LEN(ReferenceData!$AD$81),"",ReferenceData!$AD$81),"")</f>
        <v/>
      </c>
      <c r="AE81" t="str">
        <f ca="1">IFERROR(IF(0=LEN(ReferenceData!$AE$81),"",ReferenceData!$AE$81),"")</f>
        <v/>
      </c>
      <c r="AF81" t="str">
        <f ca="1">IFERROR(IF(0=LEN(ReferenceData!$AF$81),"",ReferenceData!$AF$81),"")</f>
        <v/>
      </c>
      <c r="AG81" t="str">
        <f ca="1">IFERROR(IF(0=LEN(ReferenceData!$AG$81),"",ReferenceData!$AG$81),"")</f>
        <v/>
      </c>
      <c r="AH81" t="str">
        <f ca="1">IFERROR(IF(0=LEN(ReferenceData!$AH$81),"",ReferenceData!$AH$81),"")</f>
        <v/>
      </c>
      <c r="AI81" t="str">
        <f ca="1">IFERROR(IF(0=LEN(ReferenceData!$AI$81),"",ReferenceData!$AI$81),"")</f>
        <v/>
      </c>
      <c r="AJ81" t="str">
        <f ca="1">IFERROR(IF(0=LEN(ReferenceData!$AJ$81),"",ReferenceData!$AJ$81),"")</f>
        <v/>
      </c>
      <c r="AK81" t="str">
        <f ca="1">IFERROR(IF(0=LEN(ReferenceData!$AK$81),"",ReferenceData!$AK$81),"")</f>
        <v/>
      </c>
      <c r="AL81" t="str">
        <f ca="1">IFERROR(IF(0=LEN(ReferenceData!$AL$81),"",ReferenceData!$AL$81),"")</f>
        <v/>
      </c>
      <c r="AM81" t="str">
        <f ca="1">IFERROR(IF(0=LEN(ReferenceData!$AM$81),"",ReferenceData!$AM$81),"")</f>
        <v/>
      </c>
      <c r="AN81" t="str">
        <f ca="1">IFERROR(IF(0=LEN(ReferenceData!$AN$81),"",ReferenceData!$AN$81),"")</f>
        <v/>
      </c>
      <c r="AO81" t="str">
        <f ca="1">IFERROR(IF(0=LEN(ReferenceData!$AO$81),"",ReferenceData!$AO$81),"")</f>
        <v/>
      </c>
      <c r="AP81" t="str">
        <f ca="1">IFERROR(IF(0=LEN(ReferenceData!$AP$81),"",ReferenceData!$AP$81),"")</f>
        <v/>
      </c>
      <c r="AQ81" t="str">
        <f ca="1">IFERROR(IF(0=LEN(ReferenceData!$AQ$81),"",ReferenceData!$AQ$81),"")</f>
        <v/>
      </c>
      <c r="AR81" t="str">
        <f ca="1">IFERROR(IF(0=LEN(ReferenceData!$AR$81),"",ReferenceData!$AR$81),"")</f>
        <v/>
      </c>
      <c r="AS81" t="str">
        <f ca="1">IFERROR(IF(0=LEN(ReferenceData!$AS$81),"",ReferenceData!$AS$81),"")</f>
        <v/>
      </c>
      <c r="AT81" t="str">
        <f ca="1">IFERROR(IF(0=LEN(ReferenceData!$AT$81),"",ReferenceData!$AT$81),"")</f>
        <v/>
      </c>
      <c r="AU81" t="str">
        <f ca="1">IFERROR(IF(0=LEN(ReferenceData!$AU$81),"",ReferenceData!$AU$81),"")</f>
        <v/>
      </c>
      <c r="AV81" t="str">
        <f ca="1">IFERROR(IF(0=LEN(ReferenceData!$AV$81),"",ReferenceData!$AV$81),"")</f>
        <v/>
      </c>
      <c r="AW81" t="str">
        <f ca="1">IFERROR(IF(0=LEN(ReferenceData!$AW$81),"",ReferenceData!$AW$81),"")</f>
        <v/>
      </c>
      <c r="AX81" t="str">
        <f ca="1">IFERROR(IF(0=LEN(ReferenceData!$AX$81),"",ReferenceData!$AX$81),"")</f>
        <v/>
      </c>
      <c r="AY81" t="str">
        <f ca="1">IFERROR(IF(0=LEN(ReferenceData!$AY$81),"",ReferenceData!$AY$81),"")</f>
        <v/>
      </c>
      <c r="AZ81" t="str">
        <f ca="1">IFERROR(IF(0=LEN(ReferenceData!$AZ$81),"",ReferenceData!$AZ$81),"")</f>
        <v/>
      </c>
      <c r="BA81" t="str">
        <f ca="1">IFERROR(IF(0=LEN(ReferenceData!$BA$81),"",ReferenceData!$BA$81),"")</f>
        <v/>
      </c>
      <c r="BB81" t="str">
        <f ca="1">IFERROR(IF(0=LEN(ReferenceData!$BB$81),"",ReferenceData!$BB$81),"")</f>
        <v/>
      </c>
      <c r="BC81" t="str">
        <f ca="1">IFERROR(IF(0=LEN(ReferenceData!$BC$81),"",ReferenceData!$BC$81),"")</f>
        <v/>
      </c>
      <c r="BD81" t="str">
        <f ca="1">IFERROR(IF(0=LEN(ReferenceData!$BD$81),"",ReferenceData!$BD$81),"")</f>
        <v/>
      </c>
      <c r="BE81" t="str">
        <f ca="1">IFERROR(IF(0=LEN(ReferenceData!$BE$81),"",ReferenceData!$BE$81),"")</f>
        <v/>
      </c>
      <c r="BF81" t="str">
        <f ca="1">IFERROR(IF(0=LEN(ReferenceData!$BF$81),"",ReferenceData!$BF$81),"")</f>
        <v/>
      </c>
      <c r="BG81" t="str">
        <f ca="1">IFERROR(IF(0=LEN(ReferenceData!$BG$81),"",ReferenceData!$BG$81),"")</f>
        <v/>
      </c>
      <c r="BH81" t="str">
        <f ca="1">IFERROR(IF(0=LEN(ReferenceData!$BH$81),"",ReferenceData!$BH$81),"")</f>
        <v/>
      </c>
      <c r="BI81" t="str">
        <f ca="1">IFERROR(IF(0=LEN(ReferenceData!$BI$81),"",ReferenceData!$BI$81),"")</f>
        <v/>
      </c>
      <c r="BJ81" t="str">
        <f ca="1">IFERROR(IF(0=LEN(ReferenceData!$BJ$81),"",ReferenceData!$BJ$81),"")</f>
        <v/>
      </c>
      <c r="BK81" t="str">
        <f ca="1">IFERROR(IF(0=LEN(ReferenceData!$BK$81),"",ReferenceData!$BK$81),"")</f>
        <v/>
      </c>
      <c r="BL81" t="str">
        <f ca="1">IFERROR(IF(0=LEN(ReferenceData!$BL$81),"",ReferenceData!$BL$81),"")</f>
        <v/>
      </c>
      <c r="BM81" t="str">
        <f ca="1">IFERROR(IF(0=LEN(ReferenceData!$BM$81),"",ReferenceData!$BM$81),"")</f>
        <v/>
      </c>
    </row>
    <row r="82" spans="1:65">
      <c r="A82" t="str">
        <f>IFERROR(IF(0=LEN(ReferenceData!$A$82),"",ReferenceData!$A$82),"")</f>
        <v xml:space="preserve">    Omega Healthcare Investors Inc</v>
      </c>
      <c r="B82" t="str">
        <f>IFERROR(IF(0=LEN(ReferenceData!$B$82),"",ReferenceData!$B$82),"")</f>
        <v>OHI US Equity</v>
      </c>
      <c r="C82" t="str">
        <f>IFERROR(IF(0=LEN(ReferenceData!$C$82),"",ReferenceData!$C$82),"")</f>
        <v>IS972</v>
      </c>
      <c r="D82" t="str">
        <f>IFERROR(IF(0=LEN(ReferenceData!$D$82),"",ReferenceData!$D$82),"")</f>
        <v>IS_ADJUSTED_EBITDA_AS_REPORTED</v>
      </c>
      <c r="E82" t="str">
        <f>IFERROR(IF(0=LEN(ReferenceData!$E$82),"",ReferenceData!$E$82),"")</f>
        <v>动态</v>
      </c>
      <c r="F82" t="str">
        <f ca="1">IFERROR(IF(0=LEN(ReferenceData!$F$82),"",ReferenceData!$F$82),"")</f>
        <v/>
      </c>
      <c r="G82">
        <f ca="1">IFERROR(IF(0=LEN(ReferenceData!$G$82),"",ReferenceData!$G$82),"")</f>
        <v>214.64099999999999</v>
      </c>
      <c r="H82">
        <f ca="1">IFERROR(IF(0=LEN(ReferenceData!$H$82),"",ReferenceData!$H$82),"")</f>
        <v>214.15199999999999</v>
      </c>
      <c r="I82">
        <f ca="1">IFERROR(IF(0=LEN(ReferenceData!$I$82),"",ReferenceData!$I$82),"")</f>
        <v>213.095</v>
      </c>
      <c r="J82">
        <f ca="1">IFERROR(IF(0=LEN(ReferenceData!$J$82),"",ReferenceData!$J$82),"")</f>
        <v>225.31899999999999</v>
      </c>
      <c r="K82">
        <f ca="1">IFERROR(IF(0=LEN(ReferenceData!$K$82),"",ReferenceData!$K$82),"")</f>
        <v>228.57</v>
      </c>
      <c r="L82">
        <f ca="1">IFERROR(IF(0=LEN(ReferenceData!$L$82),"",ReferenceData!$L$82),"")</f>
        <v>215.81800000000001</v>
      </c>
      <c r="M82">
        <f ca="1">IFERROR(IF(0=LEN(ReferenceData!$M$82),"",ReferenceData!$M$82),"")</f>
        <v>220.661</v>
      </c>
      <c r="N82">
        <f ca="1">IFERROR(IF(0=LEN(ReferenceData!$N$82),"",ReferenceData!$N$82),"")</f>
        <v>205.18799999999999</v>
      </c>
      <c r="O82">
        <f ca="1">IFERROR(IF(0=LEN(ReferenceData!$O$82),"",ReferenceData!$O$82),"")</f>
        <v>202.78399999999999</v>
      </c>
      <c r="P82">
        <f ca="1">IFERROR(IF(0=LEN(ReferenceData!$P$82),"",ReferenceData!$P$82),"")</f>
        <v>194.018</v>
      </c>
      <c r="Q82">
        <f ca="1">IFERROR(IF(0=LEN(ReferenceData!$Q$82),"",ReferenceData!$Q$82),"")</f>
        <v>190.28299999999999</v>
      </c>
      <c r="R82">
        <f ca="1">IFERROR(IF(0=LEN(ReferenceData!$R$82),"",ReferenceData!$R$82),"")</f>
        <v>129.10499999999999</v>
      </c>
      <c r="S82">
        <f ca="1">IFERROR(IF(0=LEN(ReferenceData!$S$82),"",ReferenceData!$S$82),"")</f>
        <v>126.244</v>
      </c>
      <c r="T82">
        <f ca="1">IFERROR(IF(0=LEN(ReferenceData!$T$82),"",ReferenceData!$T$82),"")</f>
        <v>126.126</v>
      </c>
      <c r="U82">
        <f ca="1">IFERROR(IF(0=LEN(ReferenceData!$U$82),"",ReferenceData!$U$82),"")</f>
        <v>117.80500000000001</v>
      </c>
      <c r="V82" t="str">
        <f ca="1">IFERROR(IF(0=LEN(ReferenceData!$V$82),"",ReferenceData!$V$82),"")</f>
        <v/>
      </c>
      <c r="W82" t="str">
        <f ca="1">IFERROR(IF(0=LEN(ReferenceData!$W$82),"",ReferenceData!$W$82),"")</f>
        <v/>
      </c>
      <c r="X82" t="str">
        <f ca="1">IFERROR(IF(0=LEN(ReferenceData!$X$82),"",ReferenceData!$X$82),"")</f>
        <v/>
      </c>
      <c r="Y82" t="str">
        <f ca="1">IFERROR(IF(0=LEN(ReferenceData!$Y$82),"",ReferenceData!$Y$82),"")</f>
        <v/>
      </c>
      <c r="Z82" t="str">
        <f ca="1">IFERROR(IF(0=LEN(ReferenceData!$Z$82),"",ReferenceData!$Z$82),"")</f>
        <v/>
      </c>
      <c r="AA82" t="str">
        <f ca="1">IFERROR(IF(0=LEN(ReferenceData!$AA$82),"",ReferenceData!$AA$82),"")</f>
        <v/>
      </c>
      <c r="AB82" t="str">
        <f ca="1">IFERROR(IF(0=LEN(ReferenceData!$AB$82),"",ReferenceData!$AB$82),"")</f>
        <v/>
      </c>
      <c r="AC82" t="str">
        <f ca="1">IFERROR(IF(0=LEN(ReferenceData!$AC$82),"",ReferenceData!$AC$82),"")</f>
        <v/>
      </c>
      <c r="AD82" t="str">
        <f ca="1">IFERROR(IF(0=LEN(ReferenceData!$AD$82),"",ReferenceData!$AD$82),"")</f>
        <v/>
      </c>
      <c r="AE82" t="str">
        <f ca="1">IFERROR(IF(0=LEN(ReferenceData!$AE$82),"",ReferenceData!$AE$82),"")</f>
        <v/>
      </c>
      <c r="AF82" t="str">
        <f ca="1">IFERROR(IF(0=LEN(ReferenceData!$AF$82),"",ReferenceData!$AF$82),"")</f>
        <v/>
      </c>
      <c r="AG82" t="str">
        <f ca="1">IFERROR(IF(0=LEN(ReferenceData!$AG$82),"",ReferenceData!$AG$82),"")</f>
        <v/>
      </c>
      <c r="AH82" t="str">
        <f ca="1">IFERROR(IF(0=LEN(ReferenceData!$AH$82),"",ReferenceData!$AH$82),"")</f>
        <v/>
      </c>
      <c r="AI82" t="str">
        <f ca="1">IFERROR(IF(0=LEN(ReferenceData!$AI$82),"",ReferenceData!$AI$82),"")</f>
        <v/>
      </c>
      <c r="AJ82" t="str">
        <f ca="1">IFERROR(IF(0=LEN(ReferenceData!$AJ$82),"",ReferenceData!$AJ$82),"")</f>
        <v/>
      </c>
      <c r="AK82" t="str">
        <f ca="1">IFERROR(IF(0=LEN(ReferenceData!$AK$82),"",ReferenceData!$AK$82),"")</f>
        <v/>
      </c>
      <c r="AL82" t="str">
        <f ca="1">IFERROR(IF(0=LEN(ReferenceData!$AL$82),"",ReferenceData!$AL$82),"")</f>
        <v/>
      </c>
      <c r="AM82" t="str">
        <f ca="1">IFERROR(IF(0=LEN(ReferenceData!$AM$82),"",ReferenceData!$AM$82),"")</f>
        <v/>
      </c>
      <c r="AN82" t="str">
        <f ca="1">IFERROR(IF(0=LEN(ReferenceData!$AN$82),"",ReferenceData!$AN$82),"")</f>
        <v/>
      </c>
      <c r="AO82" t="str">
        <f ca="1">IFERROR(IF(0=LEN(ReferenceData!$AO$82),"",ReferenceData!$AO$82),"")</f>
        <v/>
      </c>
      <c r="AP82" t="str">
        <f ca="1">IFERROR(IF(0=LEN(ReferenceData!$AP$82),"",ReferenceData!$AP$82),"")</f>
        <v/>
      </c>
      <c r="AQ82" t="str">
        <f ca="1">IFERROR(IF(0=LEN(ReferenceData!$AQ$82),"",ReferenceData!$AQ$82),"")</f>
        <v/>
      </c>
      <c r="AR82" t="str">
        <f ca="1">IFERROR(IF(0=LEN(ReferenceData!$AR$82),"",ReferenceData!$AR$82),"")</f>
        <v/>
      </c>
      <c r="AS82" t="str">
        <f ca="1">IFERROR(IF(0=LEN(ReferenceData!$AS$82),"",ReferenceData!$AS$82),"")</f>
        <v/>
      </c>
      <c r="AT82" t="str">
        <f ca="1">IFERROR(IF(0=LEN(ReferenceData!$AT$82),"",ReferenceData!$AT$82),"")</f>
        <v/>
      </c>
      <c r="AU82" t="str">
        <f ca="1">IFERROR(IF(0=LEN(ReferenceData!$AU$82),"",ReferenceData!$AU$82),"")</f>
        <v/>
      </c>
      <c r="AV82" t="str">
        <f ca="1">IFERROR(IF(0=LEN(ReferenceData!$AV$82),"",ReferenceData!$AV$82),"")</f>
        <v/>
      </c>
      <c r="AW82" t="str">
        <f ca="1">IFERROR(IF(0=LEN(ReferenceData!$AW$82),"",ReferenceData!$AW$82),"")</f>
        <v/>
      </c>
      <c r="AX82" t="str">
        <f ca="1">IFERROR(IF(0=LEN(ReferenceData!$AX$82),"",ReferenceData!$AX$82),"")</f>
        <v/>
      </c>
      <c r="AY82" t="str">
        <f ca="1">IFERROR(IF(0=LEN(ReferenceData!$AY$82),"",ReferenceData!$AY$82),"")</f>
        <v/>
      </c>
      <c r="AZ82" t="str">
        <f ca="1">IFERROR(IF(0=LEN(ReferenceData!$AZ$82),"",ReferenceData!$AZ$82),"")</f>
        <v/>
      </c>
      <c r="BA82" t="str">
        <f ca="1">IFERROR(IF(0=LEN(ReferenceData!$BA$82),"",ReferenceData!$BA$82),"")</f>
        <v/>
      </c>
      <c r="BB82" t="str">
        <f ca="1">IFERROR(IF(0=LEN(ReferenceData!$BB$82),"",ReferenceData!$BB$82),"")</f>
        <v/>
      </c>
      <c r="BC82" t="str">
        <f ca="1">IFERROR(IF(0=LEN(ReferenceData!$BC$82),"",ReferenceData!$BC$82),"")</f>
        <v/>
      </c>
      <c r="BD82" t="str">
        <f ca="1">IFERROR(IF(0=LEN(ReferenceData!$BD$82),"",ReferenceData!$BD$82),"")</f>
        <v/>
      </c>
      <c r="BE82" t="str">
        <f ca="1">IFERROR(IF(0=LEN(ReferenceData!$BE$82),"",ReferenceData!$BE$82),"")</f>
        <v/>
      </c>
      <c r="BF82" t="str">
        <f ca="1">IFERROR(IF(0=LEN(ReferenceData!$BF$82),"",ReferenceData!$BF$82),"")</f>
        <v/>
      </c>
      <c r="BG82" t="str">
        <f ca="1">IFERROR(IF(0=LEN(ReferenceData!$BG$82),"",ReferenceData!$BG$82),"")</f>
        <v/>
      </c>
      <c r="BH82" t="str">
        <f ca="1">IFERROR(IF(0=LEN(ReferenceData!$BH$82),"",ReferenceData!$BH$82),"")</f>
        <v/>
      </c>
      <c r="BI82" t="str">
        <f ca="1">IFERROR(IF(0=LEN(ReferenceData!$BI$82),"",ReferenceData!$BI$82),"")</f>
        <v/>
      </c>
      <c r="BJ82" t="str">
        <f ca="1">IFERROR(IF(0=LEN(ReferenceData!$BJ$82),"",ReferenceData!$BJ$82),"")</f>
        <v/>
      </c>
      <c r="BK82" t="str">
        <f ca="1">IFERROR(IF(0=LEN(ReferenceData!$BK$82),"",ReferenceData!$BK$82),"")</f>
        <v/>
      </c>
      <c r="BL82" t="str">
        <f ca="1">IFERROR(IF(0=LEN(ReferenceData!$BL$82),"",ReferenceData!$BL$82),"")</f>
        <v/>
      </c>
      <c r="BM82" t="str">
        <f ca="1">IFERROR(IF(0=LEN(ReferenceData!$BM$82),"",ReferenceData!$BM$82),"")</f>
        <v/>
      </c>
    </row>
    <row r="83" spans="1:65">
      <c r="A83" t="str">
        <f>IFERROR(IF(0=LEN(ReferenceData!$A$83),"",ReferenceData!$A$83),"")</f>
        <v xml:space="preserve">    Sabra Health Care REIT Inc</v>
      </c>
      <c r="B83" t="str">
        <f>IFERROR(IF(0=LEN(ReferenceData!$B$83),"",ReferenceData!$B$83),"")</f>
        <v>SBRA US Equity</v>
      </c>
      <c r="C83" t="str">
        <f>IFERROR(IF(0=LEN(ReferenceData!$C$83),"",ReferenceData!$C$83),"")</f>
        <v>IS972</v>
      </c>
      <c r="D83" t="str">
        <f>IFERROR(IF(0=LEN(ReferenceData!$D$83),"",ReferenceData!$D$83),"")</f>
        <v>IS_ADJUSTED_EBITDA_AS_REPORTED</v>
      </c>
      <c r="E83" t="str">
        <f>IFERROR(IF(0=LEN(ReferenceData!$E$83),"",ReferenceData!$E$83),"")</f>
        <v>动态</v>
      </c>
      <c r="F83" t="str">
        <f ca="1">IFERROR(IF(0=LEN(ReferenceData!$F$83),"",ReferenceData!$F$83),"")</f>
        <v/>
      </c>
      <c r="G83" t="str">
        <f ca="1">IFERROR(IF(0=LEN(ReferenceData!$G$83),"",ReferenceData!$G$83),"")</f>
        <v/>
      </c>
      <c r="H83" t="str">
        <f ca="1">IFERROR(IF(0=LEN(ReferenceData!$H$83),"",ReferenceData!$H$83),"")</f>
        <v/>
      </c>
      <c r="I83" t="str">
        <f ca="1">IFERROR(IF(0=LEN(ReferenceData!$I$83),"",ReferenceData!$I$83),"")</f>
        <v/>
      </c>
      <c r="J83" t="str">
        <f ca="1">IFERROR(IF(0=LEN(ReferenceData!$J$83),"",ReferenceData!$J$83),"")</f>
        <v/>
      </c>
      <c r="K83" t="str">
        <f ca="1">IFERROR(IF(0=LEN(ReferenceData!$K$83),"",ReferenceData!$K$83),"")</f>
        <v/>
      </c>
      <c r="L83" t="str">
        <f ca="1">IFERROR(IF(0=LEN(ReferenceData!$L$83),"",ReferenceData!$L$83),"")</f>
        <v/>
      </c>
      <c r="M83" t="str">
        <f ca="1">IFERROR(IF(0=LEN(ReferenceData!$M$83),"",ReferenceData!$M$83),"")</f>
        <v/>
      </c>
      <c r="N83" t="str">
        <f ca="1">IFERROR(IF(0=LEN(ReferenceData!$N$83),"",ReferenceData!$N$83),"")</f>
        <v/>
      </c>
      <c r="O83" t="str">
        <f ca="1">IFERROR(IF(0=LEN(ReferenceData!$O$83),"",ReferenceData!$O$83),"")</f>
        <v/>
      </c>
      <c r="P83" t="str">
        <f ca="1">IFERROR(IF(0=LEN(ReferenceData!$P$83),"",ReferenceData!$P$83),"")</f>
        <v/>
      </c>
      <c r="Q83" t="str">
        <f ca="1">IFERROR(IF(0=LEN(ReferenceData!$Q$83),"",ReferenceData!$Q$83),"")</f>
        <v/>
      </c>
      <c r="R83" t="str">
        <f ca="1">IFERROR(IF(0=LEN(ReferenceData!$R$83),"",ReferenceData!$R$83),"")</f>
        <v/>
      </c>
      <c r="S83" t="str">
        <f ca="1">IFERROR(IF(0=LEN(ReferenceData!$S$83),"",ReferenceData!$S$83),"")</f>
        <v/>
      </c>
      <c r="T83" t="str">
        <f ca="1">IFERROR(IF(0=LEN(ReferenceData!$T$83),"",ReferenceData!$T$83),"")</f>
        <v/>
      </c>
      <c r="U83">
        <f ca="1">IFERROR(IF(0=LEN(ReferenceData!$U$83),"",ReferenceData!$U$83),"")</f>
        <v>35.046999999999997</v>
      </c>
      <c r="V83">
        <f ca="1">IFERROR(IF(0=LEN(ReferenceData!$V$83),"",ReferenceData!$V$83),"")</f>
        <v>34.997</v>
      </c>
      <c r="W83">
        <f ca="1">IFERROR(IF(0=LEN(ReferenceData!$W$83),"",ReferenceData!$W$83),"")</f>
        <v>32.33</v>
      </c>
      <c r="X83">
        <f ca="1">IFERROR(IF(0=LEN(ReferenceData!$X$83),"",ReferenceData!$X$83),"")</f>
        <v>29.869</v>
      </c>
      <c r="Y83">
        <f ca="1">IFERROR(IF(0=LEN(ReferenceData!$Y$83),"",ReferenceData!$Y$83),"")</f>
        <v>28.853000000000002</v>
      </c>
      <c r="Z83" t="str">
        <f ca="1">IFERROR(IF(0=LEN(ReferenceData!$Z$83),"",ReferenceData!$Z$83),"")</f>
        <v/>
      </c>
      <c r="AA83" t="str">
        <f ca="1">IFERROR(IF(0=LEN(ReferenceData!$AA$83),"",ReferenceData!$AA$83),"")</f>
        <v/>
      </c>
      <c r="AB83" t="str">
        <f ca="1">IFERROR(IF(0=LEN(ReferenceData!$AB$83),"",ReferenceData!$AB$83),"")</f>
        <v/>
      </c>
      <c r="AC83" t="str">
        <f ca="1">IFERROR(IF(0=LEN(ReferenceData!$AC$83),"",ReferenceData!$AC$83),"")</f>
        <v/>
      </c>
      <c r="AD83" t="str">
        <f ca="1">IFERROR(IF(0=LEN(ReferenceData!$AD$83),"",ReferenceData!$AD$83),"")</f>
        <v/>
      </c>
      <c r="AE83" t="str">
        <f ca="1">IFERROR(IF(0=LEN(ReferenceData!$AE$83),"",ReferenceData!$AE$83),"")</f>
        <v/>
      </c>
      <c r="AF83" t="str">
        <f ca="1">IFERROR(IF(0=LEN(ReferenceData!$AF$83),"",ReferenceData!$AF$83),"")</f>
        <v/>
      </c>
      <c r="AG83" t="str">
        <f ca="1">IFERROR(IF(0=LEN(ReferenceData!$AG$83),"",ReferenceData!$AG$83),"")</f>
        <v/>
      </c>
      <c r="AH83" t="str">
        <f ca="1">IFERROR(IF(0=LEN(ReferenceData!$AH$83),"",ReferenceData!$AH$83),"")</f>
        <v/>
      </c>
      <c r="AI83" t="str">
        <f ca="1">IFERROR(IF(0=LEN(ReferenceData!$AI$83),"",ReferenceData!$AI$83),"")</f>
        <v/>
      </c>
      <c r="AJ83" t="str">
        <f ca="1">IFERROR(IF(0=LEN(ReferenceData!$AJ$83),"",ReferenceData!$AJ$83),"")</f>
        <v/>
      </c>
      <c r="AK83" t="str">
        <f ca="1">IFERROR(IF(0=LEN(ReferenceData!$AK$83),"",ReferenceData!$AK$83),"")</f>
        <v/>
      </c>
      <c r="AL83" t="str">
        <f ca="1">IFERROR(IF(0=LEN(ReferenceData!$AL$83),"",ReferenceData!$AL$83),"")</f>
        <v/>
      </c>
      <c r="AM83" t="str">
        <f ca="1">IFERROR(IF(0=LEN(ReferenceData!$AM$83),"",ReferenceData!$AM$83),"")</f>
        <v/>
      </c>
      <c r="AN83" t="str">
        <f ca="1">IFERROR(IF(0=LEN(ReferenceData!$AN$83),"",ReferenceData!$AN$83),"")</f>
        <v/>
      </c>
      <c r="AO83" t="str">
        <f ca="1">IFERROR(IF(0=LEN(ReferenceData!$AO$83),"",ReferenceData!$AO$83),"")</f>
        <v/>
      </c>
      <c r="AP83" t="str">
        <f ca="1">IFERROR(IF(0=LEN(ReferenceData!$AP$83),"",ReferenceData!$AP$83),"")</f>
        <v/>
      </c>
      <c r="AQ83" t="str">
        <f ca="1">IFERROR(IF(0=LEN(ReferenceData!$AQ$83),"",ReferenceData!$AQ$83),"")</f>
        <v/>
      </c>
      <c r="AR83" t="str">
        <f ca="1">IFERROR(IF(0=LEN(ReferenceData!$AR$83),"",ReferenceData!$AR$83),"")</f>
        <v/>
      </c>
      <c r="AS83" t="str">
        <f ca="1">IFERROR(IF(0=LEN(ReferenceData!$AS$83),"",ReferenceData!$AS$83),"")</f>
        <v/>
      </c>
      <c r="AT83" t="str">
        <f ca="1">IFERROR(IF(0=LEN(ReferenceData!$AT$83),"",ReferenceData!$AT$83),"")</f>
        <v/>
      </c>
      <c r="AU83" t="str">
        <f ca="1">IFERROR(IF(0=LEN(ReferenceData!$AU$83),"",ReferenceData!$AU$83),"")</f>
        <v/>
      </c>
      <c r="AV83" t="str">
        <f ca="1">IFERROR(IF(0=LEN(ReferenceData!$AV$83),"",ReferenceData!$AV$83),"")</f>
        <v/>
      </c>
      <c r="AW83" t="str">
        <f ca="1">IFERROR(IF(0=LEN(ReferenceData!$AW$83),"",ReferenceData!$AW$83),"")</f>
        <v/>
      </c>
      <c r="AX83" t="str">
        <f ca="1">IFERROR(IF(0=LEN(ReferenceData!$AX$83),"",ReferenceData!$AX$83),"")</f>
        <v/>
      </c>
      <c r="AY83" t="str">
        <f ca="1">IFERROR(IF(0=LEN(ReferenceData!$AY$83),"",ReferenceData!$AY$83),"")</f>
        <v/>
      </c>
      <c r="AZ83" t="str">
        <f ca="1">IFERROR(IF(0=LEN(ReferenceData!$AZ$83),"",ReferenceData!$AZ$83),"")</f>
        <v/>
      </c>
      <c r="BA83" t="str">
        <f ca="1">IFERROR(IF(0=LEN(ReferenceData!$BA$83),"",ReferenceData!$BA$83),"")</f>
        <v/>
      </c>
      <c r="BB83" t="str">
        <f ca="1">IFERROR(IF(0=LEN(ReferenceData!$BB$83),"",ReferenceData!$BB$83),"")</f>
        <v/>
      </c>
      <c r="BC83" t="str">
        <f ca="1">IFERROR(IF(0=LEN(ReferenceData!$BC$83),"",ReferenceData!$BC$83),"")</f>
        <v/>
      </c>
      <c r="BD83" t="str">
        <f ca="1">IFERROR(IF(0=LEN(ReferenceData!$BD$83),"",ReferenceData!$BD$83),"")</f>
        <v/>
      </c>
      <c r="BE83" t="str">
        <f ca="1">IFERROR(IF(0=LEN(ReferenceData!$BE$83),"",ReferenceData!$BE$83),"")</f>
        <v/>
      </c>
      <c r="BF83" t="str">
        <f ca="1">IFERROR(IF(0=LEN(ReferenceData!$BF$83),"",ReferenceData!$BF$83),"")</f>
        <v/>
      </c>
      <c r="BG83" t="str">
        <f ca="1">IFERROR(IF(0=LEN(ReferenceData!$BG$83),"",ReferenceData!$BG$83),"")</f>
        <v/>
      </c>
      <c r="BH83" t="str">
        <f ca="1">IFERROR(IF(0=LEN(ReferenceData!$BH$83),"",ReferenceData!$BH$83),"")</f>
        <v/>
      </c>
      <c r="BI83" t="str">
        <f ca="1">IFERROR(IF(0=LEN(ReferenceData!$BI$83),"",ReferenceData!$BI$83),"")</f>
        <v/>
      </c>
      <c r="BJ83" t="str">
        <f ca="1">IFERROR(IF(0=LEN(ReferenceData!$BJ$83),"",ReferenceData!$BJ$83),"")</f>
        <v/>
      </c>
      <c r="BK83" t="str">
        <f ca="1">IFERROR(IF(0=LEN(ReferenceData!$BK$83),"",ReferenceData!$BK$83),"")</f>
        <v/>
      </c>
      <c r="BL83" t="str">
        <f ca="1">IFERROR(IF(0=LEN(ReferenceData!$BL$83),"",ReferenceData!$BL$83),"")</f>
        <v/>
      </c>
      <c r="BM83" t="str">
        <f ca="1">IFERROR(IF(0=LEN(ReferenceData!$BM$83),"",ReferenceData!$BM$83),"")</f>
        <v/>
      </c>
    </row>
    <row r="84" spans="1:65">
      <c r="A84" t="str">
        <f>IFERROR(IF(0=LEN(ReferenceData!$A$84),"",ReferenceData!$A$84),"")</f>
        <v xml:space="preserve">    Senior Housing Properties Trus</v>
      </c>
      <c r="B84" t="str">
        <f>IFERROR(IF(0=LEN(ReferenceData!$B$84),"",ReferenceData!$B$84),"")</f>
        <v>SNH US Equity</v>
      </c>
      <c r="C84" t="str">
        <f>IFERROR(IF(0=LEN(ReferenceData!$C$84),"",ReferenceData!$C$84),"")</f>
        <v>IS972</v>
      </c>
      <c r="D84" t="str">
        <f>IFERROR(IF(0=LEN(ReferenceData!$D$84),"",ReferenceData!$D$84),"")</f>
        <v>IS_ADJUSTED_EBITDA_AS_REPORTED</v>
      </c>
      <c r="E84" t="str">
        <f>IFERROR(IF(0=LEN(ReferenceData!$E$84),"",ReferenceData!$E$84),"")</f>
        <v>动态</v>
      </c>
      <c r="F84" t="str">
        <f ca="1">IFERROR(IF(0=LEN(ReferenceData!$F$84),"",ReferenceData!$F$84),"")</f>
        <v/>
      </c>
      <c r="G84">
        <f ca="1">IFERROR(IF(0=LEN(ReferenceData!$G$84),"",ReferenceData!$G$84),"")</f>
        <v>107.187</v>
      </c>
      <c r="H84">
        <f ca="1">IFERROR(IF(0=LEN(ReferenceData!$H$84),"",ReferenceData!$H$84),"")</f>
        <v>151.51499999999999</v>
      </c>
      <c r="I84">
        <f ca="1">IFERROR(IF(0=LEN(ReferenceData!$I$84),"",ReferenceData!$I$84),"")</f>
        <v>151.80799999999999</v>
      </c>
      <c r="J84">
        <f ca="1">IFERROR(IF(0=LEN(ReferenceData!$J$84),"",ReferenceData!$J$84),"")</f>
        <v>152.98400000000001</v>
      </c>
      <c r="K84">
        <f ca="1">IFERROR(IF(0=LEN(ReferenceData!$K$84),"",ReferenceData!$K$84),"")</f>
        <v>162.505</v>
      </c>
      <c r="L84">
        <f ca="1">IFERROR(IF(0=LEN(ReferenceData!$L$84),"",ReferenceData!$L$84),"")</f>
        <v>150.15700000000001</v>
      </c>
      <c r="M84">
        <f ca="1">IFERROR(IF(0=LEN(ReferenceData!$M$84),"",ReferenceData!$M$84),"")</f>
        <v>153.661</v>
      </c>
      <c r="N84">
        <f ca="1">IFERROR(IF(0=LEN(ReferenceData!$N$84),"",ReferenceData!$N$84),"")</f>
        <v>152.822</v>
      </c>
      <c r="O84">
        <f ca="1">IFERROR(IF(0=LEN(ReferenceData!$O$84),"",ReferenceData!$O$84),"")</f>
        <v>151.44200000000001</v>
      </c>
      <c r="P84">
        <f ca="1">IFERROR(IF(0=LEN(ReferenceData!$P$84),"",ReferenceData!$P$84),"")</f>
        <v>150.804</v>
      </c>
      <c r="Q84">
        <f ca="1">IFERROR(IF(0=LEN(ReferenceData!$Q$84),"",ReferenceData!$Q$84),"")</f>
        <v>145.911</v>
      </c>
      <c r="R84">
        <f ca="1">IFERROR(IF(0=LEN(ReferenceData!$R$84),"",ReferenceData!$R$84),"")</f>
        <v>135.905</v>
      </c>
      <c r="S84">
        <f ca="1">IFERROR(IF(0=LEN(ReferenceData!$S$84),"",ReferenceData!$S$84),"")</f>
        <v>128.548</v>
      </c>
      <c r="T84">
        <f ca="1">IFERROR(IF(0=LEN(ReferenceData!$T$84),"",ReferenceData!$T$84),"")</f>
        <v>127.375</v>
      </c>
      <c r="U84">
        <f ca="1">IFERROR(IF(0=LEN(ReferenceData!$U$84),"",ReferenceData!$U$84),"")</f>
        <v>122.152</v>
      </c>
      <c r="V84">
        <f ca="1">IFERROR(IF(0=LEN(ReferenceData!$V$84),"",ReferenceData!$V$84),"")</f>
        <v>110.35599999999999</v>
      </c>
      <c r="W84">
        <f ca="1">IFERROR(IF(0=LEN(ReferenceData!$W$84),"",ReferenceData!$W$84),"")</f>
        <v>110.004</v>
      </c>
      <c r="X84">
        <f ca="1">IFERROR(IF(0=LEN(ReferenceData!$X$84),"",ReferenceData!$X$84),"")</f>
        <v>108.375</v>
      </c>
      <c r="Y84">
        <f ca="1">IFERROR(IF(0=LEN(ReferenceData!$Y$84),"",ReferenceData!$Y$84),"")</f>
        <v>108.764</v>
      </c>
      <c r="Z84">
        <f ca="1">IFERROR(IF(0=LEN(ReferenceData!$Z$84),"",ReferenceData!$Z$84),"")</f>
        <v>108.648</v>
      </c>
      <c r="AA84">
        <f ca="1">IFERROR(IF(0=LEN(ReferenceData!$AA$84),"",ReferenceData!$AA$84),"")</f>
        <v>105.405</v>
      </c>
      <c r="AB84">
        <f ca="1">IFERROR(IF(0=LEN(ReferenceData!$AB$84),"",ReferenceData!$AB$84),"")</f>
        <v>105.23699999999999</v>
      </c>
      <c r="AC84">
        <f ca="1">IFERROR(IF(0=LEN(ReferenceData!$AC$84),"",ReferenceData!$AC$84),"")</f>
        <v>101.373</v>
      </c>
      <c r="AD84" t="str">
        <f ca="1">IFERROR(IF(0=LEN(ReferenceData!$AD$84),"",ReferenceData!$AD$84),"")</f>
        <v/>
      </c>
      <c r="AE84">
        <f ca="1">IFERROR(IF(0=LEN(ReferenceData!$AE$84),"",ReferenceData!$AE$84),"")</f>
        <v>363.25799999999998</v>
      </c>
      <c r="AF84">
        <f ca="1">IFERROR(IF(0=LEN(ReferenceData!$AF$84),"",ReferenceData!$AF$84),"")</f>
        <v>90.305000000000007</v>
      </c>
      <c r="AG84" t="str">
        <f ca="1">IFERROR(IF(0=LEN(ReferenceData!$AG$84),"",ReferenceData!$AG$84),"")</f>
        <v/>
      </c>
      <c r="AH84" t="str">
        <f ca="1">IFERROR(IF(0=LEN(ReferenceData!$AH$84),"",ReferenceData!$AH$84),"")</f>
        <v/>
      </c>
      <c r="AI84" t="str">
        <f ca="1">IFERROR(IF(0=LEN(ReferenceData!$AI$84),"",ReferenceData!$AI$84),"")</f>
        <v/>
      </c>
      <c r="AJ84" t="str">
        <f ca="1">IFERROR(IF(0=LEN(ReferenceData!$AJ$84),"",ReferenceData!$AJ$84),"")</f>
        <v/>
      </c>
      <c r="AK84" t="str">
        <f ca="1">IFERROR(IF(0=LEN(ReferenceData!$AK$84),"",ReferenceData!$AK$84),"")</f>
        <v/>
      </c>
      <c r="AL84" t="str">
        <f ca="1">IFERROR(IF(0=LEN(ReferenceData!$AL$84),"",ReferenceData!$AL$84),"")</f>
        <v/>
      </c>
      <c r="AM84" t="str">
        <f ca="1">IFERROR(IF(0=LEN(ReferenceData!$AM$84),"",ReferenceData!$AM$84),"")</f>
        <v/>
      </c>
      <c r="AN84" t="str">
        <f ca="1">IFERROR(IF(0=LEN(ReferenceData!$AN$84),"",ReferenceData!$AN$84),"")</f>
        <v/>
      </c>
      <c r="AO84" t="str">
        <f ca="1">IFERROR(IF(0=LEN(ReferenceData!$AO$84),"",ReferenceData!$AO$84),"")</f>
        <v/>
      </c>
      <c r="AP84" t="str">
        <f ca="1">IFERROR(IF(0=LEN(ReferenceData!$AP$84),"",ReferenceData!$AP$84),"")</f>
        <v/>
      </c>
      <c r="AQ84" t="str">
        <f ca="1">IFERROR(IF(0=LEN(ReferenceData!$AQ$84),"",ReferenceData!$AQ$84),"")</f>
        <v/>
      </c>
      <c r="AR84" t="str">
        <f ca="1">IFERROR(IF(0=LEN(ReferenceData!$AR$84),"",ReferenceData!$AR$84),"")</f>
        <v/>
      </c>
      <c r="AS84" t="str">
        <f ca="1">IFERROR(IF(0=LEN(ReferenceData!$AS$84),"",ReferenceData!$AS$84),"")</f>
        <v/>
      </c>
      <c r="AT84" t="str">
        <f ca="1">IFERROR(IF(0=LEN(ReferenceData!$AT$84),"",ReferenceData!$AT$84),"")</f>
        <v/>
      </c>
      <c r="AU84" t="str">
        <f ca="1">IFERROR(IF(0=LEN(ReferenceData!$AU$84),"",ReferenceData!$AU$84),"")</f>
        <v/>
      </c>
      <c r="AV84" t="str">
        <f ca="1">IFERROR(IF(0=LEN(ReferenceData!$AV$84),"",ReferenceData!$AV$84),"")</f>
        <v/>
      </c>
      <c r="AW84" t="str">
        <f ca="1">IFERROR(IF(0=LEN(ReferenceData!$AW$84),"",ReferenceData!$AW$84),"")</f>
        <v/>
      </c>
      <c r="AX84" t="str">
        <f ca="1">IFERROR(IF(0=LEN(ReferenceData!$AX$84),"",ReferenceData!$AX$84),"")</f>
        <v/>
      </c>
      <c r="AY84" t="str">
        <f ca="1">IFERROR(IF(0=LEN(ReferenceData!$AY$84),"",ReferenceData!$AY$84),"")</f>
        <v/>
      </c>
      <c r="AZ84" t="str">
        <f ca="1">IFERROR(IF(0=LEN(ReferenceData!$AZ$84),"",ReferenceData!$AZ$84),"")</f>
        <v/>
      </c>
      <c r="BA84" t="str">
        <f ca="1">IFERROR(IF(0=LEN(ReferenceData!$BA$84),"",ReferenceData!$BA$84),"")</f>
        <v/>
      </c>
      <c r="BB84" t="str">
        <f ca="1">IFERROR(IF(0=LEN(ReferenceData!$BB$84),"",ReferenceData!$BB$84),"")</f>
        <v/>
      </c>
      <c r="BC84" t="str">
        <f ca="1">IFERROR(IF(0=LEN(ReferenceData!$BC$84),"",ReferenceData!$BC$84),"")</f>
        <v/>
      </c>
      <c r="BD84" t="str">
        <f ca="1">IFERROR(IF(0=LEN(ReferenceData!$BD$84),"",ReferenceData!$BD$84),"")</f>
        <v/>
      </c>
      <c r="BE84" t="str">
        <f ca="1">IFERROR(IF(0=LEN(ReferenceData!$BE$84),"",ReferenceData!$BE$84),"")</f>
        <v/>
      </c>
      <c r="BF84" t="str">
        <f ca="1">IFERROR(IF(0=LEN(ReferenceData!$BF$84),"",ReferenceData!$BF$84),"")</f>
        <v/>
      </c>
      <c r="BG84" t="str">
        <f ca="1">IFERROR(IF(0=LEN(ReferenceData!$BG$84),"",ReferenceData!$BG$84),"")</f>
        <v/>
      </c>
      <c r="BH84" t="str">
        <f ca="1">IFERROR(IF(0=LEN(ReferenceData!$BH$84),"",ReferenceData!$BH$84),"")</f>
        <v/>
      </c>
      <c r="BI84" t="str">
        <f ca="1">IFERROR(IF(0=LEN(ReferenceData!$BI$84),"",ReferenceData!$BI$84),"")</f>
        <v/>
      </c>
      <c r="BJ84" t="str">
        <f ca="1">IFERROR(IF(0=LEN(ReferenceData!$BJ$84),"",ReferenceData!$BJ$84),"")</f>
        <v/>
      </c>
      <c r="BK84" t="str">
        <f ca="1">IFERROR(IF(0=LEN(ReferenceData!$BK$84),"",ReferenceData!$BK$84),"")</f>
        <v/>
      </c>
      <c r="BL84" t="str">
        <f ca="1">IFERROR(IF(0=LEN(ReferenceData!$BL$84),"",ReferenceData!$BL$84),"")</f>
        <v/>
      </c>
      <c r="BM84" t="str">
        <f ca="1">IFERROR(IF(0=LEN(ReferenceData!$BM$84),"",ReferenceData!$BM$84),"")</f>
        <v/>
      </c>
    </row>
    <row r="85" spans="1:65">
      <c r="A85" t="str">
        <f>IFERROR(IF(0=LEN(ReferenceData!$A$85),"",ReferenceData!$A$85),"")</f>
        <v xml:space="preserve">    Ventas Inc</v>
      </c>
      <c r="B85" t="str">
        <f>IFERROR(IF(0=LEN(ReferenceData!$B$85),"",ReferenceData!$B$85),"")</f>
        <v>VTR US Equity</v>
      </c>
      <c r="C85" t="str">
        <f>IFERROR(IF(0=LEN(ReferenceData!$C$85),"",ReferenceData!$C$85),"")</f>
        <v>IS972</v>
      </c>
      <c r="D85" t="str">
        <f>IFERROR(IF(0=LEN(ReferenceData!$D$85),"",ReferenceData!$D$85),"")</f>
        <v>IS_ADJUSTED_EBITDA_AS_REPORTED</v>
      </c>
      <c r="E85" t="str">
        <f>IFERROR(IF(0=LEN(ReferenceData!$E$85),"",ReferenceData!$E$85),"")</f>
        <v>动态</v>
      </c>
      <c r="F85" t="str">
        <f ca="1">IFERROR(IF(0=LEN(ReferenceData!$F$85),"",ReferenceData!$F$85),"")</f>
        <v/>
      </c>
      <c r="G85">
        <f ca="1">IFERROR(IF(0=LEN(ReferenceData!$G$85),"",ReferenceData!$G$85),"")</f>
        <v>495.05599999999998</v>
      </c>
      <c r="H85">
        <f ca="1">IFERROR(IF(0=LEN(ReferenceData!$H$85),"",ReferenceData!$H$85),"")</f>
        <v>497.36200000000002</v>
      </c>
      <c r="I85">
        <f ca="1">IFERROR(IF(0=LEN(ReferenceData!$I$85),"",ReferenceData!$I$85),"")</f>
        <v>504.87900000000002</v>
      </c>
      <c r="J85">
        <f ca="1">IFERROR(IF(0=LEN(ReferenceData!$J$85),"",ReferenceData!$J$85),"")</f>
        <v>484.80399999999997</v>
      </c>
      <c r="K85">
        <f ca="1">IFERROR(IF(0=LEN(ReferenceData!$K$85),"",ReferenceData!$K$85),"")</f>
        <v>478.608</v>
      </c>
      <c r="L85">
        <f ca="1">IFERROR(IF(0=LEN(ReferenceData!$L$85),"",ReferenceData!$L$85),"")</f>
        <v>479.91300000000001</v>
      </c>
      <c r="M85">
        <f ca="1">IFERROR(IF(0=LEN(ReferenceData!$M$85),"",ReferenceData!$M$85),"")</f>
        <v>465.80099999999999</v>
      </c>
      <c r="N85">
        <f ca="1">IFERROR(IF(0=LEN(ReferenceData!$N$85),"",ReferenceData!$N$85),"")</f>
        <v>461.51900000000001</v>
      </c>
      <c r="O85">
        <f ca="1">IFERROR(IF(0=LEN(ReferenceData!$O$85),"",ReferenceData!$O$85),"")</f>
        <v>457.202</v>
      </c>
      <c r="P85">
        <f ca="1">IFERROR(IF(0=LEN(ReferenceData!$P$85),"",ReferenceData!$P$85),"")</f>
        <v>484.15899999999999</v>
      </c>
      <c r="Q85">
        <f ca="1">IFERROR(IF(0=LEN(ReferenceData!$Q$85),"",ReferenceData!$Q$85),"")</f>
        <v>510.44400000000002</v>
      </c>
      <c r="R85">
        <f ca="1">IFERROR(IF(0=LEN(ReferenceData!$R$85),"",ReferenceData!$R$85),"")</f>
        <v>503.40699999999998</v>
      </c>
      <c r="S85">
        <f ca="1">IFERROR(IF(0=LEN(ReferenceData!$S$85),"",ReferenceData!$S$85),"")</f>
        <v>459.21100000000001</v>
      </c>
      <c r="T85">
        <f ca="1">IFERROR(IF(0=LEN(ReferenceData!$T$85),"",ReferenceData!$T$85),"")</f>
        <v>440.09699999999998</v>
      </c>
      <c r="U85">
        <f ca="1">IFERROR(IF(0=LEN(ReferenceData!$U$85),"",ReferenceData!$U$85),"")</f>
        <v>433.50599999999997</v>
      </c>
      <c r="V85">
        <f ca="1">IFERROR(IF(0=LEN(ReferenceData!$V$85),"",ReferenceData!$V$85),"")</f>
        <v>421.81700000000001</v>
      </c>
      <c r="W85">
        <f ca="1">IFERROR(IF(0=LEN(ReferenceData!$W$85),"",ReferenceData!$W$85),"")</f>
        <v>416.51799999999997</v>
      </c>
      <c r="X85">
        <f ca="1">IFERROR(IF(0=LEN(ReferenceData!$X$85),"",ReferenceData!$X$85),"")</f>
        <v>400.26900000000001</v>
      </c>
      <c r="Y85">
        <f ca="1">IFERROR(IF(0=LEN(ReferenceData!$Y$85),"",ReferenceData!$Y$85),"")</f>
        <v>390.56599999999997</v>
      </c>
      <c r="Z85">
        <f ca="1">IFERROR(IF(0=LEN(ReferenceData!$Z$85),"",ReferenceData!$Z$85),"")</f>
        <v>391.49400000000003</v>
      </c>
      <c r="AA85">
        <f ca="1">IFERROR(IF(0=LEN(ReferenceData!$AA$85),"",ReferenceData!$AA$85),"")</f>
        <v>378.053</v>
      </c>
      <c r="AB85">
        <f ca="1">IFERROR(IF(0=LEN(ReferenceData!$AB$85),"",ReferenceData!$AB$85),"")</f>
        <v>369.31099999999998</v>
      </c>
      <c r="AC85">
        <f ca="1">IFERROR(IF(0=LEN(ReferenceData!$AC$85),"",ReferenceData!$AC$85),"")</f>
        <v>361.89100000000002</v>
      </c>
      <c r="AD85">
        <f ca="1">IFERROR(IF(0=LEN(ReferenceData!$AD$85),"",ReferenceData!$AD$85),"")</f>
        <v>340.80700000000002</v>
      </c>
      <c r="AE85">
        <f ca="1">IFERROR(IF(0=LEN(ReferenceData!$AE$85),"",ReferenceData!$AE$85),"")</f>
        <v>337.08</v>
      </c>
      <c r="AF85">
        <f ca="1">IFERROR(IF(0=LEN(ReferenceData!$AF$85),"",ReferenceData!$AF$85),"")</f>
        <v>333.37200000000001</v>
      </c>
      <c r="AG85">
        <f ca="1">IFERROR(IF(0=LEN(ReferenceData!$AG$85),"",ReferenceData!$AG$85),"")</f>
        <v>199.607</v>
      </c>
      <c r="AH85">
        <f ca="1">IFERROR(IF(0=LEN(ReferenceData!$AH$85),"",ReferenceData!$AH$85),"")</f>
        <v>167.4</v>
      </c>
      <c r="AI85">
        <f ca="1">IFERROR(IF(0=LEN(ReferenceData!$AI$85),"",ReferenceData!$AI$85),"")</f>
        <v>173.74799999999999</v>
      </c>
      <c r="AJ85">
        <f ca="1">IFERROR(IF(0=LEN(ReferenceData!$AJ$85),"",ReferenceData!$AJ$85),"")</f>
        <v>167.745</v>
      </c>
      <c r="AK85">
        <f ca="1">IFERROR(IF(0=LEN(ReferenceData!$AK$85),"",ReferenceData!$AK$85),"")</f>
        <v>162.75299999999999</v>
      </c>
      <c r="AL85">
        <f ca="1">IFERROR(IF(0=LEN(ReferenceData!$AL$85),"",ReferenceData!$AL$85),"")</f>
        <v>155.86699999999999</v>
      </c>
      <c r="AM85">
        <f ca="1">IFERROR(IF(0=LEN(ReferenceData!$AM$85),"",ReferenceData!$AM$85),"")</f>
        <v>155.363</v>
      </c>
      <c r="AN85">
        <f ca="1">IFERROR(IF(0=LEN(ReferenceData!$AN$85),"",ReferenceData!$AN$85),"")</f>
        <v>153.18100000000001</v>
      </c>
      <c r="AO85">
        <f ca="1">IFERROR(IF(0=LEN(ReferenceData!$AO$85),"",ReferenceData!$AO$85),"")</f>
        <v>156.17500000000001</v>
      </c>
      <c r="AP85">
        <f ca="1">IFERROR(IF(0=LEN(ReferenceData!$AP$85),"",ReferenceData!$AP$85),"")</f>
        <v>148.78800000000001</v>
      </c>
      <c r="AQ85" t="str">
        <f ca="1">IFERROR(IF(0=LEN(ReferenceData!$AQ$85),"",ReferenceData!$AQ$85),"")</f>
        <v/>
      </c>
      <c r="AR85" t="str">
        <f ca="1">IFERROR(IF(0=LEN(ReferenceData!$AR$85),"",ReferenceData!$AR$85),"")</f>
        <v/>
      </c>
      <c r="AS85" t="str">
        <f ca="1">IFERROR(IF(0=LEN(ReferenceData!$AS$85),"",ReferenceData!$AS$85),"")</f>
        <v/>
      </c>
      <c r="AT85" t="str">
        <f ca="1">IFERROR(IF(0=LEN(ReferenceData!$AT$85),"",ReferenceData!$AT$85),"")</f>
        <v/>
      </c>
      <c r="AU85" t="str">
        <f ca="1">IFERROR(IF(0=LEN(ReferenceData!$AU$85),"",ReferenceData!$AU$85),"")</f>
        <v/>
      </c>
      <c r="AV85" t="str">
        <f ca="1">IFERROR(IF(0=LEN(ReferenceData!$AV$85),"",ReferenceData!$AV$85),"")</f>
        <v/>
      </c>
      <c r="AW85" t="str">
        <f ca="1">IFERROR(IF(0=LEN(ReferenceData!$AW$85),"",ReferenceData!$AW$85),"")</f>
        <v/>
      </c>
      <c r="AX85" t="str">
        <f ca="1">IFERROR(IF(0=LEN(ReferenceData!$AX$85),"",ReferenceData!$AX$85),"")</f>
        <v/>
      </c>
      <c r="AY85" t="str">
        <f ca="1">IFERROR(IF(0=LEN(ReferenceData!$AY$85),"",ReferenceData!$AY$85),"")</f>
        <v/>
      </c>
      <c r="AZ85" t="str">
        <f ca="1">IFERROR(IF(0=LEN(ReferenceData!$AZ$85),"",ReferenceData!$AZ$85),"")</f>
        <v/>
      </c>
      <c r="BA85" t="str">
        <f ca="1">IFERROR(IF(0=LEN(ReferenceData!$BA$85),"",ReferenceData!$BA$85),"")</f>
        <v/>
      </c>
      <c r="BB85" t="str">
        <f ca="1">IFERROR(IF(0=LEN(ReferenceData!$BB$85),"",ReferenceData!$BB$85),"")</f>
        <v/>
      </c>
      <c r="BC85" t="str">
        <f ca="1">IFERROR(IF(0=LEN(ReferenceData!$BC$85),"",ReferenceData!$BC$85),"")</f>
        <v/>
      </c>
      <c r="BD85" t="str">
        <f ca="1">IFERROR(IF(0=LEN(ReferenceData!$BD$85),"",ReferenceData!$BD$85),"")</f>
        <v/>
      </c>
      <c r="BE85" t="str">
        <f ca="1">IFERROR(IF(0=LEN(ReferenceData!$BE$85),"",ReferenceData!$BE$85),"")</f>
        <v/>
      </c>
      <c r="BF85" t="str">
        <f ca="1">IFERROR(IF(0=LEN(ReferenceData!$BF$85),"",ReferenceData!$BF$85),"")</f>
        <v/>
      </c>
      <c r="BG85" t="str">
        <f ca="1">IFERROR(IF(0=LEN(ReferenceData!$BG$85),"",ReferenceData!$BG$85),"")</f>
        <v/>
      </c>
      <c r="BH85" t="str">
        <f ca="1">IFERROR(IF(0=LEN(ReferenceData!$BH$85),"",ReferenceData!$BH$85),"")</f>
        <v/>
      </c>
      <c r="BI85" t="str">
        <f ca="1">IFERROR(IF(0=LEN(ReferenceData!$BI$85),"",ReferenceData!$BI$85),"")</f>
        <v/>
      </c>
      <c r="BJ85" t="str">
        <f ca="1">IFERROR(IF(0=LEN(ReferenceData!$BJ$85),"",ReferenceData!$BJ$85),"")</f>
        <v/>
      </c>
      <c r="BK85" t="str">
        <f ca="1">IFERROR(IF(0=LEN(ReferenceData!$BK$85),"",ReferenceData!$BK$85),"")</f>
        <v/>
      </c>
      <c r="BL85" t="str">
        <f ca="1">IFERROR(IF(0=LEN(ReferenceData!$BL$85),"",ReferenceData!$BL$85),"")</f>
        <v/>
      </c>
      <c r="BM85" t="str">
        <f ca="1">IFERROR(IF(0=LEN(ReferenceData!$BM$85),"",ReferenceData!$BM$85),"")</f>
        <v/>
      </c>
    </row>
    <row r="86" spans="1:65">
      <c r="A86" t="str">
        <f>IFERROR(IF(0=LEN(ReferenceData!$A$86),"",ReferenceData!$A$86),"")</f>
        <v xml:space="preserve">    Welltower Inc</v>
      </c>
      <c r="B86" t="str">
        <f>IFERROR(IF(0=LEN(ReferenceData!$B$86),"",ReferenceData!$B$86),"")</f>
        <v>HCN US Equity</v>
      </c>
      <c r="C86" t="str">
        <f>IFERROR(IF(0=LEN(ReferenceData!$C$86),"",ReferenceData!$C$86),"")</f>
        <v>IS972</v>
      </c>
      <c r="D86" t="str">
        <f>IFERROR(IF(0=LEN(ReferenceData!$D$86),"",ReferenceData!$D$86),"")</f>
        <v>IS_ADJUSTED_EBITDA_AS_REPORTED</v>
      </c>
      <c r="E86" t="str">
        <f>IFERROR(IF(0=LEN(ReferenceData!$E$86),"",ReferenceData!$E$86),"")</f>
        <v>动态</v>
      </c>
      <c r="F86" t="str">
        <f ca="1">IFERROR(IF(0=LEN(ReferenceData!$F$86),"",ReferenceData!$F$86),"")</f>
        <v/>
      </c>
      <c r="G86">
        <f ca="1">IFERROR(IF(0=LEN(ReferenceData!$G$86),"",ReferenceData!$G$86),"")</f>
        <v>530.63099999999997</v>
      </c>
      <c r="H86">
        <f ca="1">IFERROR(IF(0=LEN(ReferenceData!$H$86),"",ReferenceData!$H$86),"")</f>
        <v>542.98199999999997</v>
      </c>
      <c r="I86">
        <f ca="1">IFERROR(IF(0=LEN(ReferenceData!$I$86),"",ReferenceData!$I$86),"")</f>
        <v>528.87800000000004</v>
      </c>
      <c r="J86">
        <f ca="1">IFERROR(IF(0=LEN(ReferenceData!$J$86),"",ReferenceData!$J$86),"")</f>
        <v>525.93399999999997</v>
      </c>
      <c r="K86">
        <f ca="1">IFERROR(IF(0=LEN(ReferenceData!$K$86),"",ReferenceData!$K$86),"")</f>
        <v>548.39300000000003</v>
      </c>
      <c r="L86">
        <f ca="1">IFERROR(IF(0=LEN(ReferenceData!$L$86),"",ReferenceData!$L$86),"")</f>
        <v>574.02599999999995</v>
      </c>
      <c r="M86">
        <f ca="1">IFERROR(IF(0=LEN(ReferenceData!$M$86),"",ReferenceData!$M$86),"")</f>
        <v>571.70799999999997</v>
      </c>
      <c r="N86">
        <f ca="1">IFERROR(IF(0=LEN(ReferenceData!$N$86),"",ReferenceData!$N$86),"")</f>
        <v>556.08900000000006</v>
      </c>
      <c r="O86">
        <f ca="1">IFERROR(IF(0=LEN(ReferenceData!$O$86),"",ReferenceData!$O$86),"")</f>
        <v>555.08399999999995</v>
      </c>
      <c r="P86">
        <f ca="1">IFERROR(IF(0=LEN(ReferenceData!$P$86),"",ReferenceData!$P$86),"")</f>
        <v>534.33600000000001</v>
      </c>
      <c r="Q86">
        <f ca="1">IFERROR(IF(0=LEN(ReferenceData!$Q$86),"",ReferenceData!$Q$86),"")</f>
        <v>519.26199999999994</v>
      </c>
      <c r="R86">
        <f ca="1">IFERROR(IF(0=LEN(ReferenceData!$R$86),"",ReferenceData!$R$86),"")</f>
        <v>486.82100000000003</v>
      </c>
      <c r="S86">
        <f ca="1">IFERROR(IF(0=LEN(ReferenceData!$S$86),"",ReferenceData!$S$86),"")</f>
        <v>470.86799999999999</v>
      </c>
      <c r="T86">
        <f ca="1">IFERROR(IF(0=LEN(ReferenceData!$T$86),"",ReferenceData!$T$86),"")</f>
        <v>462.76</v>
      </c>
      <c r="U86">
        <f ca="1">IFERROR(IF(0=LEN(ReferenceData!$U$86),"",ReferenceData!$U$86),"")</f>
        <v>448.07900000000001</v>
      </c>
      <c r="V86">
        <f ca="1">IFERROR(IF(0=LEN(ReferenceData!$V$86),"",ReferenceData!$V$86),"")</f>
        <v>435.04700000000003</v>
      </c>
      <c r="W86">
        <f ca="1">IFERROR(IF(0=LEN(ReferenceData!$W$86),"",ReferenceData!$W$86),"")</f>
        <v>430.16899999999998</v>
      </c>
      <c r="X86">
        <f ca="1">IFERROR(IF(0=LEN(ReferenceData!$X$86),"",ReferenceData!$X$86),"")</f>
        <v>424.053</v>
      </c>
      <c r="Y86">
        <f ca="1">IFERROR(IF(0=LEN(ReferenceData!$Y$86),"",ReferenceData!$Y$86),"")</f>
        <v>321.90300000000002</v>
      </c>
      <c r="Z86">
        <f ca="1">IFERROR(IF(0=LEN(ReferenceData!$Z$86),"",ReferenceData!$Z$86),"")</f>
        <v>382.61799999999999</v>
      </c>
      <c r="AA86">
        <f ca="1">IFERROR(IF(0=LEN(ReferenceData!$AA$86),"",ReferenceData!$AA$86),"")</f>
        <v>348.50700000000001</v>
      </c>
      <c r="AB86">
        <f ca="1">IFERROR(IF(0=LEN(ReferenceData!$AB$86),"",ReferenceData!$AB$86),"")</f>
        <v>313.25799999999998</v>
      </c>
      <c r="AC86">
        <f ca="1">IFERROR(IF(0=LEN(ReferenceData!$AC$86),"",ReferenceData!$AC$86),"")</f>
        <v>310.93</v>
      </c>
      <c r="AD86">
        <f ca="1">IFERROR(IF(0=LEN(ReferenceData!$AD$86),"",ReferenceData!$AD$86),"")</f>
        <v>291.39600000000002</v>
      </c>
      <c r="AE86">
        <f ca="1">IFERROR(IF(0=LEN(ReferenceData!$AE$86),"",ReferenceData!$AE$86),"")</f>
        <v>257.625</v>
      </c>
      <c r="AF86">
        <f ca="1">IFERROR(IF(0=LEN(ReferenceData!$AF$86),"",ReferenceData!$AF$86),"")</f>
        <v>257.92599999999999</v>
      </c>
      <c r="AG86">
        <f ca="1">IFERROR(IF(0=LEN(ReferenceData!$AG$86),"",ReferenceData!$AG$86),"")</f>
        <v>284.09500000000003</v>
      </c>
      <c r="AH86" t="str">
        <f ca="1">IFERROR(IF(0=LEN(ReferenceData!$AH$86),"",ReferenceData!$AH$86),"")</f>
        <v/>
      </c>
      <c r="AI86" t="str">
        <f ca="1">IFERROR(IF(0=LEN(ReferenceData!$AI$86),"",ReferenceData!$AI$86),"")</f>
        <v/>
      </c>
      <c r="AJ86" t="str">
        <f ca="1">IFERROR(IF(0=LEN(ReferenceData!$AJ$86),"",ReferenceData!$AJ$86),"")</f>
        <v/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  <c r="AM86" t="str">
        <f ca="1">IFERROR(IF(0=LEN(ReferenceData!$AM$86),"",ReferenceData!$AM$86),"")</f>
        <v/>
      </c>
      <c r="AN86" t="str">
        <f ca="1">IFERROR(IF(0=LEN(ReferenceData!$AN$86),"",ReferenceData!$AN$86),"")</f>
        <v/>
      </c>
      <c r="AO86" t="str">
        <f ca="1">IFERROR(IF(0=LEN(ReferenceData!$AO$86),"",ReferenceData!$AO$86),"")</f>
        <v/>
      </c>
      <c r="AP86" t="str">
        <f ca="1">IFERROR(IF(0=LEN(ReferenceData!$AP$86),"",ReferenceData!$AP$86),"")</f>
        <v/>
      </c>
      <c r="AQ86">
        <f ca="1">IFERROR(IF(0=LEN(ReferenceData!$AQ$86),"",ReferenceData!$AQ$86),"")</f>
        <v>334.642</v>
      </c>
      <c r="AR86">
        <f ca="1">IFERROR(IF(0=LEN(ReferenceData!$AR$86),"",ReferenceData!$AR$86),"")</f>
        <v>29.58</v>
      </c>
      <c r="AS86">
        <f ca="1">IFERROR(IF(0=LEN(ReferenceData!$AS$86),"",ReferenceData!$AS$86),"")</f>
        <v>114.926</v>
      </c>
      <c r="AT86">
        <f ca="1">IFERROR(IF(0=LEN(ReferenceData!$AT$86),"",ReferenceData!$AT$86),"")</f>
        <v>116.09099999999999</v>
      </c>
      <c r="AU86" t="str">
        <f ca="1">IFERROR(IF(0=LEN(ReferenceData!$AU$86),"",ReferenceData!$AU$86),"")</f>
        <v/>
      </c>
      <c r="AV86">
        <f ca="1">IFERROR(IF(0=LEN(ReferenceData!$AV$86),"",ReferenceData!$AV$86),"")</f>
        <v>31.292999999999999</v>
      </c>
      <c r="AW86">
        <f ca="1">IFERROR(IF(0=LEN(ReferenceData!$AW$86),"",ReferenceData!$AW$86),"")</f>
        <v>103.551</v>
      </c>
      <c r="AX86">
        <f ca="1">IFERROR(IF(0=LEN(ReferenceData!$AX$86),"",ReferenceData!$AX$86),"")</f>
        <v>99.986999999999995</v>
      </c>
      <c r="AY86">
        <f ca="1">IFERROR(IF(0=LEN(ReferenceData!$AY$86),"",ReferenceData!$AY$86),"")</f>
        <v>77.933000000000007</v>
      </c>
      <c r="AZ86">
        <f ca="1">IFERROR(IF(0=LEN(ReferenceData!$AZ$86),"",ReferenceData!$AZ$86),"")</f>
        <v>76.906000000000006</v>
      </c>
      <c r="BA86">
        <f ca="1">IFERROR(IF(0=LEN(ReferenceData!$BA$86),"",ReferenceData!$BA$86),"")</f>
        <v>77.025999999999996</v>
      </c>
      <c r="BB86">
        <f ca="1">IFERROR(IF(0=LEN(ReferenceData!$BB$86),"",ReferenceData!$BB$86),"")</f>
        <v>75.953000000000003</v>
      </c>
      <c r="BC86" t="str">
        <f ca="1">IFERROR(IF(0=LEN(ReferenceData!$BC$86),"",ReferenceData!$BC$86),"")</f>
        <v/>
      </c>
      <c r="BD86" t="str">
        <f ca="1">IFERROR(IF(0=LEN(ReferenceData!$BD$86),"",ReferenceData!$BD$86),"")</f>
        <v/>
      </c>
      <c r="BE86" t="str">
        <f ca="1">IFERROR(IF(0=LEN(ReferenceData!$BE$86),"",ReferenceData!$BE$86),"")</f>
        <v/>
      </c>
      <c r="BF86" t="str">
        <f ca="1">IFERROR(IF(0=LEN(ReferenceData!$BF$86),"",ReferenceData!$BF$86),"")</f>
        <v/>
      </c>
      <c r="BG86" t="str">
        <f ca="1">IFERROR(IF(0=LEN(ReferenceData!$BG$86),"",ReferenceData!$BG$86),"")</f>
        <v/>
      </c>
      <c r="BH86" t="str">
        <f ca="1">IFERROR(IF(0=LEN(ReferenceData!$BH$86),"",ReferenceData!$BH$86),"")</f>
        <v/>
      </c>
      <c r="BI86" t="str">
        <f ca="1">IFERROR(IF(0=LEN(ReferenceData!$BI$86),"",ReferenceData!$BI$86),"")</f>
        <v/>
      </c>
      <c r="BJ86" t="str">
        <f ca="1">IFERROR(IF(0=LEN(ReferenceData!$BJ$86),"",ReferenceData!$BJ$86),"")</f>
        <v/>
      </c>
      <c r="BK86" t="str">
        <f ca="1">IFERROR(IF(0=LEN(ReferenceData!$BK$86),"",ReferenceData!$BK$86),"")</f>
        <v/>
      </c>
      <c r="BL86" t="str">
        <f ca="1">IFERROR(IF(0=LEN(ReferenceData!$BL$86),"",ReferenceData!$BL$86),"")</f>
        <v/>
      </c>
      <c r="BM86" t="str">
        <f ca="1">IFERROR(IF(0=LEN(ReferenceData!$BM$86),"",ReferenceData!$BM$86),"")</f>
        <v/>
      </c>
    </row>
    <row r="87" spans="1:65">
      <c r="A87" t="str">
        <f>IFERROR(IF(0=LEN(ReferenceData!$A$87),"",ReferenceData!$A$87),"")</f>
        <v>营运现金流</v>
      </c>
      <c r="B87" t="str">
        <f>IFERROR(IF(0=LEN(ReferenceData!$B$87),"",ReferenceData!$B$87),"")</f>
        <v/>
      </c>
      <c r="C87" t="str">
        <f>IFERROR(IF(0=LEN(ReferenceData!$C$87),"",ReferenceData!$C$87),"")</f>
        <v/>
      </c>
      <c r="D87" t="str">
        <f>IFERROR(IF(0=LEN(ReferenceData!$D$87),"",ReferenceData!$D$87),"")</f>
        <v/>
      </c>
      <c r="E87" t="str">
        <f>IFERROR(IF(0=LEN(ReferenceData!$E$87),"",ReferenceData!$E$87),"")</f>
        <v>Median</v>
      </c>
      <c r="F87" t="str">
        <f ca="1">IFERROR(IF(0=LEN(ReferenceData!$F$87),"",ReferenceData!$F$87),"")</f>
        <v/>
      </c>
      <c r="G87">
        <f ca="1">IFERROR(IF(0=LEN(ReferenceData!$G$87),"",ReferenceData!$G$87),"")</f>
        <v>107.25</v>
      </c>
      <c r="H87">
        <f ca="1">IFERROR(IF(0=LEN(ReferenceData!$H$87),"",ReferenceData!$H$87),"")</f>
        <v>102.35499999999999</v>
      </c>
      <c r="I87">
        <f ca="1">IFERROR(IF(0=LEN(ReferenceData!$I$87),"",ReferenceData!$I$87),"")</f>
        <v>103.342</v>
      </c>
      <c r="J87">
        <f ca="1">IFERROR(IF(0=LEN(ReferenceData!$J$87),"",ReferenceData!$J$87),"")</f>
        <v>104.874</v>
      </c>
      <c r="K87">
        <f ca="1">IFERROR(IF(0=LEN(ReferenceData!$K$87),"",ReferenceData!$K$87),"")</f>
        <v>69.885999999999996</v>
      </c>
      <c r="L87">
        <f ca="1">IFERROR(IF(0=LEN(ReferenceData!$L$87),"",ReferenceData!$L$87),"")</f>
        <v>86.784000000000006</v>
      </c>
      <c r="M87">
        <f ca="1">IFERROR(IF(0=LEN(ReferenceData!$M$87),"",ReferenceData!$M$87),"")</f>
        <v>64.27</v>
      </c>
      <c r="N87">
        <f ca="1">IFERROR(IF(0=LEN(ReferenceData!$N$87),"",ReferenceData!$N$87),"")</f>
        <v>79.215000000000003</v>
      </c>
      <c r="O87">
        <f ca="1">IFERROR(IF(0=LEN(ReferenceData!$O$87),"",ReferenceData!$O$87),"")</f>
        <v>78.13</v>
      </c>
      <c r="P87">
        <f ca="1">IFERROR(IF(0=LEN(ReferenceData!$P$87),"",ReferenceData!$P$87),"")</f>
        <v>100.35899999999999</v>
      </c>
      <c r="Q87">
        <f ca="1">IFERROR(IF(0=LEN(ReferenceData!$Q$87),"",ReferenceData!$Q$87),"")</f>
        <v>93.433000000000007</v>
      </c>
      <c r="R87">
        <f ca="1">IFERROR(IF(0=LEN(ReferenceData!$R$87),"",ReferenceData!$R$87),"")</f>
        <v>65.015500000000003</v>
      </c>
      <c r="S87">
        <f ca="1">IFERROR(IF(0=LEN(ReferenceData!$S$87),"",ReferenceData!$S$87),"")</f>
        <v>74.433000000000007</v>
      </c>
      <c r="T87">
        <f ca="1">IFERROR(IF(0=LEN(ReferenceData!$T$87),"",ReferenceData!$T$87),"")</f>
        <v>86.263499999999993</v>
      </c>
      <c r="U87">
        <f ca="1">IFERROR(IF(0=LEN(ReferenceData!$U$87),"",ReferenceData!$U$87),"")</f>
        <v>80.627499999999998</v>
      </c>
      <c r="V87">
        <f ca="1">IFERROR(IF(0=LEN(ReferenceData!$V$87),"",ReferenceData!$V$87),"")</f>
        <v>80.284999999999997</v>
      </c>
      <c r="W87">
        <f ca="1">IFERROR(IF(0=LEN(ReferenceData!$W$87),"",ReferenceData!$W$87),"")</f>
        <v>80.049499999999995</v>
      </c>
      <c r="X87">
        <f ca="1">IFERROR(IF(0=LEN(ReferenceData!$X$87),"",ReferenceData!$X$87),"")</f>
        <v>71.966499999999996</v>
      </c>
      <c r="Y87">
        <f ca="1">IFERROR(IF(0=LEN(ReferenceData!$Y$87),"",ReferenceData!$Y$87),"")</f>
        <v>73.691499999999991</v>
      </c>
      <c r="Z87">
        <f ca="1">IFERROR(IF(0=LEN(ReferenceData!$Z$87),"",ReferenceData!$Z$87),"")</f>
        <v>70.06049999999999</v>
      </c>
      <c r="AA87">
        <f ca="1">IFERROR(IF(0=LEN(ReferenceData!$AA$87),"",ReferenceData!$AA$87),"")</f>
        <v>66.167000000000002</v>
      </c>
      <c r="AB87">
        <f ca="1">IFERROR(IF(0=LEN(ReferenceData!$AB$87),"",ReferenceData!$AB$87),"")</f>
        <v>59.180999999999997</v>
      </c>
      <c r="AC87">
        <f ca="1">IFERROR(IF(0=LEN(ReferenceData!$AC$87),"",ReferenceData!$AC$87),"")</f>
        <v>62.141999999999996</v>
      </c>
      <c r="AD87">
        <f ca="1">IFERROR(IF(0=LEN(ReferenceData!$AD$87),"",ReferenceData!$AD$87),"")</f>
        <v>53.945499999999996</v>
      </c>
      <c r="AE87">
        <f ca="1">IFERROR(IF(0=LEN(ReferenceData!$AE$87),"",ReferenceData!$AE$87),"")</f>
        <v>57.045999999999999</v>
      </c>
      <c r="AF87">
        <f ca="1">IFERROR(IF(0=LEN(ReferenceData!$AF$87),"",ReferenceData!$AF$87),"")</f>
        <v>52.176000000000002</v>
      </c>
      <c r="AG87">
        <f ca="1">IFERROR(IF(0=LEN(ReferenceData!$AG$87),"",ReferenceData!$AG$87),"")</f>
        <v>49.616500000000002</v>
      </c>
      <c r="AH87">
        <f ca="1">IFERROR(IF(0=LEN(ReferenceData!$AH$87),"",ReferenceData!$AH$87),"")</f>
        <v>48.707499999999996</v>
      </c>
      <c r="AI87">
        <f ca="1">IFERROR(IF(0=LEN(ReferenceData!$AI$87),"",ReferenceData!$AI$87),"")</f>
        <v>58.473999999999997</v>
      </c>
      <c r="AJ87">
        <f ca="1">IFERROR(IF(0=LEN(ReferenceData!$AJ$87),"",ReferenceData!$AJ$87),"")</f>
        <v>42.481999999999999</v>
      </c>
      <c r="AK87">
        <f ca="1">IFERROR(IF(0=LEN(ReferenceData!$AK$87),"",ReferenceData!$AK$87),"")</f>
        <v>29.687999999999999</v>
      </c>
      <c r="AL87">
        <f ca="1">IFERROR(IF(0=LEN(ReferenceData!$AL$87),"",ReferenceData!$AL$87),"")</f>
        <v>53.98</v>
      </c>
      <c r="AM87">
        <f ca="1">IFERROR(IF(0=LEN(ReferenceData!$AM$87),"",ReferenceData!$AM$87),"")</f>
        <v>53.311499999999995</v>
      </c>
      <c r="AN87">
        <f ca="1">IFERROR(IF(0=LEN(ReferenceData!$AN$87),"",ReferenceData!$AN$87),"")</f>
        <v>40.794499999999999</v>
      </c>
      <c r="AO87">
        <f ca="1">IFERROR(IF(0=LEN(ReferenceData!$AO$87),"",ReferenceData!$AO$87),"")</f>
        <v>58.997500000000002</v>
      </c>
      <c r="AP87">
        <f ca="1">IFERROR(IF(0=LEN(ReferenceData!$AP$87),"",ReferenceData!$AP$87),"")</f>
        <v>56.731499999999997</v>
      </c>
      <c r="AQ87">
        <f ca="1">IFERROR(IF(0=LEN(ReferenceData!$AQ$87),"",ReferenceData!$AQ$87),"")</f>
        <v>38.994999999999997</v>
      </c>
      <c r="AR87">
        <f ca="1">IFERROR(IF(0=LEN(ReferenceData!$AR$87),"",ReferenceData!$AR$87),"")</f>
        <v>46.656500000000001</v>
      </c>
      <c r="AS87">
        <f ca="1">IFERROR(IF(0=LEN(ReferenceData!$AS$87),"",ReferenceData!$AS$87),"")</f>
        <v>43.512</v>
      </c>
      <c r="AT87">
        <f ca="1">IFERROR(IF(0=LEN(ReferenceData!$AT$87),"",ReferenceData!$AT$87),"")</f>
        <v>38.277500000000003</v>
      </c>
      <c r="AU87">
        <f ca="1">IFERROR(IF(0=LEN(ReferenceData!$AU$87),"",ReferenceData!$AU$87),"")</f>
        <v>40.772999999999996</v>
      </c>
      <c r="AV87">
        <f ca="1">IFERROR(IF(0=LEN(ReferenceData!$AV$87),"",ReferenceData!$AV$87),"")</f>
        <v>38.4285</v>
      </c>
      <c r="AW87">
        <f ca="1">IFERROR(IF(0=LEN(ReferenceData!$AW$87),"",ReferenceData!$AW$87),"")</f>
        <v>37.810500000000005</v>
      </c>
      <c r="AX87">
        <f ca="1">IFERROR(IF(0=LEN(ReferenceData!$AX$87),"",ReferenceData!$AX$87),"")</f>
        <v>34.269500000000001</v>
      </c>
      <c r="AY87">
        <f ca="1">IFERROR(IF(0=LEN(ReferenceData!$AY$87),"",ReferenceData!$AY$87),"")</f>
        <v>37.019500000000001</v>
      </c>
      <c r="AZ87">
        <f ca="1">IFERROR(IF(0=LEN(ReferenceData!$AZ$87),"",ReferenceData!$AZ$87),"")</f>
        <v>31.451999999999998</v>
      </c>
      <c r="BA87">
        <f ca="1">IFERROR(IF(0=LEN(ReferenceData!$BA$87),"",ReferenceData!$BA$87),"")</f>
        <v>28.526</v>
      </c>
      <c r="BB87">
        <f ca="1">IFERROR(IF(0=LEN(ReferenceData!$BB$87),"",ReferenceData!$BB$87),"")</f>
        <v>26.5395</v>
      </c>
      <c r="BC87">
        <f ca="1">IFERROR(IF(0=LEN(ReferenceData!$BC$87),"",ReferenceData!$BC$87),"")</f>
        <v>26.513500000000001</v>
      </c>
      <c r="BD87">
        <f ca="1">IFERROR(IF(0=LEN(ReferenceData!$BD$87),"",ReferenceData!$BD$87),"")</f>
        <v>31.210000305000001</v>
      </c>
      <c r="BE87">
        <f ca="1">IFERROR(IF(0=LEN(ReferenceData!$BE$87),"",ReferenceData!$BE$87),"")</f>
        <v>22.339500000000001</v>
      </c>
      <c r="BF87">
        <f ca="1">IFERROR(IF(0=LEN(ReferenceData!$BF$87),"",ReferenceData!$BF$87),"")</f>
        <v>27.4175003</v>
      </c>
      <c r="BG87">
        <f ca="1">IFERROR(IF(0=LEN(ReferenceData!$BG$87),"",ReferenceData!$BG$87),"")</f>
        <v>24.39</v>
      </c>
      <c r="BH87">
        <f ca="1">IFERROR(IF(0=LEN(ReferenceData!$BH$87),"",ReferenceData!$BH$87),"")</f>
        <v>22.690500135000001</v>
      </c>
      <c r="BI87">
        <f ca="1">IFERROR(IF(0=LEN(ReferenceData!$BI$87),"",ReferenceData!$BI$87),"")</f>
        <v>23.302999499999999</v>
      </c>
      <c r="BJ87">
        <f ca="1">IFERROR(IF(0=LEN(ReferenceData!$BJ$87),"",ReferenceData!$BJ$87),"")</f>
        <v>24.87450012</v>
      </c>
      <c r="BK87">
        <f ca="1">IFERROR(IF(0=LEN(ReferenceData!$BK$87),"",ReferenceData!$BK$87),"")</f>
        <v>21.03</v>
      </c>
      <c r="BL87">
        <f ca="1">IFERROR(IF(0=LEN(ReferenceData!$BL$87),"",ReferenceData!$BL$87),"")</f>
        <v>34.264500614999996</v>
      </c>
      <c r="BM87">
        <f ca="1">IFERROR(IF(0=LEN(ReferenceData!$BM$87),"",ReferenceData!$BM$87),"")</f>
        <v>28.18300056</v>
      </c>
    </row>
    <row r="88" spans="1:65">
      <c r="A88" t="str">
        <f>IFERROR(IF(0=LEN(ReferenceData!$A$88),"",ReferenceData!$A$88),"")</f>
        <v xml:space="preserve">    Alexandria Real Estate Equitie</v>
      </c>
      <c r="B88" t="str">
        <f>IFERROR(IF(0=LEN(ReferenceData!$B$88),"",ReferenceData!$B$88),"")</f>
        <v>ARE US Equity</v>
      </c>
      <c r="C88" t="str">
        <f>IFERROR(IF(0=LEN(ReferenceData!$C$88),"",ReferenceData!$C$88),"")</f>
        <v>CF039</v>
      </c>
      <c r="D88" t="str">
        <f>IFERROR(IF(0=LEN(ReferenceData!$D$88),"",ReferenceData!$D$88),"")</f>
        <v>CF_FFO</v>
      </c>
      <c r="E88" t="str">
        <f>IFERROR(IF(0=LEN(ReferenceData!$E$88),"",ReferenceData!$E$88),"")</f>
        <v>动态</v>
      </c>
      <c r="F88" t="str">
        <f ca="1">IFERROR(IF(0=LEN(ReferenceData!$F$88),"",ReferenceData!$F$88),"")</f>
        <v/>
      </c>
      <c r="G88">
        <f ca="1">IFERROR(IF(0=LEN(ReferenceData!$G$88),"",ReferenceData!$G$88),"")</f>
        <v>140.46600000000001</v>
      </c>
      <c r="H88">
        <f ca="1">IFERROR(IF(0=LEN(ReferenceData!$H$88),"",ReferenceData!$H$88),"")</f>
        <v>140.773</v>
      </c>
      <c r="I88">
        <f ca="1">IFERROR(IF(0=LEN(ReferenceData!$I$88),"",ReferenceData!$I$88),"")</f>
        <v>131.72499999999999</v>
      </c>
      <c r="J88">
        <f ca="1">IFERROR(IF(0=LEN(ReferenceData!$J$88),"",ReferenceData!$J$88),"")</f>
        <v>118.783</v>
      </c>
      <c r="K88">
        <f ca="1">IFERROR(IF(0=LEN(ReferenceData!$K$88),"",ReferenceData!$K$88),"")</f>
        <v>67.942999999999998</v>
      </c>
      <c r="L88">
        <f ca="1">IFERROR(IF(0=LEN(ReferenceData!$L$88),"",ReferenceData!$L$88),"")</f>
        <v>86.784000000000006</v>
      </c>
      <c r="M88">
        <f ca="1">IFERROR(IF(0=LEN(ReferenceData!$M$88),"",ReferenceData!$M$88),"")</f>
        <v>29.341000000000001</v>
      </c>
      <c r="N88">
        <f ca="1">IFERROR(IF(0=LEN(ReferenceData!$N$88),"",ReferenceData!$N$88),"")</f>
        <v>65.41</v>
      </c>
      <c r="O88">
        <f ca="1">IFERROR(IF(0=LEN(ReferenceData!$O$88),"",ReferenceData!$O$88),"")</f>
        <v>103.45099999999999</v>
      </c>
      <c r="P88">
        <f ca="1">IFERROR(IF(0=LEN(ReferenceData!$P$88),"",ReferenceData!$P$88),"")</f>
        <v>100.35899999999999</v>
      </c>
      <c r="Q88">
        <f ca="1">IFERROR(IF(0=LEN(ReferenceData!$Q$88),"",ReferenceData!$Q$88),"")</f>
        <v>93.433000000000007</v>
      </c>
      <c r="R88">
        <f ca="1">IFERROR(IF(0=LEN(ReferenceData!$R$88),"",ReferenceData!$R$88),"")</f>
        <v>91.331999999999994</v>
      </c>
      <c r="S88">
        <f ca="1">IFERROR(IF(0=LEN(ReferenceData!$S$88),"",ReferenceData!$S$88),"")</f>
        <v>61.475000000000001</v>
      </c>
      <c r="T88">
        <f ca="1">IFERROR(IF(0=LEN(ReferenceData!$T$88),"",ReferenceData!$T$88),"")</f>
        <v>85.558999999999997</v>
      </c>
      <c r="U88">
        <f ca="1">IFERROR(IF(0=LEN(ReferenceData!$U$88),"",ReferenceData!$U$88),"")</f>
        <v>84.513000000000005</v>
      </c>
      <c r="V88">
        <f ca="1">IFERROR(IF(0=LEN(ReferenceData!$V$88),"",ReferenceData!$V$88),"")</f>
        <v>83.07</v>
      </c>
      <c r="W88">
        <f ca="1">IFERROR(IF(0=LEN(ReferenceData!$W$88),"",ReferenceData!$W$88),"")</f>
        <v>80.218000000000004</v>
      </c>
      <c r="X88">
        <f ca="1">IFERROR(IF(0=LEN(ReferenceData!$X$88),"",ReferenceData!$X$88),"")</f>
        <v>73.593999999999994</v>
      </c>
      <c r="Y88">
        <f ca="1">IFERROR(IF(0=LEN(ReferenceData!$Y$88),"",ReferenceData!$Y$88),"")</f>
        <v>71.022999999999996</v>
      </c>
      <c r="Z88">
        <f ca="1">IFERROR(IF(0=LEN(ReferenceData!$Z$88),"",ReferenceData!$Z$88),"")</f>
        <v>70.042000000000002</v>
      </c>
      <c r="AA88">
        <f ca="1">IFERROR(IF(0=LEN(ReferenceData!$AA$88),"",ReferenceData!$AA$88),"")</f>
        <v>70.905000000000001</v>
      </c>
      <c r="AB88">
        <f ca="1">IFERROR(IF(0=LEN(ReferenceData!$AB$88),"",ReferenceData!$AB$88),"")</f>
        <v>67.102000000000004</v>
      </c>
      <c r="AC88">
        <f ca="1">IFERROR(IF(0=LEN(ReferenceData!$AC$88),"",ReferenceData!$AC$88),"")</f>
        <v>69.947999999999993</v>
      </c>
      <c r="AD88">
        <f ca="1">IFERROR(IF(0=LEN(ReferenceData!$AD$88),"",ReferenceData!$AD$88),"")</f>
        <v>59.704000000000001</v>
      </c>
      <c r="AE88">
        <f ca="1">IFERROR(IF(0=LEN(ReferenceData!$AE$88),"",ReferenceData!$AE$88),"")</f>
        <v>67.804000000000002</v>
      </c>
      <c r="AF88">
        <f ca="1">IFERROR(IF(0=LEN(ReferenceData!$AF$88),"",ReferenceData!$AF$88),"")</f>
        <v>65.254000000000005</v>
      </c>
      <c r="AG88">
        <f ca="1">IFERROR(IF(0=LEN(ReferenceData!$AG$88),"",ReferenceData!$AG$88),"")</f>
        <v>65.921000000000006</v>
      </c>
      <c r="AH88">
        <f ca="1">IFERROR(IF(0=LEN(ReferenceData!$AH$88),"",ReferenceData!$AH$88),"")</f>
        <v>60.636000000000003</v>
      </c>
      <c r="AI88">
        <f ca="1">IFERROR(IF(0=LEN(ReferenceData!$AI$88),"",ReferenceData!$AI$88),"")</f>
        <v>58.473999999999997</v>
      </c>
      <c r="AJ88">
        <f ca="1">IFERROR(IF(0=LEN(ReferenceData!$AJ$88),"",ReferenceData!$AJ$88),"")</f>
        <v>53.862000000000002</v>
      </c>
      <c r="AK88">
        <f ca="1">IFERROR(IF(0=LEN(ReferenceData!$AK$88),"",ReferenceData!$AK$88),"")</f>
        <v>9.84</v>
      </c>
      <c r="AL88">
        <f ca="1">IFERROR(IF(0=LEN(ReferenceData!$AL$88),"",ReferenceData!$AL$88),"")</f>
        <v>53.98</v>
      </c>
      <c r="AM88">
        <f ca="1">IFERROR(IF(0=LEN(ReferenceData!$AM$88),"",ReferenceData!$AM$88),"")</f>
        <v>54.247</v>
      </c>
      <c r="AN88">
        <f ca="1">IFERROR(IF(0=LEN(ReferenceData!$AN$88),"",ReferenceData!$AN$88),"")</f>
        <v>50.609000000000002</v>
      </c>
      <c r="AO88">
        <f ca="1">IFERROR(IF(0=LEN(ReferenceData!$AO$88),"",ReferenceData!$AO$88),"")</f>
        <v>65.167000000000002</v>
      </c>
      <c r="AP88">
        <f ca="1">IFERROR(IF(0=LEN(ReferenceData!$AP$88),"",ReferenceData!$AP$88),"")</f>
        <v>61.329000000000001</v>
      </c>
      <c r="AQ88">
        <f ca="1">IFERROR(IF(0=LEN(ReferenceData!$AQ$88),"",ReferenceData!$AQ$88),"")</f>
        <v>47.19</v>
      </c>
      <c r="AR88">
        <f ca="1">IFERROR(IF(0=LEN(ReferenceData!$AR$88),"",ReferenceData!$AR$88),"")</f>
        <v>46.273000000000003</v>
      </c>
      <c r="AS88">
        <f ca="1">IFERROR(IF(0=LEN(ReferenceData!$AS$88),"",ReferenceData!$AS$88),"")</f>
        <v>45.777000000000001</v>
      </c>
      <c r="AT88">
        <f ca="1">IFERROR(IF(0=LEN(ReferenceData!$AT$88),"",ReferenceData!$AT$88),"")</f>
        <v>38.265999999999998</v>
      </c>
      <c r="AU88">
        <f ca="1">IFERROR(IF(0=LEN(ReferenceData!$AU$88),"",ReferenceData!$AU$88),"")</f>
        <v>46.323999999999998</v>
      </c>
      <c r="AV88">
        <f ca="1">IFERROR(IF(0=LEN(ReferenceData!$AV$88),"",ReferenceData!$AV$88),"")</f>
        <v>42.722999999999999</v>
      </c>
      <c r="AW88">
        <f ca="1">IFERROR(IF(0=LEN(ReferenceData!$AW$88),"",ReferenceData!$AW$88),"")</f>
        <v>41.606999999999999</v>
      </c>
      <c r="AX88">
        <f ca="1">IFERROR(IF(0=LEN(ReferenceData!$AX$88),"",ReferenceData!$AX$88),"")</f>
        <v>37.545999999999999</v>
      </c>
      <c r="AY88">
        <f ca="1">IFERROR(IF(0=LEN(ReferenceData!$AY$88),"",ReferenceData!$AY$88),"")</f>
        <v>39.054000000000002</v>
      </c>
      <c r="AZ88">
        <f ca="1">IFERROR(IF(0=LEN(ReferenceData!$AZ$88),"",ReferenceData!$AZ$88),"")</f>
        <v>35.229999999999997</v>
      </c>
      <c r="BA88">
        <f ca="1">IFERROR(IF(0=LEN(ReferenceData!$BA$88),"",ReferenceData!$BA$88),"")</f>
        <v>29.227</v>
      </c>
      <c r="BB88">
        <f ca="1">IFERROR(IF(0=LEN(ReferenceData!$BB$88),"",ReferenceData!$BB$88),"")</f>
        <v>28.154</v>
      </c>
      <c r="BC88">
        <f ca="1">IFERROR(IF(0=LEN(ReferenceData!$BC$88),"",ReferenceData!$BC$88),"")</f>
        <v>27.591999999999999</v>
      </c>
      <c r="BD88">
        <f ca="1">IFERROR(IF(0=LEN(ReferenceData!$BD$88),"",ReferenceData!$BD$88),"")</f>
        <v>25.969000000000001</v>
      </c>
      <c r="BE88">
        <f ca="1">IFERROR(IF(0=LEN(ReferenceData!$BE$88),"",ReferenceData!$BE$88),"")</f>
        <v>25.501000000000001</v>
      </c>
      <c r="BF88">
        <f ca="1">IFERROR(IF(0=LEN(ReferenceData!$BF$88),"",ReferenceData!$BF$88),"")</f>
        <v>23.608000000000001</v>
      </c>
      <c r="BG88">
        <f ca="1">IFERROR(IF(0=LEN(ReferenceData!$BG$88),"",ReferenceData!$BG$88),"")</f>
        <v>23.391999999999999</v>
      </c>
      <c r="BH88">
        <f ca="1">IFERROR(IF(0=LEN(ReferenceData!$BH$88),"",ReferenceData!$BH$88),"")</f>
        <v>21.943999999999999</v>
      </c>
      <c r="BI88">
        <f ca="1">IFERROR(IF(0=LEN(ReferenceData!$BI$88),"",ReferenceData!$BI$88),"")</f>
        <v>19.815000000000001</v>
      </c>
      <c r="BJ88">
        <f ca="1">IFERROR(IF(0=LEN(ReferenceData!$BJ$88),"",ReferenceData!$BJ$88),"")</f>
        <v>21.469000000000001</v>
      </c>
      <c r="BK88">
        <f ca="1">IFERROR(IF(0=LEN(ReferenceData!$BK$88),"",ReferenceData!$BK$88),"")</f>
        <v>21.03</v>
      </c>
      <c r="BL88">
        <f ca="1">IFERROR(IF(0=LEN(ReferenceData!$BL$88),"",ReferenceData!$BL$88),"")</f>
        <v>60.33</v>
      </c>
      <c r="BM88">
        <f ca="1">IFERROR(IF(0=LEN(ReferenceData!$BM$88),"",ReferenceData!$BM$88),"")</f>
        <v>20.084</v>
      </c>
    </row>
    <row r="89" spans="1:65">
      <c r="A89" t="str">
        <f>IFERROR(IF(0=LEN(ReferenceData!$A$89),"",ReferenceData!$A$89),"")</f>
        <v xml:space="preserve">    Care Capital Properties Inc</v>
      </c>
      <c r="B89" t="str">
        <f>IFERROR(IF(0=LEN(ReferenceData!$B$89),"",ReferenceData!$B$89),"")</f>
        <v>CCP US Equity</v>
      </c>
      <c r="C89" t="str">
        <f>IFERROR(IF(0=LEN(ReferenceData!$C$89),"",ReferenceData!$C$89),"")</f>
        <v>CF039</v>
      </c>
      <c r="D89" t="str">
        <f>IFERROR(IF(0=LEN(ReferenceData!$D$89),"",ReferenceData!$D$89),"")</f>
        <v>CF_FFO</v>
      </c>
      <c r="E89" t="str">
        <f>IFERROR(IF(0=LEN(ReferenceData!$E$89),"",ReferenceData!$E$89),"")</f>
        <v>动态</v>
      </c>
      <c r="F89" t="str">
        <f ca="1">IFERROR(IF(0=LEN(ReferenceData!$F$89),"",ReferenceData!$F$89),"")</f>
        <v/>
      </c>
      <c r="G89" t="str">
        <f ca="1">IFERROR(IF(0=LEN(ReferenceData!$G$89),"",ReferenceData!$G$89),"")</f>
        <v/>
      </c>
      <c r="H89" t="str">
        <f ca="1">IFERROR(IF(0=LEN(ReferenceData!$H$89),"",ReferenceData!$H$89),"")</f>
        <v/>
      </c>
      <c r="I89">
        <f ca="1">IFERROR(IF(0=LEN(ReferenceData!$I$89),"",ReferenceData!$I$89),"")</f>
        <v>78.474000000000004</v>
      </c>
      <c r="J89">
        <f ca="1">IFERROR(IF(0=LEN(ReferenceData!$J$89),"",ReferenceData!$J$89),"")</f>
        <v>57.332999999999998</v>
      </c>
      <c r="K89">
        <f ca="1">IFERROR(IF(0=LEN(ReferenceData!$K$89),"",ReferenceData!$K$89),"")</f>
        <v>62.061999999999998</v>
      </c>
      <c r="L89">
        <f ca="1">IFERROR(IF(0=LEN(ReferenceData!$L$89),"",ReferenceData!$L$89),"")</f>
        <v>54.533999999999999</v>
      </c>
      <c r="M89">
        <f ca="1">IFERROR(IF(0=LEN(ReferenceData!$M$89),"",ReferenceData!$M$89),"")</f>
        <v>64.27</v>
      </c>
      <c r="N89">
        <f ca="1">IFERROR(IF(0=LEN(ReferenceData!$N$89),"",ReferenceData!$N$89),"")</f>
        <v>63.804000000000002</v>
      </c>
      <c r="O89">
        <f ca="1">IFERROR(IF(0=LEN(ReferenceData!$O$89),"",ReferenceData!$O$89),"")</f>
        <v>69.317999999999998</v>
      </c>
      <c r="P89">
        <f ca="1">IFERROR(IF(0=LEN(ReferenceData!$P$89),"",ReferenceData!$P$89),"")</f>
        <v>66.608999999999995</v>
      </c>
      <c r="Q89">
        <f ca="1">IFERROR(IF(0=LEN(ReferenceData!$Q$89),"",ReferenceData!$Q$89),"")</f>
        <v>72.415000000000006</v>
      </c>
      <c r="R89" t="str">
        <f ca="1">IFERROR(IF(0=LEN(ReferenceData!$R$89),"",ReferenceData!$R$89),"")</f>
        <v/>
      </c>
      <c r="S89" t="str">
        <f ca="1">IFERROR(IF(0=LEN(ReferenceData!$S$89),"",ReferenceData!$S$89),"")</f>
        <v/>
      </c>
      <c r="T89" t="str">
        <f ca="1">IFERROR(IF(0=LEN(ReferenceData!$T$89),"",ReferenceData!$T$89),"")</f>
        <v/>
      </c>
      <c r="U89" t="str">
        <f ca="1">IFERROR(IF(0=LEN(ReferenceData!$U$89),"",ReferenceData!$U$89),"")</f>
        <v/>
      </c>
      <c r="V89" t="str">
        <f ca="1">IFERROR(IF(0=LEN(ReferenceData!$V$89),"",ReferenceData!$V$89),"")</f>
        <v/>
      </c>
      <c r="W89" t="str">
        <f ca="1">IFERROR(IF(0=LEN(ReferenceData!$W$89),"",ReferenceData!$W$89),"")</f>
        <v/>
      </c>
      <c r="X89" t="str">
        <f ca="1">IFERROR(IF(0=LEN(ReferenceData!$X$89),"",ReferenceData!$X$89),"")</f>
        <v/>
      </c>
      <c r="Y89" t="str">
        <f ca="1">IFERROR(IF(0=LEN(ReferenceData!$Y$89),"",ReferenceData!$Y$89),"")</f>
        <v/>
      </c>
      <c r="Z89" t="str">
        <f ca="1">IFERROR(IF(0=LEN(ReferenceData!$Z$89),"",ReferenceData!$Z$89),"")</f>
        <v/>
      </c>
      <c r="AA89" t="str">
        <f ca="1">IFERROR(IF(0=LEN(ReferenceData!$AA$89),"",ReferenceData!$AA$89),"")</f>
        <v/>
      </c>
      <c r="AB89" t="str">
        <f ca="1">IFERROR(IF(0=LEN(ReferenceData!$AB$89),"",ReferenceData!$AB$89),"")</f>
        <v/>
      </c>
      <c r="AC89" t="str">
        <f ca="1">IFERROR(IF(0=LEN(ReferenceData!$AC$89),"",ReferenceData!$AC$89),"")</f>
        <v/>
      </c>
      <c r="AD89" t="str">
        <f ca="1">IFERROR(IF(0=LEN(ReferenceData!$AD$89),"",ReferenceData!$AD$89),"")</f>
        <v/>
      </c>
      <c r="AE89" t="str">
        <f ca="1">IFERROR(IF(0=LEN(ReferenceData!$AE$89),"",ReferenceData!$AE$89),"")</f>
        <v/>
      </c>
      <c r="AF89" t="str">
        <f ca="1">IFERROR(IF(0=LEN(ReferenceData!$AF$89),"",ReferenceData!$AF$89),"")</f>
        <v/>
      </c>
      <c r="AG89" t="str">
        <f ca="1">IFERROR(IF(0=LEN(ReferenceData!$AG$89),"",ReferenceData!$AG$89),"")</f>
        <v/>
      </c>
      <c r="AH89" t="str">
        <f ca="1">IFERROR(IF(0=LEN(ReferenceData!$AH$89),"",ReferenceData!$AH$89),"")</f>
        <v/>
      </c>
      <c r="AI89" t="str">
        <f ca="1">IFERROR(IF(0=LEN(ReferenceData!$AI$89),"",ReferenceData!$AI$89),"")</f>
        <v/>
      </c>
      <c r="AJ89" t="str">
        <f ca="1">IFERROR(IF(0=LEN(ReferenceData!$AJ$89),"",ReferenceData!$AJ$89),"")</f>
        <v/>
      </c>
      <c r="AK89" t="str">
        <f ca="1">IFERROR(IF(0=LEN(ReferenceData!$AK$89),"",ReferenceData!$AK$89),"")</f>
        <v/>
      </c>
      <c r="AL89" t="str">
        <f ca="1">IFERROR(IF(0=LEN(ReferenceData!$AL$89),"",ReferenceData!$AL$89),"")</f>
        <v/>
      </c>
      <c r="AM89" t="str">
        <f ca="1">IFERROR(IF(0=LEN(ReferenceData!$AM$89),"",ReferenceData!$AM$89),"")</f>
        <v/>
      </c>
      <c r="AN89" t="str">
        <f ca="1">IFERROR(IF(0=LEN(ReferenceData!$AN$89),"",ReferenceData!$AN$89),"")</f>
        <v/>
      </c>
      <c r="AO89" t="str">
        <f ca="1">IFERROR(IF(0=LEN(ReferenceData!$AO$89),"",ReferenceData!$AO$89),"")</f>
        <v/>
      </c>
      <c r="AP89" t="str">
        <f ca="1">IFERROR(IF(0=LEN(ReferenceData!$AP$89),"",ReferenceData!$AP$89),"")</f>
        <v/>
      </c>
      <c r="AQ89" t="str">
        <f ca="1">IFERROR(IF(0=LEN(ReferenceData!$AQ$89),"",ReferenceData!$AQ$89),"")</f>
        <v/>
      </c>
      <c r="AR89" t="str">
        <f ca="1">IFERROR(IF(0=LEN(ReferenceData!$AR$89),"",ReferenceData!$AR$89),"")</f>
        <v/>
      </c>
      <c r="AS89" t="str">
        <f ca="1">IFERROR(IF(0=LEN(ReferenceData!$AS$89),"",ReferenceData!$AS$89),"")</f>
        <v/>
      </c>
      <c r="AT89" t="str">
        <f ca="1">IFERROR(IF(0=LEN(ReferenceData!$AT$89),"",ReferenceData!$AT$89),"")</f>
        <v/>
      </c>
      <c r="AU89" t="str">
        <f ca="1">IFERROR(IF(0=LEN(ReferenceData!$AU$89),"",ReferenceData!$AU$89),"")</f>
        <v/>
      </c>
      <c r="AV89" t="str">
        <f ca="1">IFERROR(IF(0=LEN(ReferenceData!$AV$89),"",ReferenceData!$AV$89),"")</f>
        <v/>
      </c>
      <c r="AW89" t="str">
        <f ca="1">IFERROR(IF(0=LEN(ReferenceData!$AW$89),"",ReferenceData!$AW$89),"")</f>
        <v/>
      </c>
      <c r="AX89" t="str">
        <f ca="1">IFERROR(IF(0=LEN(ReferenceData!$AX$89),"",ReferenceData!$AX$89),"")</f>
        <v/>
      </c>
      <c r="AY89" t="str">
        <f ca="1">IFERROR(IF(0=LEN(ReferenceData!$AY$89),"",ReferenceData!$AY$89),"")</f>
        <v/>
      </c>
      <c r="AZ89" t="str">
        <f ca="1">IFERROR(IF(0=LEN(ReferenceData!$AZ$89),"",ReferenceData!$AZ$89),"")</f>
        <v/>
      </c>
      <c r="BA89" t="str">
        <f ca="1">IFERROR(IF(0=LEN(ReferenceData!$BA$89),"",ReferenceData!$BA$89),"")</f>
        <v/>
      </c>
      <c r="BB89" t="str">
        <f ca="1">IFERROR(IF(0=LEN(ReferenceData!$BB$89),"",ReferenceData!$BB$89),"")</f>
        <v/>
      </c>
      <c r="BC89" t="str">
        <f ca="1">IFERROR(IF(0=LEN(ReferenceData!$BC$89),"",ReferenceData!$BC$89),"")</f>
        <v/>
      </c>
      <c r="BD89" t="str">
        <f ca="1">IFERROR(IF(0=LEN(ReferenceData!$BD$89),"",ReferenceData!$BD$89),"")</f>
        <v/>
      </c>
      <c r="BE89" t="str">
        <f ca="1">IFERROR(IF(0=LEN(ReferenceData!$BE$89),"",ReferenceData!$BE$89),"")</f>
        <v/>
      </c>
      <c r="BF89" t="str">
        <f ca="1">IFERROR(IF(0=LEN(ReferenceData!$BF$89),"",ReferenceData!$BF$89),"")</f>
        <v/>
      </c>
      <c r="BG89" t="str">
        <f ca="1">IFERROR(IF(0=LEN(ReferenceData!$BG$89),"",ReferenceData!$BG$89),"")</f>
        <v/>
      </c>
      <c r="BH89" t="str">
        <f ca="1">IFERROR(IF(0=LEN(ReferenceData!$BH$89),"",ReferenceData!$BH$89),"")</f>
        <v/>
      </c>
      <c r="BI89" t="str">
        <f ca="1">IFERROR(IF(0=LEN(ReferenceData!$BI$89),"",ReferenceData!$BI$89),"")</f>
        <v/>
      </c>
      <c r="BJ89" t="str">
        <f ca="1">IFERROR(IF(0=LEN(ReferenceData!$BJ$89),"",ReferenceData!$BJ$89),"")</f>
        <v/>
      </c>
      <c r="BK89" t="str">
        <f ca="1">IFERROR(IF(0=LEN(ReferenceData!$BK$89),"",ReferenceData!$BK$89),"")</f>
        <v/>
      </c>
      <c r="BL89" t="str">
        <f ca="1">IFERROR(IF(0=LEN(ReferenceData!$BL$89),"",ReferenceData!$BL$89),"")</f>
        <v/>
      </c>
      <c r="BM89" t="str">
        <f ca="1">IFERROR(IF(0=LEN(ReferenceData!$BM$89),"",ReferenceData!$BM$89),"")</f>
        <v/>
      </c>
    </row>
    <row r="90" spans="1:65">
      <c r="A90" t="str">
        <f>IFERROR(IF(0=LEN(ReferenceData!$A$90),"",ReferenceData!$A$90),"")</f>
        <v xml:space="preserve">    HCP Inc</v>
      </c>
      <c r="B90" t="str">
        <f>IFERROR(IF(0=LEN(ReferenceData!$B$90),"",ReferenceData!$B$90),"")</f>
        <v>HCP US Equity</v>
      </c>
      <c r="C90" t="str">
        <f>IFERROR(IF(0=LEN(ReferenceData!$C$90),"",ReferenceData!$C$90),"")</f>
        <v>CF039</v>
      </c>
      <c r="D90" t="str">
        <f>IFERROR(IF(0=LEN(ReferenceData!$D$90),"",ReferenceData!$D$90),"")</f>
        <v>CF_FFO</v>
      </c>
      <c r="E90" t="str">
        <f>IFERROR(IF(0=LEN(ReferenceData!$E$90),"",ReferenceData!$E$90),"")</f>
        <v>动态</v>
      </c>
      <c r="F90" t="str">
        <f ca="1">IFERROR(IF(0=LEN(ReferenceData!$F$90),"",ReferenceData!$F$90),"")</f>
        <v/>
      </c>
      <c r="G90">
        <f ca="1">IFERROR(IF(0=LEN(ReferenceData!$G$90),"",ReferenceData!$G$90),"")</f>
        <v>52.884</v>
      </c>
      <c r="H90">
        <f ca="1">IFERROR(IF(0=LEN(ReferenceData!$H$90),"",ReferenceData!$H$90),"")</f>
        <v>155.24799999999999</v>
      </c>
      <c r="I90">
        <f ca="1">IFERROR(IF(0=LEN(ReferenceData!$I$90),"",ReferenceData!$I$90),"")</f>
        <v>164.65</v>
      </c>
      <c r="J90">
        <f ca="1">IFERROR(IF(0=LEN(ReferenceData!$J$90),"",ReferenceData!$J$90),"")</f>
        <v>291.05200000000002</v>
      </c>
      <c r="K90">
        <f ca="1">IFERROR(IF(0=LEN(ReferenceData!$K$90),"",ReferenceData!$K$90),"")</f>
        <v>162.26499999999999</v>
      </c>
      <c r="L90">
        <f ca="1">IFERROR(IF(0=LEN(ReferenceData!$L$90),"",ReferenceData!$L$90),"")</f>
        <v>306.76299999999998</v>
      </c>
      <c r="M90">
        <f ca="1">IFERROR(IF(0=LEN(ReferenceData!$M$90),"",ReferenceData!$M$90),"")</f>
        <v>336.74299999999999</v>
      </c>
      <c r="N90">
        <f ca="1">IFERROR(IF(0=LEN(ReferenceData!$N$90),"",ReferenceData!$N$90),"")</f>
        <v>322.84899999999999</v>
      </c>
      <c r="O90">
        <f ca="1">IFERROR(IF(0=LEN(ReferenceData!$O$90),"",ReferenceData!$O$90),"")</f>
        <v>-458.678</v>
      </c>
      <c r="P90">
        <f ca="1">IFERROR(IF(0=LEN(ReferenceData!$P$90),"",ReferenceData!$P$90),"")</f>
        <v>265.73500000000001</v>
      </c>
      <c r="Q90">
        <f ca="1">IFERROR(IF(0=LEN(ReferenceData!$Q$90),"",ReferenceData!$Q$90),"")</f>
        <v>301.93400000000003</v>
      </c>
      <c r="R90">
        <f ca="1">IFERROR(IF(0=LEN(ReferenceData!$R$90),"",ReferenceData!$R$90),"")</f>
        <v>-117.572</v>
      </c>
      <c r="S90">
        <f ca="1">IFERROR(IF(0=LEN(ReferenceData!$S$90),"",ReferenceData!$S$90),"")</f>
        <v>324.73399999999998</v>
      </c>
      <c r="T90">
        <f ca="1">IFERROR(IF(0=LEN(ReferenceData!$T$90),"",ReferenceData!$T$90),"")</f>
        <v>377.29199999999997</v>
      </c>
      <c r="U90">
        <f ca="1">IFERROR(IF(0=LEN(ReferenceData!$U$90),"",ReferenceData!$U$90),"")</f>
        <v>336.45699999999999</v>
      </c>
      <c r="V90">
        <f ca="1">IFERROR(IF(0=LEN(ReferenceData!$V$90),"",ReferenceData!$V$90),"")</f>
        <v>343.13900000000001</v>
      </c>
      <c r="W90">
        <f ca="1">IFERROR(IF(0=LEN(ReferenceData!$W$90),"",ReferenceData!$W$90),"")</f>
        <v>346.01799999999997</v>
      </c>
      <c r="X90">
        <f ca="1">IFERROR(IF(0=LEN(ReferenceData!$X$90),"",ReferenceData!$X$90),"")</f>
        <v>336.06099999999998</v>
      </c>
      <c r="Y90">
        <f ca="1">IFERROR(IF(0=LEN(ReferenceData!$Y$90),"",ReferenceData!$Y$90),"")</f>
        <v>327.64999999999998</v>
      </c>
      <c r="Z90">
        <f ca="1">IFERROR(IF(0=LEN(ReferenceData!$Z$90),"",ReferenceData!$Z$90),"")</f>
        <v>339.529</v>
      </c>
      <c r="AA90">
        <f ca="1">IFERROR(IF(0=LEN(ReferenceData!$AA$90),"",ReferenceData!$AA$90),"")</f>
        <v>317.839</v>
      </c>
      <c r="AB90">
        <f ca="1">IFERROR(IF(0=LEN(ReferenceData!$AB$90),"",ReferenceData!$AB$90),"")</f>
        <v>290.24200000000002</v>
      </c>
      <c r="AC90">
        <f ca="1">IFERROR(IF(0=LEN(ReferenceData!$AC$90),"",ReferenceData!$AC$90),"")</f>
        <v>293.61700000000002</v>
      </c>
      <c r="AD90">
        <f ca="1">IFERROR(IF(0=LEN(ReferenceData!$AD$90),"",ReferenceData!$AD$90),"")</f>
        <v>264.80599999999998</v>
      </c>
      <c r="AE90">
        <f ca="1">IFERROR(IF(0=LEN(ReferenceData!$AE$90),"",ReferenceData!$AE$90),"")</f>
        <v>150.578</v>
      </c>
      <c r="AF90">
        <f ca="1">IFERROR(IF(0=LEN(ReferenceData!$AF$90),"",ReferenceData!$AF$90),"")</f>
        <v>259.57100000000003</v>
      </c>
      <c r="AG90">
        <f ca="1">IFERROR(IF(0=LEN(ReferenceData!$AG$90),"",ReferenceData!$AG$90),"")</f>
        <v>317.911</v>
      </c>
      <c r="AH90">
        <f ca="1">IFERROR(IF(0=LEN(ReferenceData!$AH$90),"",ReferenceData!$AH$90),"")</f>
        <v>149.68899999999999</v>
      </c>
      <c r="AI90">
        <f ca="1">IFERROR(IF(0=LEN(ReferenceData!$AI$90),"",ReferenceData!$AI$90),"")</f>
        <v>202.61099999999999</v>
      </c>
      <c r="AJ90">
        <f ca="1">IFERROR(IF(0=LEN(ReferenceData!$AJ$90),"",ReferenceData!$AJ$90),"")</f>
        <v>96.081000000000003</v>
      </c>
      <c r="AK90">
        <f ca="1">IFERROR(IF(0=LEN(ReferenceData!$AK$90),"",ReferenceData!$AK$90),"")</f>
        <v>161.875</v>
      </c>
      <c r="AL90">
        <f ca="1">IFERROR(IF(0=LEN(ReferenceData!$AL$90),"",ReferenceData!$AL$90),"")</f>
        <v>158.678</v>
      </c>
      <c r="AM90">
        <f ca="1">IFERROR(IF(0=LEN(ReferenceData!$AM$90),"",ReferenceData!$AM$90),"")</f>
        <v>106.04</v>
      </c>
      <c r="AN90">
        <f ca="1">IFERROR(IF(0=LEN(ReferenceData!$AN$90),"",ReferenceData!$AN$90),"")</f>
        <v>32.168999999999997</v>
      </c>
      <c r="AO90">
        <f ca="1">IFERROR(IF(0=LEN(ReferenceData!$AO$90),"",ReferenceData!$AO$90),"")</f>
        <v>146.041</v>
      </c>
      <c r="AP90">
        <f ca="1">IFERROR(IF(0=LEN(ReferenceData!$AP$90),"",ReferenceData!$AP$90),"")</f>
        <v>128.01900000000001</v>
      </c>
      <c r="AQ90">
        <f ca="1">IFERROR(IF(0=LEN(ReferenceData!$AQ$90),"",ReferenceData!$AQ$90),"")</f>
        <v>120.908</v>
      </c>
      <c r="AR90">
        <f ca="1">IFERROR(IF(0=LEN(ReferenceData!$AR$90),"",ReferenceData!$AR$90),"")</f>
        <v>174.26499999999999</v>
      </c>
      <c r="AS90">
        <f ca="1">IFERROR(IF(0=LEN(ReferenceData!$AS$90),"",ReferenceData!$AS$90),"")</f>
        <v>118.992</v>
      </c>
      <c r="AT90">
        <f ca="1">IFERROR(IF(0=LEN(ReferenceData!$AT$90),"",ReferenceData!$AT$90),"")</f>
        <v>121.483</v>
      </c>
      <c r="AU90">
        <f ca="1">IFERROR(IF(0=LEN(ReferenceData!$AU$90),"",ReferenceData!$AU$90),"")</f>
        <v>117.241</v>
      </c>
      <c r="AV90">
        <f ca="1">IFERROR(IF(0=LEN(ReferenceData!$AV$90),"",ReferenceData!$AV$90),"")</f>
        <v>109.00700000000001</v>
      </c>
      <c r="AW90">
        <f ca="1">IFERROR(IF(0=LEN(ReferenceData!$AW$90),"",ReferenceData!$AW$90),"")</f>
        <v>120.405</v>
      </c>
      <c r="AX90">
        <f ca="1">IFERROR(IF(0=LEN(ReferenceData!$AX$90),"",ReferenceData!$AX$90),"")</f>
        <v>102.438</v>
      </c>
      <c r="AY90">
        <f ca="1">IFERROR(IF(0=LEN(ReferenceData!$AY$90),"",ReferenceData!$AY$90),"")</f>
        <v>65.629000000000005</v>
      </c>
      <c r="AZ90">
        <f ca="1">IFERROR(IF(0=LEN(ReferenceData!$AZ$90),"",ReferenceData!$AZ$90),"")</f>
        <v>69.42</v>
      </c>
      <c r="BA90">
        <f ca="1">IFERROR(IF(0=LEN(ReferenceData!$BA$90),"",ReferenceData!$BA$90),"")</f>
        <v>64.738</v>
      </c>
      <c r="BB90">
        <f ca="1">IFERROR(IF(0=LEN(ReferenceData!$BB$90),"",ReferenceData!$BB$90),"")</f>
        <v>72.965999999999994</v>
      </c>
      <c r="BC90">
        <f ca="1">IFERROR(IF(0=LEN(ReferenceData!$BC$90),"",ReferenceData!$BC$90),"")</f>
        <v>68.177000000000007</v>
      </c>
      <c r="BD90">
        <f ca="1">IFERROR(IF(0=LEN(ReferenceData!$BD$90),"",ReferenceData!$BD$90),"")</f>
        <v>68.766999999999996</v>
      </c>
      <c r="BE90">
        <f ca="1">IFERROR(IF(0=LEN(ReferenceData!$BE$90),"",ReferenceData!$BE$90),"")</f>
        <v>5.38</v>
      </c>
      <c r="BF90">
        <f ca="1">IFERROR(IF(0=LEN(ReferenceData!$BF$90),"",ReferenceData!$BF$90),"")</f>
        <v>61.033999999999999</v>
      </c>
      <c r="BG90">
        <f ca="1">IFERROR(IF(0=LEN(ReferenceData!$BG$90),"",ReferenceData!$BG$90),"")</f>
        <v>62.793999999999997</v>
      </c>
      <c r="BH90">
        <f ca="1">IFERROR(IF(0=LEN(ReferenceData!$BH$90),"",ReferenceData!$BH$90),"")</f>
        <v>-111.976</v>
      </c>
      <c r="BI90" t="str">
        <f ca="1">IFERROR(IF(0=LEN(ReferenceData!$BI$90),"",ReferenceData!$BI$90),"")</f>
        <v/>
      </c>
      <c r="BJ90" t="str">
        <f ca="1">IFERROR(IF(0=LEN(ReferenceData!$BJ$90),"",ReferenceData!$BJ$90),"")</f>
        <v/>
      </c>
      <c r="BK90">
        <f ca="1">IFERROR(IF(0=LEN(ReferenceData!$BK$90),"",ReferenceData!$BK$90),"")</f>
        <v>64.463997000000006</v>
      </c>
      <c r="BL90">
        <f ca="1">IFERROR(IF(0=LEN(ReferenceData!$BL$90),"",ReferenceData!$BL$90),"")</f>
        <v>-93.093999999999994</v>
      </c>
      <c r="BM90">
        <f ca="1">IFERROR(IF(0=LEN(ReferenceData!$BM$90),"",ReferenceData!$BM$90),"")</f>
        <v>44.088000000000001</v>
      </c>
    </row>
    <row r="91" spans="1:65">
      <c r="A91" t="str">
        <f>IFERROR(IF(0=LEN(ReferenceData!$A$91),"",ReferenceData!$A$91),"")</f>
        <v xml:space="preserve">    Healthcare Realty Trust Inc</v>
      </c>
      <c r="B91" t="str">
        <f>IFERROR(IF(0=LEN(ReferenceData!$B$91),"",ReferenceData!$B$91),"")</f>
        <v>HR US Equity</v>
      </c>
      <c r="C91" t="str">
        <f>IFERROR(IF(0=LEN(ReferenceData!$C$91),"",ReferenceData!$C$91),"")</f>
        <v>CF039</v>
      </c>
      <c r="D91" t="str">
        <f>IFERROR(IF(0=LEN(ReferenceData!$D$91),"",ReferenceData!$D$91),"")</f>
        <v>CF_FFO</v>
      </c>
      <c r="E91" t="str">
        <f>IFERROR(IF(0=LEN(ReferenceData!$E$91),"",ReferenceData!$E$91),"")</f>
        <v>动态</v>
      </c>
      <c r="F91" t="str">
        <f ca="1">IFERROR(IF(0=LEN(ReferenceData!$F$91),"",ReferenceData!$F$91),"")</f>
        <v/>
      </c>
      <c r="G91">
        <f ca="1">IFERROR(IF(0=LEN(ReferenceData!$G$91),"",ReferenceData!$G$91),"")</f>
        <v>0.71599999999999997</v>
      </c>
      <c r="H91">
        <f ca="1">IFERROR(IF(0=LEN(ReferenceData!$H$91),"",ReferenceData!$H$91),"")</f>
        <v>44.716999999999999</v>
      </c>
      <c r="I91">
        <f ca="1">IFERROR(IF(0=LEN(ReferenceData!$I$91),"",ReferenceData!$I$91),"")</f>
        <v>44.526000000000003</v>
      </c>
      <c r="J91">
        <f ca="1">IFERROR(IF(0=LEN(ReferenceData!$J$91),"",ReferenceData!$J$91),"")</f>
        <v>44.314999999999998</v>
      </c>
      <c r="K91">
        <f ca="1">IFERROR(IF(0=LEN(ReferenceData!$K$91),"",ReferenceData!$K$91),"")</f>
        <v>46.22</v>
      </c>
      <c r="L91">
        <f ca="1">IFERROR(IF(0=LEN(ReferenceData!$L$91),"",ReferenceData!$L$91),"")</f>
        <v>44.390999999999998</v>
      </c>
      <c r="M91">
        <f ca="1">IFERROR(IF(0=LEN(ReferenceData!$M$91),"",ReferenceData!$M$91),"")</f>
        <v>43.853000000000002</v>
      </c>
      <c r="N91">
        <f ca="1">IFERROR(IF(0=LEN(ReferenceData!$N$91),"",ReferenceData!$N$91),"")</f>
        <v>39.956000000000003</v>
      </c>
      <c r="O91">
        <f ca="1">IFERROR(IF(0=LEN(ReferenceData!$O$91),"",ReferenceData!$O$91),"")</f>
        <v>40.113999999999997</v>
      </c>
      <c r="P91">
        <f ca="1">IFERROR(IF(0=LEN(ReferenceData!$P$91),"",ReferenceData!$P$91),"")</f>
        <v>40.621000000000002</v>
      </c>
      <c r="Q91">
        <f ca="1">IFERROR(IF(0=LEN(ReferenceData!$Q$91),"",ReferenceData!$Q$91),"")</f>
        <v>4.9089999999999998</v>
      </c>
      <c r="R91">
        <f ca="1">IFERROR(IF(0=LEN(ReferenceData!$R$91),"",ReferenceData!$R$91),"")</f>
        <v>38.08</v>
      </c>
      <c r="S91">
        <f ca="1">IFERROR(IF(0=LEN(ReferenceData!$S$91),"",ReferenceData!$S$91),"")</f>
        <v>38.494999999999997</v>
      </c>
      <c r="T91">
        <f ca="1">IFERROR(IF(0=LEN(ReferenceData!$T$91),"",ReferenceData!$T$91),"")</f>
        <v>36.945999999999998</v>
      </c>
      <c r="U91">
        <f ca="1">IFERROR(IF(0=LEN(ReferenceData!$U$91),"",ReferenceData!$U$91),"")</f>
        <v>36.090000000000003</v>
      </c>
      <c r="V91">
        <f ca="1">IFERROR(IF(0=LEN(ReferenceData!$V$91),"",ReferenceData!$V$91),"")</f>
        <v>33.524999999999999</v>
      </c>
      <c r="W91">
        <f ca="1">IFERROR(IF(0=LEN(ReferenceData!$W$91),"",ReferenceData!$W$91),"")</f>
        <v>35.411999999999999</v>
      </c>
      <c r="X91">
        <f ca="1">IFERROR(IF(0=LEN(ReferenceData!$X$91),"",ReferenceData!$X$91),"")</f>
        <v>30.050999999999998</v>
      </c>
      <c r="Y91">
        <f ca="1">IFERROR(IF(0=LEN(ReferenceData!$Y$91),"",ReferenceData!$Y$91),"")</f>
        <v>-1.986</v>
      </c>
      <c r="Z91">
        <f ca="1">IFERROR(IF(0=LEN(ReferenceData!$Z$91),"",ReferenceData!$Z$91),"")</f>
        <v>26.588999999999999</v>
      </c>
      <c r="AA91">
        <f ca="1">IFERROR(IF(0=LEN(ReferenceData!$AA$91),"",ReferenceData!$AA$91),"")</f>
        <v>25.077000000000002</v>
      </c>
      <c r="AB91">
        <f ca="1">IFERROR(IF(0=LEN(ReferenceData!$AB$91),"",ReferenceData!$AB$91),"")</f>
        <v>25.745999999999999</v>
      </c>
      <c r="AC91">
        <f ca="1">IFERROR(IF(0=LEN(ReferenceData!$AC$91),"",ReferenceData!$AC$91),"")</f>
        <v>26.539000000000001</v>
      </c>
      <c r="AD91">
        <f ca="1">IFERROR(IF(0=LEN(ReferenceData!$AD$91),"",ReferenceData!$AD$91),"")</f>
        <v>27.303999999999998</v>
      </c>
      <c r="AE91">
        <f ca="1">IFERROR(IF(0=LEN(ReferenceData!$AE$91),"",ReferenceData!$AE$91),"")</f>
        <v>25.335000000000001</v>
      </c>
      <c r="AF91">
        <f ca="1">IFERROR(IF(0=LEN(ReferenceData!$AF$91),"",ReferenceData!$AF$91),"")</f>
        <v>22.55</v>
      </c>
      <c r="AG91">
        <f ca="1">IFERROR(IF(0=LEN(ReferenceData!$AG$91),"",ReferenceData!$AG$91),"")</f>
        <v>22.420999999999999</v>
      </c>
      <c r="AH91">
        <f ca="1">IFERROR(IF(0=LEN(ReferenceData!$AH$91),"",ReferenceData!$AH$91),"")</f>
        <v>14.375999999999999</v>
      </c>
      <c r="AI91">
        <f ca="1">IFERROR(IF(0=LEN(ReferenceData!$AI$91),"",ReferenceData!$AI$91),"")</f>
        <v>19.373000000000001</v>
      </c>
      <c r="AJ91">
        <f ca="1">IFERROR(IF(0=LEN(ReferenceData!$AJ$91),"",ReferenceData!$AJ$91),"")</f>
        <v>10.734999999999999</v>
      </c>
      <c r="AK91">
        <f ca="1">IFERROR(IF(0=LEN(ReferenceData!$AK$91),"",ReferenceData!$AK$91),"")</f>
        <v>22.384</v>
      </c>
      <c r="AL91">
        <f ca="1">IFERROR(IF(0=LEN(ReferenceData!$AL$91),"",ReferenceData!$AL$91),"")</f>
        <v>19.231000000000002</v>
      </c>
      <c r="AM91">
        <f ca="1">IFERROR(IF(0=LEN(ReferenceData!$AM$91),"",ReferenceData!$AM$91),"")</f>
        <v>20.908999999999999</v>
      </c>
      <c r="AN91">
        <f ca="1">IFERROR(IF(0=LEN(ReferenceData!$AN$91),"",ReferenceData!$AN$91),"")</f>
        <v>25.821000000000002</v>
      </c>
      <c r="AO91">
        <f ca="1">IFERROR(IF(0=LEN(ReferenceData!$AO$91),"",ReferenceData!$AO$91),"")</f>
        <v>26.012</v>
      </c>
      <c r="AP91">
        <f ca="1">IFERROR(IF(0=LEN(ReferenceData!$AP$91),"",ReferenceData!$AP$91),"")</f>
        <v>25.138999999999999</v>
      </c>
      <c r="AQ91">
        <f ca="1">IFERROR(IF(0=LEN(ReferenceData!$AQ$91),"",ReferenceData!$AQ$91),"")</f>
        <v>28.564</v>
      </c>
      <c r="AR91">
        <f ca="1">IFERROR(IF(0=LEN(ReferenceData!$AR$91),"",ReferenceData!$AR$91),"")</f>
        <v>18.236999999999998</v>
      </c>
      <c r="AS91">
        <f ca="1">IFERROR(IF(0=LEN(ReferenceData!$AS$91),"",ReferenceData!$AS$91),"")</f>
        <v>19.201000000000001</v>
      </c>
      <c r="AT91">
        <f ca="1">IFERROR(IF(0=LEN(ReferenceData!$AT$91),"",ReferenceData!$AT$91),"")</f>
        <v>19.434999999999999</v>
      </c>
      <c r="AU91">
        <f ca="1">IFERROR(IF(0=LEN(ReferenceData!$AU$91),"",ReferenceData!$AU$91),"")</f>
        <v>19.405999999999999</v>
      </c>
      <c r="AV91">
        <f ca="1">IFERROR(IF(0=LEN(ReferenceData!$AV$91),"",ReferenceData!$AV$91),"")</f>
        <v>14.563000000000001</v>
      </c>
      <c r="AW91">
        <f ca="1">IFERROR(IF(0=LEN(ReferenceData!$AW$91),"",ReferenceData!$AW$91),"")</f>
        <v>18.86</v>
      </c>
      <c r="AX91">
        <f ca="1">IFERROR(IF(0=LEN(ReferenceData!$AX$91),"",ReferenceData!$AX$91),"")</f>
        <v>20.326000000000001</v>
      </c>
      <c r="AY91">
        <f ca="1">IFERROR(IF(0=LEN(ReferenceData!$AY$91),"",ReferenceData!$AY$91),"")</f>
        <v>24.844000000000001</v>
      </c>
      <c r="AZ91">
        <f ca="1">IFERROR(IF(0=LEN(ReferenceData!$AZ$91),"",ReferenceData!$AZ$91),"")</f>
        <v>23.789000000000001</v>
      </c>
      <c r="BA91">
        <f ca="1">IFERROR(IF(0=LEN(ReferenceData!$BA$91),"",ReferenceData!$BA$91),"")</f>
        <v>27.547999999999998</v>
      </c>
      <c r="BB91">
        <f ca="1">IFERROR(IF(0=LEN(ReferenceData!$BB$91),"",ReferenceData!$BB$91),"")</f>
        <v>24.925000000000001</v>
      </c>
      <c r="BC91">
        <f ca="1">IFERROR(IF(0=LEN(ReferenceData!$BC$91),"",ReferenceData!$BC$91),"")</f>
        <v>26.722000000000001</v>
      </c>
      <c r="BD91">
        <f ca="1">IFERROR(IF(0=LEN(ReferenceData!$BD$91),"",ReferenceData!$BD$91),"")</f>
        <v>26.56</v>
      </c>
      <c r="BE91">
        <f ca="1">IFERROR(IF(0=LEN(ReferenceData!$BE$91),"",ReferenceData!$BE$91),"")</f>
        <v>25.251999999999999</v>
      </c>
      <c r="BF91">
        <f ca="1">IFERROR(IF(0=LEN(ReferenceData!$BF$91),"",ReferenceData!$BF$91),"")</f>
        <v>29.408999999999999</v>
      </c>
      <c r="BG91">
        <f ca="1">IFERROR(IF(0=LEN(ReferenceData!$BG$91),"",ReferenceData!$BG$91),"")</f>
        <v>20.742000000000001</v>
      </c>
      <c r="BH91">
        <f ca="1">IFERROR(IF(0=LEN(ReferenceData!$BH$91),"",ReferenceData!$BH$91),"")</f>
        <v>29.675000000000001</v>
      </c>
      <c r="BI91">
        <f ca="1">IFERROR(IF(0=LEN(ReferenceData!$BI$91),"",ReferenceData!$BI$91),"")</f>
        <v>27.635999999999999</v>
      </c>
      <c r="BJ91">
        <f ca="1">IFERROR(IF(0=LEN(ReferenceData!$BJ$91),"",ReferenceData!$BJ$91),"")</f>
        <v>26.055</v>
      </c>
      <c r="BK91">
        <f ca="1">IFERROR(IF(0=LEN(ReferenceData!$BK$91),"",ReferenceData!$BK$91),"")</f>
        <v>18.768000000000001</v>
      </c>
      <c r="BL91">
        <f ca="1">IFERROR(IF(0=LEN(ReferenceData!$BL$91),"",ReferenceData!$BL$91),"")</f>
        <v>28.218000409999998</v>
      </c>
      <c r="BM91">
        <f ca="1">IFERROR(IF(0=LEN(ReferenceData!$BM$91),"",ReferenceData!$BM$91),"")</f>
        <v>28.18300056</v>
      </c>
    </row>
    <row r="92" spans="1:65">
      <c r="A92" t="str">
        <f>IFERROR(IF(0=LEN(ReferenceData!$A$92),"",ReferenceData!$A$92),"")</f>
        <v xml:space="preserve">    Healthcare Trust of America In</v>
      </c>
      <c r="B92" t="str">
        <f>IFERROR(IF(0=LEN(ReferenceData!$B$92),"",ReferenceData!$B$92),"")</f>
        <v>HTA US Equity</v>
      </c>
      <c r="C92" t="str">
        <f>IFERROR(IF(0=LEN(ReferenceData!$C$92),"",ReferenceData!$C$92),"")</f>
        <v>CF039</v>
      </c>
      <c r="D92" t="str">
        <f>IFERROR(IF(0=LEN(ReferenceData!$D$92),"",ReferenceData!$D$92),"")</f>
        <v>CF_FFO</v>
      </c>
      <c r="E92" t="str">
        <f>IFERROR(IF(0=LEN(ReferenceData!$E$92),"",ReferenceData!$E$92),"")</f>
        <v>动态</v>
      </c>
      <c r="F92" t="str">
        <f ca="1">IFERROR(IF(0=LEN(ReferenceData!$F$92),"",ReferenceData!$F$92),"")</f>
        <v/>
      </c>
      <c r="G92">
        <f ca="1">IFERROR(IF(0=LEN(ReferenceData!$G$92),"",ReferenceData!$G$92),"")</f>
        <v>85.561999999999998</v>
      </c>
      <c r="H92">
        <f ca="1">IFERROR(IF(0=LEN(ReferenceData!$H$92),"",ReferenceData!$H$92),"")</f>
        <v>84.248000000000005</v>
      </c>
      <c r="I92">
        <f ca="1">IFERROR(IF(0=LEN(ReferenceData!$I$92),"",ReferenceData!$I$92),"")</f>
        <v>54.185000000000002</v>
      </c>
      <c r="J92">
        <f ca="1">IFERROR(IF(0=LEN(ReferenceData!$J$92),"",ReferenceData!$J$92),"")</f>
        <v>60.231000000000002</v>
      </c>
      <c r="K92">
        <f ca="1">IFERROR(IF(0=LEN(ReferenceData!$K$92),"",ReferenceData!$K$92),"")</f>
        <v>60.944000000000003</v>
      </c>
      <c r="L92">
        <f ca="1">IFERROR(IF(0=LEN(ReferenceData!$L$92),"",ReferenceData!$L$92),"")</f>
        <v>53.972000000000001</v>
      </c>
      <c r="M92">
        <f ca="1">IFERROR(IF(0=LEN(ReferenceData!$M$92),"",ReferenceData!$M$92),"")</f>
        <v>53.273000000000003</v>
      </c>
      <c r="N92">
        <f ca="1">IFERROR(IF(0=LEN(ReferenceData!$N$92),"",ReferenceData!$N$92),"")</f>
        <v>47.381</v>
      </c>
      <c r="O92">
        <f ca="1">IFERROR(IF(0=LEN(ReferenceData!$O$92),"",ReferenceData!$O$92),"")</f>
        <v>49.923999999999999</v>
      </c>
      <c r="P92">
        <f ca="1">IFERROR(IF(0=LEN(ReferenceData!$P$92),"",ReferenceData!$P$92),"")</f>
        <v>46.499000000000002</v>
      </c>
      <c r="Q92">
        <f ca="1">IFERROR(IF(0=LEN(ReferenceData!$Q$92),"",ReferenceData!$Q$92),"")</f>
        <v>48.698999999999998</v>
      </c>
      <c r="R92">
        <f ca="1">IFERROR(IF(0=LEN(ReferenceData!$R$92),"",ReferenceData!$R$92),"")</f>
        <v>43.084000000000003</v>
      </c>
      <c r="S92">
        <f ca="1">IFERROR(IF(0=LEN(ReferenceData!$S$92),"",ReferenceData!$S$92),"")</f>
        <v>40.987000000000002</v>
      </c>
      <c r="T92">
        <f ca="1">IFERROR(IF(0=LEN(ReferenceData!$T$92),"",ReferenceData!$T$92),"")</f>
        <v>40.067999999999998</v>
      </c>
      <c r="U92">
        <f ca="1">IFERROR(IF(0=LEN(ReferenceData!$U$92),"",ReferenceData!$U$92),"")</f>
        <v>36.457000000000001</v>
      </c>
      <c r="V92">
        <f ca="1">IFERROR(IF(0=LEN(ReferenceData!$V$92),"",ReferenceData!$V$92),"")</f>
        <v>40.234000000000002</v>
      </c>
      <c r="W92">
        <f ca="1">IFERROR(IF(0=LEN(ReferenceData!$W$92),"",ReferenceData!$W$92),"")</f>
        <v>37.984000000000002</v>
      </c>
      <c r="X92">
        <f ca="1">IFERROR(IF(0=LEN(ReferenceData!$X$92),"",ReferenceData!$X$92),"")</f>
        <v>34.404000000000003</v>
      </c>
      <c r="Y92">
        <f ca="1">IFERROR(IF(0=LEN(ReferenceData!$Y$92),"",ReferenceData!$Y$92),"")</f>
        <v>43.607999999999997</v>
      </c>
      <c r="Z92">
        <f ca="1">IFERROR(IF(0=LEN(ReferenceData!$Z$92),"",ReferenceData!$Z$92),"")</f>
        <v>29.911999999999999</v>
      </c>
      <c r="AA92">
        <f ca="1">IFERROR(IF(0=LEN(ReferenceData!$AA$92),"",ReferenceData!$AA$92),"")</f>
        <v>26.803000000000001</v>
      </c>
      <c r="AB92">
        <f ca="1">IFERROR(IF(0=LEN(ReferenceData!$AB$92),"",ReferenceData!$AB$92),"")</f>
        <v>26.506</v>
      </c>
      <c r="AC92">
        <f ca="1">IFERROR(IF(0=LEN(ReferenceData!$AC$92),"",ReferenceData!$AC$92),"")</f>
        <v>11.641999999999999</v>
      </c>
      <c r="AD92">
        <f ca="1">IFERROR(IF(0=LEN(ReferenceData!$AD$92),"",ReferenceData!$AD$92),"")</f>
        <v>27.042000000000002</v>
      </c>
      <c r="AE92">
        <f ca="1">IFERROR(IF(0=LEN(ReferenceData!$AE$92),"",ReferenceData!$AE$92),"")</f>
        <v>28.738</v>
      </c>
      <c r="AF92">
        <f ca="1">IFERROR(IF(0=LEN(ReferenceData!$AF$92),"",ReferenceData!$AF$92),"")</f>
        <v>27.594000000000001</v>
      </c>
      <c r="AG92">
        <f ca="1">IFERROR(IF(0=LEN(ReferenceData!$AG$92),"",ReferenceData!$AG$92),"")</f>
        <v>27.863</v>
      </c>
      <c r="AH92">
        <f ca="1">IFERROR(IF(0=LEN(ReferenceData!$AH$92),"",ReferenceData!$AH$92),"")</f>
        <v>28.94</v>
      </c>
      <c r="AI92">
        <f ca="1">IFERROR(IF(0=LEN(ReferenceData!$AI$92),"",ReferenceData!$AI$92),"")</f>
        <v>14.103999999999999</v>
      </c>
      <c r="AJ92">
        <f ca="1">IFERROR(IF(0=LEN(ReferenceData!$AJ$92),"",ReferenceData!$AJ$92),"")</f>
        <v>20.370999999999999</v>
      </c>
      <c r="AK92">
        <f ca="1">IFERROR(IF(0=LEN(ReferenceData!$AK$92),"",ReferenceData!$AK$92),"")</f>
        <v>18.846</v>
      </c>
      <c r="AL92">
        <f ca="1">IFERROR(IF(0=LEN(ReferenceData!$AL$92),"",ReferenceData!$AL$92),"")</f>
        <v>16.713999999999999</v>
      </c>
      <c r="AM92" t="str">
        <f ca="1">IFERROR(IF(0=LEN(ReferenceData!$AM$92),"",ReferenceData!$AM$92),"")</f>
        <v/>
      </c>
      <c r="AN92" t="str">
        <f ca="1">IFERROR(IF(0=LEN(ReferenceData!$AN$92),"",ReferenceData!$AN$92),"")</f>
        <v/>
      </c>
      <c r="AO92" t="str">
        <f ca="1">IFERROR(IF(0=LEN(ReferenceData!$AO$92),"",ReferenceData!$AO$92),"")</f>
        <v/>
      </c>
      <c r="AP92" t="str">
        <f ca="1">IFERROR(IF(0=LEN(ReferenceData!$AP$92),"",ReferenceData!$AP$92),"")</f>
        <v/>
      </c>
      <c r="AQ92" t="str">
        <f ca="1">IFERROR(IF(0=LEN(ReferenceData!$AQ$92),"",ReferenceData!$AQ$92),"")</f>
        <v/>
      </c>
      <c r="AR92" t="str">
        <f ca="1">IFERROR(IF(0=LEN(ReferenceData!$AR$92),"",ReferenceData!$AR$92),"")</f>
        <v/>
      </c>
      <c r="AS92" t="str">
        <f ca="1">IFERROR(IF(0=LEN(ReferenceData!$AS$92),"",ReferenceData!$AS$92),"")</f>
        <v/>
      </c>
      <c r="AT92" t="str">
        <f ca="1">IFERROR(IF(0=LEN(ReferenceData!$AT$92),"",ReferenceData!$AT$92),"")</f>
        <v/>
      </c>
      <c r="AU92" t="str">
        <f ca="1">IFERROR(IF(0=LEN(ReferenceData!$AU$92),"",ReferenceData!$AU$92),"")</f>
        <v/>
      </c>
      <c r="AV92" t="str">
        <f ca="1">IFERROR(IF(0=LEN(ReferenceData!$AV$92),"",ReferenceData!$AV$92),"")</f>
        <v/>
      </c>
      <c r="AW92" t="str">
        <f ca="1">IFERROR(IF(0=LEN(ReferenceData!$AW$92),"",ReferenceData!$AW$92),"")</f>
        <v/>
      </c>
      <c r="AX92" t="str">
        <f ca="1">IFERROR(IF(0=LEN(ReferenceData!$AX$92),"",ReferenceData!$AX$92),"")</f>
        <v/>
      </c>
      <c r="AY92" t="str">
        <f ca="1">IFERROR(IF(0=LEN(ReferenceData!$AY$92),"",ReferenceData!$AY$92),"")</f>
        <v/>
      </c>
      <c r="AZ92" t="str">
        <f ca="1">IFERROR(IF(0=LEN(ReferenceData!$AZ$92),"",ReferenceData!$AZ$92),"")</f>
        <v/>
      </c>
      <c r="BA92" t="str">
        <f ca="1">IFERROR(IF(0=LEN(ReferenceData!$BA$92),"",ReferenceData!$BA$92),"")</f>
        <v/>
      </c>
      <c r="BB92" t="str">
        <f ca="1">IFERROR(IF(0=LEN(ReferenceData!$BB$92),"",ReferenceData!$BB$92),"")</f>
        <v/>
      </c>
      <c r="BC92" t="str">
        <f ca="1">IFERROR(IF(0=LEN(ReferenceData!$BC$92),"",ReferenceData!$BC$92),"")</f>
        <v/>
      </c>
      <c r="BD92" t="str">
        <f ca="1">IFERROR(IF(0=LEN(ReferenceData!$BD$92),"",ReferenceData!$BD$92),"")</f>
        <v/>
      </c>
      <c r="BE92" t="str">
        <f ca="1">IFERROR(IF(0=LEN(ReferenceData!$BE$92),"",ReferenceData!$BE$92),"")</f>
        <v/>
      </c>
      <c r="BF92" t="str">
        <f ca="1">IFERROR(IF(0=LEN(ReferenceData!$BF$92),"",ReferenceData!$BF$92),"")</f>
        <v/>
      </c>
      <c r="BG92" t="str">
        <f ca="1">IFERROR(IF(0=LEN(ReferenceData!$BG$92),"",ReferenceData!$BG$92),"")</f>
        <v/>
      </c>
      <c r="BH92" t="str">
        <f ca="1">IFERROR(IF(0=LEN(ReferenceData!$BH$92),"",ReferenceData!$BH$92),"")</f>
        <v/>
      </c>
      <c r="BI92" t="str">
        <f ca="1">IFERROR(IF(0=LEN(ReferenceData!$BI$92),"",ReferenceData!$BI$92),"")</f>
        <v/>
      </c>
      <c r="BJ92" t="str">
        <f ca="1">IFERROR(IF(0=LEN(ReferenceData!$BJ$92),"",ReferenceData!$BJ$92),"")</f>
        <v/>
      </c>
      <c r="BK92" t="str">
        <f ca="1">IFERROR(IF(0=LEN(ReferenceData!$BK$92),"",ReferenceData!$BK$92),"")</f>
        <v/>
      </c>
      <c r="BL92" t="str">
        <f ca="1">IFERROR(IF(0=LEN(ReferenceData!$BL$92),"",ReferenceData!$BL$92),"")</f>
        <v/>
      </c>
      <c r="BM92" t="str">
        <f ca="1">IFERROR(IF(0=LEN(ReferenceData!$BM$92),"",ReferenceData!$BM$92),"")</f>
        <v/>
      </c>
    </row>
    <row r="93" spans="1:65">
      <c r="A93" t="str">
        <f>IFERROR(IF(0=LEN(ReferenceData!$A$93),"",ReferenceData!$A$93),"")</f>
        <v xml:space="preserve">    Medical Properties Trust Inc</v>
      </c>
      <c r="B93" t="str">
        <f>IFERROR(IF(0=LEN(ReferenceData!$B$93),"",ReferenceData!$B$93),"")</f>
        <v>MPW US Equity</v>
      </c>
      <c r="C93" t="str">
        <f>IFERROR(IF(0=LEN(ReferenceData!$C$93),"",ReferenceData!$C$93),"")</f>
        <v>CF039</v>
      </c>
      <c r="D93" t="str">
        <f>IFERROR(IF(0=LEN(ReferenceData!$D$93),"",ReferenceData!$D$93),"")</f>
        <v>CF_FFO</v>
      </c>
      <c r="E93" t="str">
        <f>IFERROR(IF(0=LEN(ReferenceData!$E$93),"",ReferenceData!$E$93),"")</f>
        <v>动态</v>
      </c>
      <c r="F93" t="str">
        <f ca="1">IFERROR(IF(0=LEN(ReferenceData!$F$93),"",ReferenceData!$F$93),"")</f>
        <v/>
      </c>
      <c r="G93">
        <f ca="1">IFERROR(IF(0=LEN(ReferenceData!$G$93),"",ReferenceData!$G$93),"")</f>
        <v>107.657</v>
      </c>
      <c r="H93">
        <f ca="1">IFERROR(IF(0=LEN(ReferenceData!$H$93),"",ReferenceData!$H$93),"")</f>
        <v>108.982</v>
      </c>
      <c r="I93">
        <f ca="1">IFERROR(IF(0=LEN(ReferenceData!$I$93),"",ReferenceData!$I$93),"")</f>
        <v>103.342</v>
      </c>
      <c r="J93">
        <f ca="1">IFERROR(IF(0=LEN(ReferenceData!$J$93),"",ReferenceData!$J$93),"")</f>
        <v>88.531000000000006</v>
      </c>
      <c r="K93">
        <f ca="1">IFERROR(IF(0=LEN(ReferenceData!$K$93),"",ReferenceData!$K$93),"")</f>
        <v>69.885999999999996</v>
      </c>
      <c r="L93">
        <f ca="1">IFERROR(IF(0=LEN(ReferenceData!$L$93),"",ReferenceData!$L$93),"")</f>
        <v>50.063000000000002</v>
      </c>
      <c r="M93">
        <f ca="1">IFERROR(IF(0=LEN(ReferenceData!$M$93),"",ReferenceData!$M$93),"")</f>
        <v>54.314</v>
      </c>
      <c r="N93">
        <f ca="1">IFERROR(IF(0=LEN(ReferenceData!$N$93),"",ReferenceData!$N$93),"")</f>
        <v>79.215000000000003</v>
      </c>
      <c r="O93">
        <f ca="1">IFERROR(IF(0=LEN(ReferenceData!$O$93),"",ReferenceData!$O$93),"")</f>
        <v>78.13</v>
      </c>
      <c r="P93">
        <f ca="1">IFERROR(IF(0=LEN(ReferenceData!$P$93),"",ReferenceData!$P$93),"")</f>
        <v>39.54</v>
      </c>
      <c r="Q93">
        <f ca="1">IFERROR(IF(0=LEN(ReferenceData!$Q$93),"",ReferenceData!$Q$93),"")</f>
        <v>37.113</v>
      </c>
      <c r="R93">
        <f ca="1">IFERROR(IF(0=LEN(ReferenceData!$R$93),"",ReferenceData!$R$93),"")</f>
        <v>50.387</v>
      </c>
      <c r="S93">
        <f ca="1">IFERROR(IF(0=LEN(ReferenceData!$S$93),"",ReferenceData!$S$93),"")</f>
        <v>26.231999999999999</v>
      </c>
      <c r="T93">
        <f ca="1">IFERROR(IF(0=LEN(ReferenceData!$T$93),"",ReferenceData!$T$93),"")</f>
        <v>41.712000000000003</v>
      </c>
      <c r="U93">
        <f ca="1">IFERROR(IF(0=LEN(ReferenceData!$U$93),"",ReferenceData!$U$93),"")</f>
        <v>18.016999999999999</v>
      </c>
      <c r="V93">
        <f ca="1">IFERROR(IF(0=LEN(ReferenceData!$V$93),"",ReferenceData!$V$93),"")</f>
        <v>20.722000000000001</v>
      </c>
      <c r="W93">
        <f ca="1">IFERROR(IF(0=LEN(ReferenceData!$W$93),"",ReferenceData!$W$93),"")</f>
        <v>23.574999999999999</v>
      </c>
      <c r="X93">
        <f ca="1">IFERROR(IF(0=LEN(ReferenceData!$X$93),"",ReferenceData!$X$93),"")</f>
        <v>34.271000000000001</v>
      </c>
      <c r="Y93">
        <f ca="1">IFERROR(IF(0=LEN(ReferenceData!$Y$93),"",ReferenceData!$Y$93),"")</f>
        <v>33.832999999999998</v>
      </c>
      <c r="Z93">
        <f ca="1">IFERROR(IF(0=LEN(ReferenceData!$Z$93),"",ReferenceData!$Z$93),"")</f>
        <v>34.61</v>
      </c>
      <c r="AA93">
        <f ca="1">IFERROR(IF(0=LEN(ReferenceData!$AA$93),"",ReferenceData!$AA$93),"")</f>
        <v>27.738</v>
      </c>
      <c r="AB93">
        <f ca="1">IFERROR(IF(0=LEN(ReferenceData!$AB$93),"",ReferenceData!$AB$93),"")</f>
        <v>31.315000000000001</v>
      </c>
      <c r="AC93">
        <f ca="1">IFERROR(IF(0=LEN(ReferenceData!$AC$93),"",ReferenceData!$AC$93),"")</f>
        <v>29.388000000000002</v>
      </c>
      <c r="AD93">
        <f ca="1">IFERROR(IF(0=LEN(ReferenceData!$AD$93),"",ReferenceData!$AD$93),"")</f>
        <v>19.058</v>
      </c>
      <c r="AE93">
        <f ca="1">IFERROR(IF(0=LEN(ReferenceData!$AE$93),"",ReferenceData!$AE$93),"")</f>
        <v>17.067847</v>
      </c>
      <c r="AF93">
        <f ca="1">IFERROR(IF(0=LEN(ReferenceData!$AF$93),"",ReferenceData!$AF$93),"")</f>
        <v>8.5905620000000003</v>
      </c>
      <c r="AG93">
        <f ca="1">IFERROR(IF(0=LEN(ReferenceData!$AG$93),"",ReferenceData!$AG$93),"")</f>
        <v>11.277362999999999</v>
      </c>
      <c r="AH93">
        <f ca="1">IFERROR(IF(0=LEN(ReferenceData!$AH$93),"",ReferenceData!$AH$93),"")</f>
        <v>18.352</v>
      </c>
      <c r="AI93">
        <f ca="1">IFERROR(IF(0=LEN(ReferenceData!$AI$93),"",ReferenceData!$AI$93),"")</f>
        <v>13.951923000000001</v>
      </c>
      <c r="AJ93">
        <f ca="1">IFERROR(IF(0=LEN(ReferenceData!$AJ$93),"",ReferenceData!$AJ$93),"")</f>
        <v>13.457770999999999</v>
      </c>
      <c r="AK93">
        <f ca="1">IFERROR(IF(0=LEN(ReferenceData!$AK$93),"",ReferenceData!$AK$93),"")</f>
        <v>5.8299469999999998</v>
      </c>
      <c r="AL93">
        <f ca="1">IFERROR(IF(0=LEN(ReferenceData!$AL$93),"",ReferenceData!$AL$93),"")</f>
        <v>3.6913459999999998</v>
      </c>
      <c r="AM93">
        <f ca="1">IFERROR(IF(0=LEN(ReferenceData!$AM$93),"",ReferenceData!$AM$93),"")</f>
        <v>13.232987</v>
      </c>
      <c r="AN93">
        <f ca="1">IFERROR(IF(0=LEN(ReferenceData!$AN$93),"",ReferenceData!$AN$93),"")</f>
        <v>16.467751</v>
      </c>
      <c r="AO93">
        <f ca="1">IFERROR(IF(0=LEN(ReferenceData!$AO$93),"",ReferenceData!$AO$93),"")</f>
        <v>14.174825999999999</v>
      </c>
      <c r="AP93">
        <f ca="1">IFERROR(IF(0=LEN(ReferenceData!$AP$93),"",ReferenceData!$AP$93),"")</f>
        <v>16.565559</v>
      </c>
      <c r="AQ93">
        <f ca="1">IFERROR(IF(0=LEN(ReferenceData!$AQ$93),"",ReferenceData!$AQ$93),"")</f>
        <v>7.1787739999999998</v>
      </c>
      <c r="AR93">
        <f ca="1">IFERROR(IF(0=LEN(ReferenceData!$AR$93),"",ReferenceData!$AR$93),"")</f>
        <v>16.702000000000002</v>
      </c>
      <c r="AS93">
        <f ca="1">IFERROR(IF(0=LEN(ReferenceData!$AS$93),"",ReferenceData!$AS$93),"")</f>
        <v>9.0950000000000006</v>
      </c>
      <c r="AT93">
        <f ca="1">IFERROR(IF(0=LEN(ReferenceData!$AT$93),"",ReferenceData!$AT$93),"")</f>
        <v>14.994</v>
      </c>
      <c r="AU93">
        <f ca="1">IFERROR(IF(0=LEN(ReferenceData!$AU$93),"",ReferenceData!$AU$93),"")</f>
        <v>11.934153999999999</v>
      </c>
      <c r="AV93">
        <f ca="1">IFERROR(IF(0=LEN(ReferenceData!$AV$93),"",ReferenceData!$AV$93),"")</f>
        <v>14.911626999999999</v>
      </c>
      <c r="AW93">
        <f ca="1">IFERROR(IF(0=LEN(ReferenceData!$AW$93),"",ReferenceData!$AW$93),"")</f>
        <v>14.244047999999999</v>
      </c>
      <c r="AX93">
        <f ca="1">IFERROR(IF(0=LEN(ReferenceData!$AX$93),"",ReferenceData!$AX$93),"")</f>
        <v>8.7407979999999998</v>
      </c>
      <c r="AY93">
        <f ca="1">IFERROR(IF(0=LEN(ReferenceData!$AY$93),"",ReferenceData!$AY$93),"")</f>
        <v>10.363737</v>
      </c>
      <c r="AZ93">
        <f ca="1">IFERROR(IF(0=LEN(ReferenceData!$AZ$93),"",ReferenceData!$AZ$93),"")</f>
        <v>10.647918000000001</v>
      </c>
      <c r="BA93">
        <f ca="1">IFERROR(IF(0=LEN(ReferenceData!$BA$93),"",ReferenceData!$BA$93),"")</f>
        <v>9.3498619999999999</v>
      </c>
      <c r="BB93">
        <f ca="1">IFERROR(IF(0=LEN(ReferenceData!$BB$93),"",ReferenceData!$BB$93),"")</f>
        <v>9.412172</v>
      </c>
      <c r="BC93">
        <f ca="1">IFERROR(IF(0=LEN(ReferenceData!$BC$93),"",ReferenceData!$BC$93),"")</f>
        <v>7.6404519999999998</v>
      </c>
      <c r="BD93">
        <f ca="1">IFERROR(IF(0=LEN(ReferenceData!$BD$93),"",ReferenceData!$BD$93),"")</f>
        <v>6.4264780000000004</v>
      </c>
      <c r="BE93">
        <f ca="1">IFERROR(IF(0=LEN(ReferenceData!$BE$93),"",ReferenceData!$BE$93),"")</f>
        <v>5.3541479110000001</v>
      </c>
      <c r="BF93">
        <f ca="1">IFERROR(IF(0=LEN(ReferenceData!$BF$93),"",ReferenceData!$BF$93),"")</f>
        <v>4.4019999500000004</v>
      </c>
      <c r="BG93" t="str">
        <f ca="1">IFERROR(IF(0=LEN(ReferenceData!$BG$93),"",ReferenceData!$BG$93),"")</f>
        <v/>
      </c>
      <c r="BH93" t="str">
        <f ca="1">IFERROR(IF(0=LEN(ReferenceData!$BH$93),"",ReferenceData!$BH$93),"")</f>
        <v/>
      </c>
      <c r="BI93" t="str">
        <f ca="1">IFERROR(IF(0=LEN(ReferenceData!$BI$93),"",ReferenceData!$BI$93),"")</f>
        <v/>
      </c>
      <c r="BJ93" t="str">
        <f ca="1">IFERROR(IF(0=LEN(ReferenceData!$BJ$93),"",ReferenceData!$BJ$93),"")</f>
        <v/>
      </c>
      <c r="BK93" t="str">
        <f ca="1">IFERROR(IF(0=LEN(ReferenceData!$BK$93),"",ReferenceData!$BK$93),"")</f>
        <v/>
      </c>
      <c r="BL93" t="str">
        <f ca="1">IFERROR(IF(0=LEN(ReferenceData!$BL$93),"",ReferenceData!$BL$93),"")</f>
        <v/>
      </c>
      <c r="BM93" t="str">
        <f ca="1">IFERROR(IF(0=LEN(ReferenceData!$BM$93),"",ReferenceData!$BM$93),"")</f>
        <v/>
      </c>
    </row>
    <row r="94" spans="1:65">
      <c r="A94" t="str">
        <f>IFERROR(IF(0=LEN(ReferenceData!$A$94),"",ReferenceData!$A$94),"")</f>
        <v xml:space="preserve">    Omega Healthcare Investors Inc</v>
      </c>
      <c r="B94" t="str">
        <f>IFERROR(IF(0=LEN(ReferenceData!$B$94),"",ReferenceData!$B$94),"")</f>
        <v>OHI US Equity</v>
      </c>
      <c r="C94" t="str">
        <f>IFERROR(IF(0=LEN(ReferenceData!$C$94),"",ReferenceData!$C$94),"")</f>
        <v>CF039</v>
      </c>
      <c r="D94" t="str">
        <f>IFERROR(IF(0=LEN(ReferenceData!$D$94),"",ReferenceData!$D$94),"")</f>
        <v>CF_FFO</v>
      </c>
      <c r="E94" t="str">
        <f>IFERROR(IF(0=LEN(ReferenceData!$E$94),"",ReferenceData!$E$94),"")</f>
        <v>动态</v>
      </c>
      <c r="F94" t="str">
        <f ca="1">IFERROR(IF(0=LEN(ReferenceData!$F$94),"",ReferenceData!$F$94),"")</f>
        <v/>
      </c>
      <c r="G94">
        <f ca="1">IFERROR(IF(0=LEN(ReferenceData!$G$94),"",ReferenceData!$G$94),"")</f>
        <v>159.17500000000001</v>
      </c>
      <c r="H94">
        <f ca="1">IFERROR(IF(0=LEN(ReferenceData!$H$94),"",ReferenceData!$H$94),"")</f>
        <v>-46.789000000000001</v>
      </c>
      <c r="I94">
        <f ca="1">IFERROR(IF(0=LEN(ReferenceData!$I$94),"",ReferenceData!$I$94),"")</f>
        <v>150.922</v>
      </c>
      <c r="J94">
        <f ca="1">IFERROR(IF(0=LEN(ReferenceData!$J$94),"",ReferenceData!$J$94),"")</f>
        <v>180.98099999999999</v>
      </c>
      <c r="K94">
        <f ca="1">IFERROR(IF(0=LEN(ReferenceData!$K$94),"",ReferenceData!$K$94),"")</f>
        <v>171.52099999999999</v>
      </c>
      <c r="L94">
        <f ca="1">IFERROR(IF(0=LEN(ReferenceData!$L$94),"",ReferenceData!$L$94),"")</f>
        <v>162.58600000000001</v>
      </c>
      <c r="M94">
        <f ca="1">IFERROR(IF(0=LEN(ReferenceData!$M$94),"",ReferenceData!$M$94),"")</f>
        <v>172.33099999999999</v>
      </c>
      <c r="N94">
        <f ca="1">IFERROR(IF(0=LEN(ReferenceData!$N$94),"",ReferenceData!$N$94),"")</f>
        <v>153.61600000000001</v>
      </c>
      <c r="O94">
        <f ca="1">IFERROR(IF(0=LEN(ReferenceData!$O$94),"",ReferenceData!$O$94),"")</f>
        <v>127.435</v>
      </c>
      <c r="P94">
        <f ca="1">IFERROR(IF(0=LEN(ReferenceData!$P$94),"",ReferenceData!$P$94),"")</f>
        <v>147.53100000000001</v>
      </c>
      <c r="Q94">
        <f ca="1">IFERROR(IF(0=LEN(ReferenceData!$Q$94),"",ReferenceData!$Q$94),"")</f>
        <v>100.736</v>
      </c>
      <c r="R94">
        <f ca="1">IFERROR(IF(0=LEN(ReferenceData!$R$94),"",ReferenceData!$R$94),"")</f>
        <v>79.644000000000005</v>
      </c>
      <c r="S94">
        <f ca="1">IFERROR(IF(0=LEN(ReferenceData!$S$94),"",ReferenceData!$S$94),"")</f>
        <v>87.391000000000005</v>
      </c>
      <c r="T94">
        <f ca="1">IFERROR(IF(0=LEN(ReferenceData!$T$94),"",ReferenceData!$T$94),"")</f>
        <v>93.945999999999998</v>
      </c>
      <c r="U94">
        <f ca="1">IFERROR(IF(0=LEN(ReferenceData!$U$94),"",ReferenceData!$U$94),"")</f>
        <v>79.676000000000002</v>
      </c>
      <c r="V94">
        <f ca="1">IFERROR(IF(0=LEN(ReferenceData!$V$94),"",ReferenceData!$V$94),"")</f>
        <v>84.39</v>
      </c>
      <c r="W94">
        <f ca="1">IFERROR(IF(0=LEN(ReferenceData!$W$94),"",ReferenceData!$W$94),"")</f>
        <v>79.881</v>
      </c>
      <c r="X94">
        <f ca="1">IFERROR(IF(0=LEN(ReferenceData!$X$94),"",ReferenceData!$X$94),"")</f>
        <v>70.338999999999999</v>
      </c>
      <c r="Y94">
        <f ca="1">IFERROR(IF(0=LEN(ReferenceData!$Y$94),"",ReferenceData!$Y$94),"")</f>
        <v>82.433999999999997</v>
      </c>
      <c r="Z94">
        <f ca="1">IFERROR(IF(0=LEN(ReferenceData!$Z$94),"",ReferenceData!$Z$94),"")</f>
        <v>70.078999999999994</v>
      </c>
      <c r="AA94">
        <f ca="1">IFERROR(IF(0=LEN(ReferenceData!$AA$94),"",ReferenceData!$AA$94),"")</f>
        <v>61.429000000000002</v>
      </c>
      <c r="AB94">
        <f ca="1">IFERROR(IF(0=LEN(ReferenceData!$AB$94),"",ReferenceData!$AB$94),"")</f>
        <v>56.734999999999999</v>
      </c>
      <c r="AC94">
        <f ca="1">IFERROR(IF(0=LEN(ReferenceData!$AC$94),"",ReferenceData!$AC$94),"")</f>
        <v>55.802999999999997</v>
      </c>
      <c r="AD94">
        <f ca="1">IFERROR(IF(0=LEN(ReferenceData!$AD$94),"",ReferenceData!$AD$94),"")</f>
        <v>48.186999999999998</v>
      </c>
      <c r="AE94">
        <f ca="1">IFERROR(IF(0=LEN(ReferenceData!$AE$94),"",ReferenceData!$AE$94),"")</f>
        <v>46.287999999999997</v>
      </c>
      <c r="AF94">
        <f ca="1">IFERROR(IF(0=LEN(ReferenceData!$AF$94),"",ReferenceData!$AF$94),"")</f>
        <v>44.503999999999998</v>
      </c>
      <c r="AG94">
        <f ca="1">IFERROR(IF(0=LEN(ReferenceData!$AG$94),"",ReferenceData!$AG$94),"")</f>
        <v>42.564999999999998</v>
      </c>
      <c r="AH94">
        <f ca="1">IFERROR(IF(0=LEN(ReferenceData!$AH$94),"",ReferenceData!$AH$94),"")</f>
        <v>39.113</v>
      </c>
      <c r="AI94">
        <f ca="1">IFERROR(IF(0=LEN(ReferenceData!$AI$94),"",ReferenceData!$AI$94),"")</f>
        <v>28.44</v>
      </c>
      <c r="AJ94">
        <f ca="1">IFERROR(IF(0=LEN(ReferenceData!$AJ$94),"",ReferenceData!$AJ$94),"")</f>
        <v>42.481999999999999</v>
      </c>
      <c r="AK94">
        <f ca="1">IFERROR(IF(0=LEN(ReferenceData!$AK$94),"",ReferenceData!$AK$94),"")</f>
        <v>29.687999999999999</v>
      </c>
      <c r="AL94">
        <f ca="1">IFERROR(IF(0=LEN(ReferenceData!$AL$94),"",ReferenceData!$AL$94),"")</f>
        <v>33.366999999999997</v>
      </c>
      <c r="AM94">
        <f ca="1">IFERROR(IF(0=LEN(ReferenceData!$AM$94),"",ReferenceData!$AM$94),"")</f>
        <v>24.87</v>
      </c>
      <c r="AN94">
        <f ca="1">IFERROR(IF(0=LEN(ReferenceData!$AN$94),"",ReferenceData!$AN$94),"")</f>
        <v>29.96</v>
      </c>
      <c r="AO94">
        <f ca="1">IFERROR(IF(0=LEN(ReferenceData!$AO$94),"",ReferenceData!$AO$94),"")</f>
        <v>28.564</v>
      </c>
      <c r="AP94">
        <f ca="1">IFERROR(IF(0=LEN(ReferenceData!$AP$94),"",ReferenceData!$AP$94),"")</f>
        <v>33.572000000000003</v>
      </c>
      <c r="AQ94">
        <f ca="1">IFERROR(IF(0=LEN(ReferenceData!$AQ$94),"",ReferenceData!$AQ$94),"")</f>
        <v>26.260999999999999</v>
      </c>
      <c r="AR94">
        <f ca="1">IFERROR(IF(0=LEN(ReferenceData!$AR$94),"",ReferenceData!$AR$94),"")</f>
        <v>23.861999999999998</v>
      </c>
      <c r="AS94">
        <f ca="1">IFERROR(IF(0=LEN(ReferenceData!$AS$94),"",ReferenceData!$AS$94),"")</f>
        <v>24.353999999999999</v>
      </c>
      <c r="AT94">
        <f ca="1">IFERROR(IF(0=LEN(ReferenceData!$AT$94),"",ReferenceData!$AT$94),"")</f>
        <v>23.672000000000001</v>
      </c>
      <c r="AU94">
        <f ca="1">IFERROR(IF(0=LEN(ReferenceData!$AU$94),"",ReferenceData!$AU$94),"")</f>
        <v>23.725000000000001</v>
      </c>
      <c r="AV94">
        <f ca="1">IFERROR(IF(0=LEN(ReferenceData!$AV$94),"",ReferenceData!$AV$94),"")</f>
        <v>22.007999999999999</v>
      </c>
      <c r="AW94">
        <f ca="1">IFERROR(IF(0=LEN(ReferenceData!$AW$94),"",ReferenceData!$AW$94),"")</f>
        <v>22.401</v>
      </c>
      <c r="AX94">
        <f ca="1">IFERROR(IF(0=LEN(ReferenceData!$AX$94),"",ReferenceData!$AX$94),"")</f>
        <v>25.38</v>
      </c>
      <c r="AY94">
        <f ca="1">IFERROR(IF(0=LEN(ReferenceData!$AY$94),"",ReferenceData!$AY$94),"")</f>
        <v>19.212</v>
      </c>
      <c r="AZ94">
        <f ca="1">IFERROR(IF(0=LEN(ReferenceData!$AZ$94),"",ReferenceData!$AZ$94),"")</f>
        <v>19.317</v>
      </c>
      <c r="BA94">
        <f ca="1">IFERROR(IF(0=LEN(ReferenceData!$BA$94),"",ReferenceData!$BA$94),"")</f>
        <v>22.684000000000001</v>
      </c>
      <c r="BB94">
        <f ca="1">IFERROR(IF(0=LEN(ReferenceData!$BB$94),"",ReferenceData!$BB$94),"")</f>
        <v>15.468999999999999</v>
      </c>
      <c r="BC94">
        <f ca="1">IFERROR(IF(0=LEN(ReferenceData!$BC$94),"",ReferenceData!$BC$94),"")</f>
        <v>13.775</v>
      </c>
      <c r="BD94">
        <f ca="1">IFERROR(IF(0=LEN(ReferenceData!$BD$94),"",ReferenceData!$BD$94),"")</f>
        <v>8.7680000000000007</v>
      </c>
      <c r="BE94">
        <f ca="1">IFERROR(IF(0=LEN(ReferenceData!$BE$94),"",ReferenceData!$BE$94),"")</f>
        <v>8.0850000000000009</v>
      </c>
      <c r="BF94">
        <f ca="1">IFERROR(IF(0=LEN(ReferenceData!$BF$94),"",ReferenceData!$BF$94),"")</f>
        <v>12.035</v>
      </c>
      <c r="BG94">
        <f ca="1">IFERROR(IF(0=LEN(ReferenceData!$BG$94),"",ReferenceData!$BG$94),"")</f>
        <v>10.647</v>
      </c>
      <c r="BH94">
        <f ca="1">IFERROR(IF(0=LEN(ReferenceData!$BH$94),"",ReferenceData!$BH$94),"")</f>
        <v>5.4000000950000002</v>
      </c>
      <c r="BI94">
        <f ca="1">IFERROR(IF(0=LEN(ReferenceData!$BI$94),"",ReferenceData!$BI$94),"")</f>
        <v>5.0999999049999998</v>
      </c>
      <c r="BJ94" t="str">
        <f ca="1">IFERROR(IF(0=LEN(ReferenceData!$BJ$94),"",ReferenceData!$BJ$94),"")</f>
        <v/>
      </c>
      <c r="BK94">
        <f ca="1">IFERROR(IF(0=LEN(ReferenceData!$BK$94),"",ReferenceData!$BK$94),"")</f>
        <v>11.01</v>
      </c>
      <c r="BL94" t="str">
        <f ca="1">IFERROR(IF(0=LEN(ReferenceData!$BL$94),"",ReferenceData!$BL$94),"")</f>
        <v/>
      </c>
      <c r="BM94">
        <f ca="1">IFERROR(IF(0=LEN(ReferenceData!$BM$94),"",ReferenceData!$BM$94),"")</f>
        <v>8.5</v>
      </c>
    </row>
    <row r="95" spans="1:65">
      <c r="A95" t="str">
        <f>IFERROR(IF(0=LEN(ReferenceData!$A$95),"",ReferenceData!$A$95),"")</f>
        <v xml:space="preserve">    Sabra Health Care REIT Inc</v>
      </c>
      <c r="B95" t="str">
        <f>IFERROR(IF(0=LEN(ReferenceData!$B$95),"",ReferenceData!$B$95),"")</f>
        <v>SBRA US Equity</v>
      </c>
      <c r="C95" t="str">
        <f>IFERROR(IF(0=LEN(ReferenceData!$C$95),"",ReferenceData!$C$95),"")</f>
        <v>CF039</v>
      </c>
      <c r="D95" t="str">
        <f>IFERROR(IF(0=LEN(ReferenceData!$D$95),"",ReferenceData!$D$95),"")</f>
        <v>CF_FFO</v>
      </c>
      <c r="E95" t="str">
        <f>IFERROR(IF(0=LEN(ReferenceData!$E$95),"",ReferenceData!$E$95),"")</f>
        <v>动态</v>
      </c>
      <c r="F95" t="str">
        <f ca="1">IFERROR(IF(0=LEN(ReferenceData!$F$95),"",ReferenceData!$F$95),"")</f>
        <v/>
      </c>
      <c r="G95">
        <f ca="1">IFERROR(IF(0=LEN(ReferenceData!$G$95),"",ReferenceData!$G$95),"")</f>
        <v>106.843</v>
      </c>
      <c r="H95">
        <f ca="1">IFERROR(IF(0=LEN(ReferenceData!$H$95),"",ReferenceData!$H$95),"")</f>
        <v>37.884999999999998</v>
      </c>
      <c r="I95">
        <f ca="1">IFERROR(IF(0=LEN(ReferenceData!$I$95),"",ReferenceData!$I$95),"")</f>
        <v>31.148</v>
      </c>
      <c r="J95">
        <f ca="1">IFERROR(IF(0=LEN(ReferenceData!$J$95),"",ReferenceData!$J$95),"")</f>
        <v>35.399000000000001</v>
      </c>
      <c r="K95">
        <f ca="1">IFERROR(IF(0=LEN(ReferenceData!$K$95),"",ReferenceData!$K$95),"")</f>
        <v>40.732999999999997</v>
      </c>
      <c r="L95">
        <f ca="1">IFERROR(IF(0=LEN(ReferenceData!$L$95),"",ReferenceData!$L$95),"")</f>
        <v>38.427</v>
      </c>
      <c r="M95">
        <f ca="1">IFERROR(IF(0=LEN(ReferenceData!$M$95),"",ReferenceData!$M$95),"")</f>
        <v>51.372</v>
      </c>
      <c r="N95">
        <f ca="1">IFERROR(IF(0=LEN(ReferenceData!$N$95),"",ReferenceData!$N$95),"")</f>
        <v>33.906999999999996</v>
      </c>
      <c r="O95">
        <f ca="1">IFERROR(IF(0=LEN(ReferenceData!$O$95),"",ReferenceData!$O$95),"")</f>
        <v>38.679000000000002</v>
      </c>
      <c r="P95">
        <f ca="1">IFERROR(IF(0=LEN(ReferenceData!$P$95),"",ReferenceData!$P$95),"")</f>
        <v>35.643999999999998</v>
      </c>
      <c r="Q95">
        <f ca="1">IFERROR(IF(0=LEN(ReferenceData!$Q$95),"",ReferenceData!$Q$95),"")</f>
        <v>27.048999999999999</v>
      </c>
      <c r="R95">
        <f ca="1">IFERROR(IF(0=LEN(ReferenceData!$R$95),"",ReferenceData!$R$95),"")</f>
        <v>31.039000000000001</v>
      </c>
      <c r="S95">
        <f ca="1">IFERROR(IF(0=LEN(ReferenceData!$S$95),"",ReferenceData!$S$95),"")</f>
        <v>30.241</v>
      </c>
      <c r="T95">
        <f ca="1">IFERROR(IF(0=LEN(ReferenceData!$T$95),"",ReferenceData!$T$95),"")</f>
        <v>24.405000000000001</v>
      </c>
      <c r="U95">
        <f ca="1">IFERROR(IF(0=LEN(ReferenceData!$U$95),"",ReferenceData!$U$95),"")</f>
        <v>21.995999999999999</v>
      </c>
      <c r="V95">
        <f ca="1">IFERROR(IF(0=LEN(ReferenceData!$V$95),"",ReferenceData!$V$95),"")</f>
        <v>-0.51400000000000001</v>
      </c>
      <c r="W95">
        <f ca="1">IFERROR(IF(0=LEN(ReferenceData!$W$95),"",ReferenceData!$W$95),"")</f>
        <v>18.994</v>
      </c>
      <c r="X95">
        <f ca="1">IFERROR(IF(0=LEN(ReferenceData!$X$95),"",ReferenceData!$X$95),"")</f>
        <v>17.5</v>
      </c>
      <c r="Y95">
        <f ca="1">IFERROR(IF(0=LEN(ReferenceData!$Y$95),"",ReferenceData!$Y$95),"")</f>
        <v>5.0369999999999999</v>
      </c>
      <c r="Z95">
        <f ca="1">IFERROR(IF(0=LEN(ReferenceData!$Z$95),"",ReferenceData!$Z$95),"")</f>
        <v>17.498999999999999</v>
      </c>
      <c r="AA95">
        <f ca="1">IFERROR(IF(0=LEN(ReferenceData!$AA$95),"",ReferenceData!$AA$95),"")</f>
        <v>14.347</v>
      </c>
      <c r="AB95">
        <f ca="1">IFERROR(IF(0=LEN(ReferenceData!$AB$95),"",ReferenceData!$AB$95),"")</f>
        <v>12.722</v>
      </c>
      <c r="AC95">
        <f ca="1">IFERROR(IF(0=LEN(ReferenceData!$AC$95),"",ReferenceData!$AC$95),"")</f>
        <v>13.48</v>
      </c>
      <c r="AD95">
        <f ca="1">IFERROR(IF(0=LEN(ReferenceData!$AD$95),"",ReferenceData!$AD$95),"")</f>
        <v>11.708</v>
      </c>
      <c r="AE95">
        <f ca="1">IFERROR(IF(0=LEN(ReferenceData!$AE$95),"",ReferenceData!$AE$95),"")</f>
        <v>14.528</v>
      </c>
      <c r="AF95">
        <f ca="1">IFERROR(IF(0=LEN(ReferenceData!$AF$95),"",ReferenceData!$AF$95),"")</f>
        <v>9.1940000000000008</v>
      </c>
      <c r="AG95">
        <f ca="1">IFERROR(IF(0=LEN(ReferenceData!$AG$95),"",ReferenceData!$AG$95),"")</f>
        <v>8.3770000000000007</v>
      </c>
      <c r="AH95">
        <f ca="1">IFERROR(IF(0=LEN(ReferenceData!$AH$95),"",ReferenceData!$AH$95),"")</f>
        <v>7.3339999999999996</v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 t="str">
        <f ca="1">IFERROR(IF(0=LEN(ReferenceData!$AL$95),"",ReferenceData!$AL$95),"")</f>
        <v/>
      </c>
      <c r="AM95" t="str">
        <f ca="1">IFERROR(IF(0=LEN(ReferenceData!$AM$95),"",ReferenceData!$AM$95),"")</f>
        <v/>
      </c>
      <c r="AN95" t="str">
        <f ca="1">IFERROR(IF(0=LEN(ReferenceData!$AN$95),"",ReferenceData!$AN$95),"")</f>
        <v/>
      </c>
      <c r="AO95" t="str">
        <f ca="1">IFERROR(IF(0=LEN(ReferenceData!$AO$95),"",ReferenceData!$AO$95),"")</f>
        <v/>
      </c>
      <c r="AP95" t="str">
        <f ca="1">IFERROR(IF(0=LEN(ReferenceData!$AP$95),"",ReferenceData!$AP$95),"")</f>
        <v/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  <c r="AT95" t="str">
        <f ca="1">IFERROR(IF(0=LEN(ReferenceData!$AT$95),"",ReferenceData!$AT$95),"")</f>
        <v/>
      </c>
      <c r="AU95" t="str">
        <f ca="1">IFERROR(IF(0=LEN(ReferenceData!$AU$95),"",ReferenceData!$AU$95),"")</f>
        <v/>
      </c>
      <c r="AV95" t="str">
        <f ca="1">IFERROR(IF(0=LEN(ReferenceData!$AV$95),"",ReferenceData!$AV$95),"")</f>
        <v/>
      </c>
      <c r="AW95" t="str">
        <f ca="1">IFERROR(IF(0=LEN(ReferenceData!$AW$95),"",ReferenceData!$AW$95),"")</f>
        <v/>
      </c>
      <c r="AX95" t="str">
        <f ca="1">IFERROR(IF(0=LEN(ReferenceData!$AX$95),"",ReferenceData!$AX$95),"")</f>
        <v/>
      </c>
      <c r="AY95" t="str">
        <f ca="1">IFERROR(IF(0=LEN(ReferenceData!$AY$95),"",ReferenceData!$AY$95),"")</f>
        <v/>
      </c>
      <c r="AZ95" t="str">
        <f ca="1">IFERROR(IF(0=LEN(ReferenceData!$AZ$95),"",ReferenceData!$AZ$95),"")</f>
        <v/>
      </c>
      <c r="BA95" t="str">
        <f ca="1">IFERROR(IF(0=LEN(ReferenceData!$BA$95),"",ReferenceData!$BA$95),"")</f>
        <v/>
      </c>
      <c r="BB95" t="str">
        <f ca="1">IFERROR(IF(0=LEN(ReferenceData!$BB$95),"",ReferenceData!$BB$95),"")</f>
        <v/>
      </c>
      <c r="BC95" t="str">
        <f ca="1">IFERROR(IF(0=LEN(ReferenceData!$BC$95),"",ReferenceData!$BC$95),"")</f>
        <v/>
      </c>
      <c r="BD95" t="str">
        <f ca="1">IFERROR(IF(0=LEN(ReferenceData!$BD$95),"",ReferenceData!$BD$95),"")</f>
        <v/>
      </c>
      <c r="BE95" t="str">
        <f ca="1">IFERROR(IF(0=LEN(ReferenceData!$BE$95),"",ReferenceData!$BE$95),"")</f>
        <v/>
      </c>
      <c r="BF95" t="str">
        <f ca="1">IFERROR(IF(0=LEN(ReferenceData!$BF$95),"",ReferenceData!$BF$95),"")</f>
        <v/>
      </c>
      <c r="BG95" t="str">
        <f ca="1">IFERROR(IF(0=LEN(ReferenceData!$BG$95),"",ReferenceData!$BG$95),"")</f>
        <v/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 t="str">
        <f ca="1">IFERROR(IF(0=LEN(ReferenceData!$BJ$95),"",ReferenceData!$BJ$95),"")</f>
        <v/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>
      <c r="A96" t="str">
        <f>IFERROR(IF(0=LEN(ReferenceData!$A$96),"",ReferenceData!$A$96),"")</f>
        <v xml:space="preserve">    Senior Housing Properties Trus</v>
      </c>
      <c r="B96" t="str">
        <f>IFERROR(IF(0=LEN(ReferenceData!$B$96),"",ReferenceData!$B$96),"")</f>
        <v>SNH US Equity</v>
      </c>
      <c r="C96" t="str">
        <f>IFERROR(IF(0=LEN(ReferenceData!$C$96),"",ReferenceData!$C$96),"")</f>
        <v>CF039</v>
      </c>
      <c r="D96" t="str">
        <f>IFERROR(IF(0=LEN(ReferenceData!$D$96),"",ReferenceData!$D$96),"")</f>
        <v>CF_FFO</v>
      </c>
      <c r="E96" t="str">
        <f>IFERROR(IF(0=LEN(ReferenceData!$E$96),"",ReferenceData!$E$96),"")</f>
        <v>动态</v>
      </c>
      <c r="F96" t="str">
        <f ca="1">IFERROR(IF(0=LEN(ReferenceData!$F$96),"",ReferenceData!$F$96),"")</f>
        <v/>
      </c>
      <c r="G96">
        <f ca="1">IFERROR(IF(0=LEN(ReferenceData!$G$96),"",ReferenceData!$G$96),"")</f>
        <v>81.039000000000001</v>
      </c>
      <c r="H96">
        <f ca="1">IFERROR(IF(0=LEN(ReferenceData!$H$96),"",ReferenceData!$H$96),"")</f>
        <v>95.727999999999994</v>
      </c>
      <c r="I96">
        <f ca="1">IFERROR(IF(0=LEN(ReferenceData!$I$96),"",ReferenceData!$I$96),"")</f>
        <v>85.488</v>
      </c>
      <c r="J96">
        <f ca="1">IFERROR(IF(0=LEN(ReferenceData!$J$96),"",ReferenceData!$J$96),"")</f>
        <v>104.874</v>
      </c>
      <c r="K96">
        <f ca="1">IFERROR(IF(0=LEN(ReferenceData!$K$96),"",ReferenceData!$K$96),"")</f>
        <v>117.523</v>
      </c>
      <c r="L96">
        <f ca="1">IFERROR(IF(0=LEN(ReferenceData!$L$96),"",ReferenceData!$L$96),"")</f>
        <v>104.82599999999999</v>
      </c>
      <c r="M96">
        <f ca="1">IFERROR(IF(0=LEN(ReferenceData!$M$96),"",ReferenceData!$M$96),"")</f>
        <v>111.505</v>
      </c>
      <c r="N96">
        <f ca="1">IFERROR(IF(0=LEN(ReferenceData!$N$96),"",ReferenceData!$N$96),"")</f>
        <v>109.88500000000001</v>
      </c>
      <c r="O96">
        <f ca="1">IFERROR(IF(0=LEN(ReferenceData!$O$96),"",ReferenceData!$O$96),"")</f>
        <v>81.385000000000005</v>
      </c>
      <c r="P96">
        <f ca="1">IFERROR(IF(0=LEN(ReferenceData!$P$96),"",ReferenceData!$P$96),"")</f>
        <v>108.167</v>
      </c>
      <c r="Q96">
        <f ca="1">IFERROR(IF(0=LEN(ReferenceData!$Q$96),"",ReferenceData!$Q$96),"")</f>
        <v>99.5</v>
      </c>
      <c r="R96">
        <f ca="1">IFERROR(IF(0=LEN(ReferenceData!$R$96),"",ReferenceData!$R$96),"")</f>
        <v>93.495999999999995</v>
      </c>
      <c r="S96">
        <f ca="1">IFERROR(IF(0=LEN(ReferenceData!$S$96),"",ReferenceData!$S$96),"")</f>
        <v>96.894999999999996</v>
      </c>
      <c r="T96">
        <f ca="1">IFERROR(IF(0=LEN(ReferenceData!$T$96),"",ReferenceData!$T$96),"")</f>
        <v>86.968000000000004</v>
      </c>
      <c r="U96">
        <f ca="1">IFERROR(IF(0=LEN(ReferenceData!$U$96),"",ReferenceData!$U$96),"")</f>
        <v>81.578999999999994</v>
      </c>
      <c r="V96">
        <f ca="1">IFERROR(IF(0=LEN(ReferenceData!$V$96),"",ReferenceData!$V$96),"")</f>
        <v>77.5</v>
      </c>
      <c r="W96">
        <f ca="1">IFERROR(IF(0=LEN(ReferenceData!$W$96),"",ReferenceData!$W$96),"")</f>
        <v>86.537000000000006</v>
      </c>
      <c r="X96">
        <f ca="1">IFERROR(IF(0=LEN(ReferenceData!$X$96),"",ReferenceData!$X$96),"")</f>
        <v>75.456999999999994</v>
      </c>
      <c r="Y96">
        <f ca="1">IFERROR(IF(0=LEN(ReferenceData!$Y$96),"",ReferenceData!$Y$96),"")</f>
        <v>76.36</v>
      </c>
      <c r="Z96">
        <f ca="1">IFERROR(IF(0=LEN(ReferenceData!$Z$96),"",ReferenceData!$Z$96),"")</f>
        <v>74.840999999999994</v>
      </c>
      <c r="AA96">
        <f ca="1">IFERROR(IF(0=LEN(ReferenceData!$AA$96),"",ReferenceData!$AA$96),"")</f>
        <v>81.605000000000004</v>
      </c>
      <c r="AB96">
        <f ca="1">IFERROR(IF(0=LEN(ReferenceData!$AB$96),"",ReferenceData!$AB$96),"")</f>
        <v>61.627000000000002</v>
      </c>
      <c r="AC96">
        <f ca="1">IFERROR(IF(0=LEN(ReferenceData!$AC$96),"",ReferenceData!$AC$96),"")</f>
        <v>68.480999999999995</v>
      </c>
      <c r="AD96">
        <f ca="1">IFERROR(IF(0=LEN(ReferenceData!$AD$96),"",ReferenceData!$AD$96),"")</f>
        <v>68.8</v>
      </c>
      <c r="AE96">
        <f ca="1">IFERROR(IF(0=LEN(ReferenceData!$AE$96),"",ReferenceData!$AE$96),"")</f>
        <v>70.540000000000006</v>
      </c>
      <c r="AF96">
        <f ca="1">IFERROR(IF(0=LEN(ReferenceData!$AF$96),"",ReferenceData!$AF$96),"")</f>
        <v>59.847999999999999</v>
      </c>
      <c r="AG96">
        <f ca="1">IFERROR(IF(0=LEN(ReferenceData!$AG$96),"",ReferenceData!$AG$96),"")</f>
        <v>56.667999999999999</v>
      </c>
      <c r="AH96">
        <f ca="1">IFERROR(IF(0=LEN(ReferenceData!$AH$96),"",ReferenceData!$AH$96),"")</f>
        <v>58.302</v>
      </c>
      <c r="AI96">
        <f ca="1">IFERROR(IF(0=LEN(ReferenceData!$AI$96),"",ReferenceData!$AI$96),"")</f>
        <v>62.003999999999998</v>
      </c>
      <c r="AJ96">
        <f ca="1">IFERROR(IF(0=LEN(ReferenceData!$AJ$96),"",ReferenceData!$AJ$96),"")</f>
        <v>53.46</v>
      </c>
      <c r="AK96">
        <f ca="1">IFERROR(IF(0=LEN(ReferenceData!$AK$96),"",ReferenceData!$AK$96),"")</f>
        <v>53.335999999999999</v>
      </c>
      <c r="AL96">
        <f ca="1">IFERROR(IF(0=LEN(ReferenceData!$AL$96),"",ReferenceData!$AL$96),"")</f>
        <v>54.808</v>
      </c>
      <c r="AM96">
        <f ca="1">IFERROR(IF(0=LEN(ReferenceData!$AM$96),"",ReferenceData!$AM$96),"")</f>
        <v>52.375999999999998</v>
      </c>
      <c r="AN96">
        <f ca="1">IFERROR(IF(0=LEN(ReferenceData!$AN$96),"",ReferenceData!$AN$96),"")</f>
        <v>49.42</v>
      </c>
      <c r="AO96">
        <f ca="1">IFERROR(IF(0=LEN(ReferenceData!$AO$96),"",ReferenceData!$AO$96),"")</f>
        <v>52.828000000000003</v>
      </c>
      <c r="AP96">
        <f ca="1">IFERROR(IF(0=LEN(ReferenceData!$AP$96),"",ReferenceData!$AP$96),"")</f>
        <v>52.134</v>
      </c>
      <c r="AQ96">
        <f ca="1">IFERROR(IF(0=LEN(ReferenceData!$AQ$96),"",ReferenceData!$AQ$96),"")</f>
        <v>48.853000000000002</v>
      </c>
      <c r="AR96">
        <f ca="1">IFERROR(IF(0=LEN(ReferenceData!$AR$96),"",ReferenceData!$AR$96),"")</f>
        <v>47.04</v>
      </c>
      <c r="AS96">
        <f ca="1">IFERROR(IF(0=LEN(ReferenceData!$AS$96),"",ReferenceData!$AS$96),"")</f>
        <v>41.247</v>
      </c>
      <c r="AT96">
        <f ca="1">IFERROR(IF(0=LEN(ReferenceData!$AT$96),"",ReferenceData!$AT$96),"")</f>
        <v>38.289000000000001</v>
      </c>
      <c r="AU96">
        <f ca="1">IFERROR(IF(0=LEN(ReferenceData!$AU$96),"",ReferenceData!$AU$96),"")</f>
        <v>35.222000000000001</v>
      </c>
      <c r="AV96">
        <f ca="1">IFERROR(IF(0=LEN(ReferenceData!$AV$96),"",ReferenceData!$AV$96),"")</f>
        <v>34.134</v>
      </c>
      <c r="AW96">
        <f ca="1">IFERROR(IF(0=LEN(ReferenceData!$AW$96),"",ReferenceData!$AW$96),"")</f>
        <v>34.014000000000003</v>
      </c>
      <c r="AX96">
        <f ca="1">IFERROR(IF(0=LEN(ReferenceData!$AX$96),"",ReferenceData!$AX$96),"")</f>
        <v>30.992999999999999</v>
      </c>
      <c r="AY96">
        <f ca="1">IFERROR(IF(0=LEN(ReferenceData!$AY$96),"",ReferenceData!$AY$96),"")</f>
        <v>34.984999999999999</v>
      </c>
      <c r="AZ96">
        <f ca="1">IFERROR(IF(0=LEN(ReferenceData!$AZ$96),"",ReferenceData!$AZ$96),"")</f>
        <v>27.673999999999999</v>
      </c>
      <c r="BA96">
        <f ca="1">IFERROR(IF(0=LEN(ReferenceData!$BA$96),"",ReferenceData!$BA$96),"")</f>
        <v>27.824999999999999</v>
      </c>
      <c r="BB96">
        <f ca="1">IFERROR(IF(0=LEN(ReferenceData!$BB$96),"",ReferenceData!$BB$96),"")</f>
        <v>23.523</v>
      </c>
      <c r="BC96">
        <f ca="1">IFERROR(IF(0=LEN(ReferenceData!$BC$96),"",ReferenceData!$BC$96),"")</f>
        <v>26.305</v>
      </c>
      <c r="BD96">
        <f ca="1">IFERROR(IF(0=LEN(ReferenceData!$BD$96),"",ReferenceData!$BD$96),"")</f>
        <v>35.86000061</v>
      </c>
      <c r="BE96">
        <f ca="1">IFERROR(IF(0=LEN(ReferenceData!$BE$96),"",ReferenceData!$BE$96),"")</f>
        <v>25.850000380000001</v>
      </c>
      <c r="BF96">
        <f ca="1">IFERROR(IF(0=LEN(ReferenceData!$BF$96),"",ReferenceData!$BF$96),"")</f>
        <v>25.426000599999998</v>
      </c>
      <c r="BG96">
        <f ca="1">IFERROR(IF(0=LEN(ReferenceData!$BG$96),"",ReferenceData!$BG$96),"")</f>
        <v>24.39</v>
      </c>
      <c r="BH96">
        <f ca="1">IFERROR(IF(0=LEN(ReferenceData!$BH$96),"",ReferenceData!$BH$96),"")</f>
        <v>23.437000269999999</v>
      </c>
      <c r="BI96">
        <f ca="1">IFERROR(IF(0=LEN(ReferenceData!$BI$96),"",ReferenceData!$BI$96),"")</f>
        <v>23.302999499999999</v>
      </c>
      <c r="BJ96">
        <f ca="1">IFERROR(IF(0=LEN(ReferenceData!$BJ$96),"",ReferenceData!$BJ$96),"")</f>
        <v>23.694000240000001</v>
      </c>
      <c r="BK96">
        <f ca="1">IFERROR(IF(0=LEN(ReferenceData!$BK$96),"",ReferenceData!$BK$96),"")</f>
        <v>20.520000459999999</v>
      </c>
      <c r="BL96" t="str">
        <f ca="1">IFERROR(IF(0=LEN(ReferenceData!$BL$96),"",ReferenceData!$BL$96),"")</f>
        <v/>
      </c>
      <c r="BM96" t="str">
        <f ca="1">IFERROR(IF(0=LEN(ReferenceData!$BM$96),"",ReferenceData!$BM$96),"")</f>
        <v/>
      </c>
    </row>
    <row r="97" spans="1:65">
      <c r="A97" t="str">
        <f>IFERROR(IF(0=LEN(ReferenceData!$A$97),"",ReferenceData!$A$97),"")</f>
        <v xml:space="preserve">    Ventas Inc</v>
      </c>
      <c r="B97" t="str">
        <f>IFERROR(IF(0=LEN(ReferenceData!$B$97),"",ReferenceData!$B$97),"")</f>
        <v>VTR US Equity</v>
      </c>
      <c r="C97" t="str">
        <f>IFERROR(IF(0=LEN(ReferenceData!$C$97),"",ReferenceData!$C$97),"")</f>
        <v>CF039</v>
      </c>
      <c r="D97" t="str">
        <f>IFERROR(IF(0=LEN(ReferenceData!$D$97),"",ReferenceData!$D$97),"")</f>
        <v>CF_FFO</v>
      </c>
      <c r="E97" t="str">
        <f>IFERROR(IF(0=LEN(ReferenceData!$E$97),"",ReferenceData!$E$97),"")</f>
        <v>动态</v>
      </c>
      <c r="F97" t="str">
        <f ca="1">IFERROR(IF(0=LEN(ReferenceData!$F$97),"",ReferenceData!$F$97),"")</f>
        <v/>
      </c>
      <c r="G97">
        <f ca="1">IFERROR(IF(0=LEN(ReferenceData!$G$97),"",ReferenceData!$G$97),"")</f>
        <v>407.44200000000001</v>
      </c>
      <c r="H97">
        <f ca="1">IFERROR(IF(0=LEN(ReferenceData!$H$97),"",ReferenceData!$H$97),"")</f>
        <v>365.43799999999999</v>
      </c>
      <c r="I97">
        <f ca="1">IFERROR(IF(0=LEN(ReferenceData!$I$97),"",ReferenceData!$I$97),"")</f>
        <v>373.01799999999997</v>
      </c>
      <c r="J97">
        <f ca="1">IFERROR(IF(0=LEN(ReferenceData!$J$97),"",ReferenceData!$J$97),"")</f>
        <v>366.98700000000002</v>
      </c>
      <c r="K97">
        <f ca="1">IFERROR(IF(0=LEN(ReferenceData!$K$97),"",ReferenceData!$K$97),"")</f>
        <v>371.02300000000002</v>
      </c>
      <c r="L97">
        <f ca="1">IFERROR(IF(0=LEN(ReferenceData!$L$97),"",ReferenceData!$L$97),"")</f>
        <v>355.404</v>
      </c>
      <c r="M97">
        <f ca="1">IFERROR(IF(0=LEN(ReferenceData!$M$97),"",ReferenceData!$M$97),"")</f>
        <v>357.21699999999998</v>
      </c>
      <c r="N97">
        <f ca="1">IFERROR(IF(0=LEN(ReferenceData!$N$97),"",ReferenceData!$N$97),"")</f>
        <v>356.9</v>
      </c>
      <c r="O97">
        <f ca="1">IFERROR(IF(0=LEN(ReferenceData!$O$97),"",ReferenceData!$O$97),"")</f>
        <v>356.91800000000001</v>
      </c>
      <c r="P97">
        <f ca="1">IFERROR(IF(0=LEN(ReferenceData!$P$97),"",ReferenceData!$P$97),"")</f>
        <v>260.68200000000002</v>
      </c>
      <c r="Q97">
        <f ca="1">IFERROR(IF(0=LEN(ReferenceData!$Q$97),"",ReferenceData!$Q$97),"")</f>
        <v>388.97899999999998</v>
      </c>
      <c r="R97">
        <f ca="1">IFERROR(IF(0=LEN(ReferenceData!$R$97),"",ReferenceData!$R$97),"")</f>
        <v>358.82900000000001</v>
      </c>
      <c r="S97">
        <f ca="1">IFERROR(IF(0=LEN(ReferenceData!$S$97),"",ReferenceData!$S$97),"")</f>
        <v>343.988</v>
      </c>
      <c r="T97">
        <f ca="1">IFERROR(IF(0=LEN(ReferenceData!$T$97),"",ReferenceData!$T$97),"")</f>
        <v>304.14499999999998</v>
      </c>
      <c r="U97">
        <f ca="1">IFERROR(IF(0=LEN(ReferenceData!$U$97),"",ReferenceData!$U$97),"")</f>
        <v>315.76400000000001</v>
      </c>
      <c r="V97">
        <f ca="1">IFERROR(IF(0=LEN(ReferenceData!$V$97),"",ReferenceData!$V$97),"")</f>
        <v>309.78300000000002</v>
      </c>
      <c r="W97">
        <f ca="1">IFERROR(IF(0=LEN(ReferenceData!$W$97),"",ReferenceData!$W$97),"")</f>
        <v>305.065</v>
      </c>
      <c r="X97">
        <f ca="1">IFERROR(IF(0=LEN(ReferenceData!$X$97),"",ReferenceData!$X$97),"")</f>
        <v>303.66800000000001</v>
      </c>
      <c r="Y97">
        <f ca="1">IFERROR(IF(0=LEN(ReferenceData!$Y$97),"",ReferenceData!$Y$97),"")</f>
        <v>304.44099999999997</v>
      </c>
      <c r="Z97">
        <f ca="1">IFERROR(IF(0=LEN(ReferenceData!$Z$97),"",ReferenceData!$Z$97),"")</f>
        <v>295.28399999999999</v>
      </c>
      <c r="AA97">
        <f ca="1">IFERROR(IF(0=LEN(ReferenceData!$AA$97),"",ReferenceData!$AA$97),"")</f>
        <v>284.017</v>
      </c>
      <c r="AB97">
        <f ca="1">IFERROR(IF(0=LEN(ReferenceData!$AB$97),"",ReferenceData!$AB$97),"")</f>
        <v>289.72899999999998</v>
      </c>
      <c r="AC97">
        <f ca="1">IFERROR(IF(0=LEN(ReferenceData!$AC$97),"",ReferenceData!$AC$97),"")</f>
        <v>236.03</v>
      </c>
      <c r="AD97">
        <f ca="1">IFERROR(IF(0=LEN(ReferenceData!$AD$97),"",ReferenceData!$AD$97),"")</f>
        <v>214.791</v>
      </c>
      <c r="AE97">
        <f ca="1">IFERROR(IF(0=LEN(ReferenceData!$AE$97),"",ReferenceData!$AE$97),"")</f>
        <v>359.072</v>
      </c>
      <c r="AF97">
        <f ca="1">IFERROR(IF(0=LEN(ReferenceData!$AF$97),"",ReferenceData!$AF$97),"")</f>
        <v>264.22199999999998</v>
      </c>
      <c r="AG97">
        <f ca="1">IFERROR(IF(0=LEN(ReferenceData!$AG$97),"",ReferenceData!$AG$97),"")</f>
        <v>100.569</v>
      </c>
      <c r="AH97">
        <f ca="1">IFERROR(IF(0=LEN(ReferenceData!$AH$97),"",ReferenceData!$AH$97),"")</f>
        <v>100.988</v>
      </c>
      <c r="AI97">
        <f ca="1">IFERROR(IF(0=LEN(ReferenceData!$AI$97),"",ReferenceData!$AI$97),"")</f>
        <v>108.288</v>
      </c>
      <c r="AJ97">
        <f ca="1">IFERROR(IF(0=LEN(ReferenceData!$AJ$97),"",ReferenceData!$AJ$97),"")</f>
        <v>108.923</v>
      </c>
      <c r="AK97">
        <f ca="1">IFERROR(IF(0=LEN(ReferenceData!$AK$97),"",ReferenceData!$AK$97),"")</f>
        <v>101.27800000000001</v>
      </c>
      <c r="AL97">
        <f ca="1">IFERROR(IF(0=LEN(ReferenceData!$AL$97),"",ReferenceData!$AL$97),"")</f>
        <v>103.017</v>
      </c>
      <c r="AM97">
        <f ca="1">IFERROR(IF(0=LEN(ReferenceData!$AM$97),"",ReferenceData!$AM$97),"")</f>
        <v>104.042</v>
      </c>
      <c r="AN97">
        <f ca="1">IFERROR(IF(0=LEN(ReferenceData!$AN$97),"",ReferenceData!$AN$97),"")</f>
        <v>98.289000000000001</v>
      </c>
      <c r="AO97">
        <f ca="1">IFERROR(IF(0=LEN(ReferenceData!$AO$97),"",ReferenceData!$AO$97),"")</f>
        <v>96.602999999999994</v>
      </c>
      <c r="AP97">
        <f ca="1">IFERROR(IF(0=LEN(ReferenceData!$AP$97),"",ReferenceData!$AP$97),"")</f>
        <v>94.474999999999994</v>
      </c>
      <c r="AQ97">
        <f ca="1">IFERROR(IF(0=LEN(ReferenceData!$AQ$97),"",ReferenceData!$AQ$97),"")</f>
        <v>97.591999999999999</v>
      </c>
      <c r="AR97">
        <f ca="1">IFERROR(IF(0=LEN(ReferenceData!$AR$97),"",ReferenceData!$AR$97),"")</f>
        <v>112.959</v>
      </c>
      <c r="AS97">
        <f ca="1">IFERROR(IF(0=LEN(ReferenceData!$AS$97),"",ReferenceData!$AS$97),"")</f>
        <v>100.497</v>
      </c>
      <c r="AT97">
        <f ca="1">IFERROR(IF(0=LEN(ReferenceData!$AT$97),"",ReferenceData!$AT$97),"")</f>
        <v>101.309</v>
      </c>
      <c r="AU97">
        <f ca="1">IFERROR(IF(0=LEN(ReferenceData!$AU$97),"",ReferenceData!$AU$97),"")</f>
        <v>100.377</v>
      </c>
      <c r="AV97">
        <f ca="1">IFERROR(IF(0=LEN(ReferenceData!$AV$97),"",ReferenceData!$AV$97),"")</f>
        <v>97.143000000000001</v>
      </c>
      <c r="AW97">
        <f ca="1">IFERROR(IF(0=LEN(ReferenceData!$AW$97),"",ReferenceData!$AW$97),"")</f>
        <v>107.411</v>
      </c>
      <c r="AX97">
        <f ca="1">IFERROR(IF(0=LEN(ReferenceData!$AX$97),"",ReferenceData!$AX$97),"")</f>
        <v>77.924000000000007</v>
      </c>
      <c r="AY97">
        <f ca="1">IFERROR(IF(0=LEN(ReferenceData!$AY$97),"",ReferenceData!$AY$97),"")</f>
        <v>66.989000000000004</v>
      </c>
      <c r="AZ97">
        <f ca="1">IFERROR(IF(0=LEN(ReferenceData!$AZ$97),"",ReferenceData!$AZ$97),"")</f>
        <v>61.396999999999998</v>
      </c>
      <c r="BA97">
        <f ca="1">IFERROR(IF(0=LEN(ReferenceData!$BA$97),"",ReferenceData!$BA$97),"")</f>
        <v>58.226999999999997</v>
      </c>
      <c r="BB97">
        <f ca="1">IFERROR(IF(0=LEN(ReferenceData!$BB$97),"",ReferenceData!$BB$97),"")</f>
        <v>57.463000000000001</v>
      </c>
      <c r="BC97">
        <f ca="1">IFERROR(IF(0=LEN(ReferenceData!$BC$97),"",ReferenceData!$BC$97),"")</f>
        <v>70.679000000000002</v>
      </c>
      <c r="BD97">
        <f ca="1">IFERROR(IF(0=LEN(ReferenceData!$BD$97),"",ReferenceData!$BD$97),"")</f>
        <v>56.343000000000004</v>
      </c>
      <c r="BE97">
        <f ca="1">IFERROR(IF(0=LEN(ReferenceData!$BE$97),"",ReferenceData!$BE$97),"")</f>
        <v>45.433</v>
      </c>
      <c r="BF97">
        <f ca="1">IFERROR(IF(0=LEN(ReferenceData!$BF$97),"",ReferenceData!$BF$97),"")</f>
        <v>40.747999999999998</v>
      </c>
      <c r="BG97">
        <f ca="1">IFERROR(IF(0=LEN(ReferenceData!$BG$97),"",ReferenceData!$BG$97),"")</f>
        <v>40.128</v>
      </c>
      <c r="BH97">
        <f ca="1">IFERROR(IF(0=LEN(ReferenceData!$BH$97),"",ReferenceData!$BH$97),"")</f>
        <v>38.450000000000003</v>
      </c>
      <c r="BI97">
        <f ca="1">IFERROR(IF(0=LEN(ReferenceData!$BI$97),"",ReferenceData!$BI$97),"")</f>
        <v>37.695999999999998</v>
      </c>
      <c r="BJ97">
        <f ca="1">IFERROR(IF(0=LEN(ReferenceData!$BJ$97),"",ReferenceData!$BJ$97),"")</f>
        <v>34.048000000000002</v>
      </c>
      <c r="BK97">
        <f ca="1">IFERROR(IF(0=LEN(ReferenceData!$BK$97),"",ReferenceData!$BK$97),"")</f>
        <v>32.262001040000001</v>
      </c>
      <c r="BL97">
        <f ca="1">IFERROR(IF(0=LEN(ReferenceData!$BL$97),"",ReferenceData!$BL$97),"")</f>
        <v>40.311000819999997</v>
      </c>
      <c r="BM97">
        <f ca="1">IFERROR(IF(0=LEN(ReferenceData!$BM$97),"",ReferenceData!$BM$97),"")</f>
        <v>32.118000000000002</v>
      </c>
    </row>
    <row r="98" spans="1:65">
      <c r="A98" t="str">
        <f>IFERROR(IF(0=LEN(ReferenceData!$A$98),"",ReferenceData!$A$98),"")</f>
        <v xml:space="preserve">    Welltower Inc</v>
      </c>
      <c r="B98" t="str">
        <f>IFERROR(IF(0=LEN(ReferenceData!$B$98),"",ReferenceData!$B$98),"")</f>
        <v>HCN US Equity</v>
      </c>
      <c r="C98" t="str">
        <f>IFERROR(IF(0=LEN(ReferenceData!$C$98),"",ReferenceData!$C$98),"")</f>
        <v>CF039</v>
      </c>
      <c r="D98" t="str">
        <f>IFERROR(IF(0=LEN(ReferenceData!$D$98),"",ReferenceData!$D$98),"")</f>
        <v>CF_FFO</v>
      </c>
      <c r="E98" t="str">
        <f>IFERROR(IF(0=LEN(ReferenceData!$E$98),"",ReferenceData!$E$98),"")</f>
        <v>动态</v>
      </c>
      <c r="F98" t="str">
        <f ca="1">IFERROR(IF(0=LEN(ReferenceData!$F$98),"",ReferenceData!$F$98),"")</f>
        <v/>
      </c>
      <c r="G98">
        <f ca="1">IFERROR(IF(0=LEN(ReferenceData!$G$98),"",ReferenceData!$G$98),"")</f>
        <v>179.22399999999999</v>
      </c>
      <c r="H98">
        <f ca="1">IFERROR(IF(0=LEN(ReferenceData!$H$98),"",ReferenceData!$H$98),"")</f>
        <v>295.72199999999998</v>
      </c>
      <c r="I98">
        <f ca="1">IFERROR(IF(0=LEN(ReferenceData!$I$98),"",ReferenceData!$I$98),"")</f>
        <v>384.39</v>
      </c>
      <c r="J98">
        <f ca="1">IFERROR(IF(0=LEN(ReferenceData!$J$98),"",ReferenceData!$J$98),"")</f>
        <v>306.23099999999999</v>
      </c>
      <c r="K98">
        <f ca="1">IFERROR(IF(0=LEN(ReferenceData!$K$98),"",ReferenceData!$K$98),"")</f>
        <v>372.82900000000001</v>
      </c>
      <c r="L98">
        <f ca="1">IFERROR(IF(0=LEN(ReferenceData!$L$98),"",ReferenceData!$L$98),"")</f>
        <v>401.87</v>
      </c>
      <c r="M98">
        <f ca="1">IFERROR(IF(0=LEN(ReferenceData!$M$98),"",ReferenceData!$M$98),"")</f>
        <v>416.97399999999999</v>
      </c>
      <c r="N98">
        <f ca="1">IFERROR(IF(0=LEN(ReferenceData!$N$98),"",ReferenceData!$N$98),"")</f>
        <v>391.26400000000001</v>
      </c>
      <c r="O98">
        <f ca="1">IFERROR(IF(0=LEN(ReferenceData!$O$98),"",ReferenceData!$O$98),"")</f>
        <v>332.50900000000001</v>
      </c>
      <c r="P98">
        <f ca="1">IFERROR(IF(0=LEN(ReferenceData!$P$98),"",ReferenceData!$P$98),"")</f>
        <v>392.29500000000002</v>
      </c>
      <c r="Q98">
        <f ca="1">IFERROR(IF(0=LEN(ReferenceData!$Q$98),"",ReferenceData!$Q$98),"")</f>
        <v>340.58800000000002</v>
      </c>
      <c r="R98">
        <f ca="1">IFERROR(IF(0=LEN(ReferenceData!$R$98),"",ReferenceData!$R$98),"")</f>
        <v>344.25</v>
      </c>
      <c r="S98">
        <f ca="1">IFERROR(IF(0=LEN(ReferenceData!$S$98),"",ReferenceData!$S$98),"")</f>
        <v>284.51600000000002</v>
      </c>
      <c r="T98">
        <f ca="1">IFERROR(IF(0=LEN(ReferenceData!$T$98),"",ReferenceData!$T$98),"")</f>
        <v>316.512</v>
      </c>
      <c r="U98">
        <f ca="1">IFERROR(IF(0=LEN(ReferenceData!$U$98),"",ReferenceData!$U$98),"")</f>
        <v>284.245</v>
      </c>
      <c r="V98">
        <f ca="1">IFERROR(IF(0=LEN(ReferenceData!$V$98),"",ReferenceData!$V$98),"")</f>
        <v>288.803</v>
      </c>
      <c r="W98">
        <f ca="1">IFERROR(IF(0=LEN(ReferenceData!$W$98),"",ReferenceData!$W$98),"")</f>
        <v>265.07400000000001</v>
      </c>
      <c r="X98">
        <f ca="1">IFERROR(IF(0=LEN(ReferenceData!$X$98),"",ReferenceData!$X$98),"")</f>
        <v>258.26299999999998</v>
      </c>
      <c r="Y98">
        <f ca="1">IFERROR(IF(0=LEN(ReferenceData!$Y$98),"",ReferenceData!$Y$98),"")</f>
        <v>230.666</v>
      </c>
      <c r="Z98">
        <f ca="1">IFERROR(IF(0=LEN(ReferenceData!$Z$98),"",ReferenceData!$Z$98),"")</f>
        <v>170.87799999999999</v>
      </c>
      <c r="AA98">
        <f ca="1">IFERROR(IF(0=LEN(ReferenceData!$AA$98),"",ReferenceData!$AA$98),"")</f>
        <v>205.047</v>
      </c>
      <c r="AB98">
        <f ca="1">IFERROR(IF(0=LEN(ReferenceData!$AB$98),"",ReferenceData!$AB$98),"")</f>
        <v>170.72499999999999</v>
      </c>
      <c r="AC98">
        <f ca="1">IFERROR(IF(0=LEN(ReferenceData!$AC$98),"",ReferenceData!$AC$98),"")</f>
        <v>157.93100000000001</v>
      </c>
      <c r="AD98">
        <f ca="1">IFERROR(IF(0=LEN(ReferenceData!$AD$98),"",ReferenceData!$AD$98),"")</f>
        <v>163.857</v>
      </c>
      <c r="AE98">
        <f ca="1">IFERROR(IF(0=LEN(ReferenceData!$AE$98),"",ReferenceData!$AE$98),"")</f>
        <v>154.398</v>
      </c>
      <c r="AF98">
        <f ca="1">IFERROR(IF(0=LEN(ReferenceData!$AF$98),"",ReferenceData!$AF$98),"")</f>
        <v>150.376</v>
      </c>
      <c r="AG98">
        <f ca="1">IFERROR(IF(0=LEN(ReferenceData!$AG$98),"",ReferenceData!$AG$98),"")</f>
        <v>149.553</v>
      </c>
      <c r="AH98">
        <f ca="1">IFERROR(IF(0=LEN(ReferenceData!$AH$98),"",ReferenceData!$AH$98),"")</f>
        <v>71.052999999999997</v>
      </c>
      <c r="AI98">
        <f ca="1">IFERROR(IF(0=LEN(ReferenceData!$AI$98),"",ReferenceData!$AI$98),"")</f>
        <v>85.07</v>
      </c>
      <c r="AJ98">
        <f ca="1">IFERROR(IF(0=LEN(ReferenceData!$AJ$98),"",ReferenceData!$AJ$98),"")</f>
        <v>38.707999999999998</v>
      </c>
      <c r="AK98">
        <f ca="1">IFERROR(IF(0=LEN(ReferenceData!$AK$98),"",ReferenceData!$AK$98),"")</f>
        <v>92.213999999999999</v>
      </c>
      <c r="AL98">
        <f ca="1">IFERROR(IF(0=LEN(ReferenceData!$AL$98),"",ReferenceData!$AL$98),"")</f>
        <v>63.087000000000003</v>
      </c>
      <c r="AM98">
        <f ca="1">IFERROR(IF(0=LEN(ReferenceData!$AM$98),"",ReferenceData!$AM$98),"")</f>
        <v>56.29</v>
      </c>
      <c r="AN98">
        <f ca="1">IFERROR(IF(0=LEN(ReferenceData!$AN$98),"",ReferenceData!$AN$98),"")</f>
        <v>60.933</v>
      </c>
      <c r="AO98">
        <f ca="1">IFERROR(IF(0=LEN(ReferenceData!$AO$98),"",ReferenceData!$AO$98),"")</f>
        <v>89.206999999999994</v>
      </c>
      <c r="AP98">
        <f ca="1">IFERROR(IF(0=LEN(ReferenceData!$AP$98),"",ReferenceData!$AP$98),"")</f>
        <v>85.322000000000003</v>
      </c>
      <c r="AQ98">
        <f ca="1">IFERROR(IF(0=LEN(ReferenceData!$AQ$98),"",ReferenceData!$AQ$98),"")</f>
        <v>30.8</v>
      </c>
      <c r="AR98">
        <f ca="1">IFERROR(IF(0=LEN(ReferenceData!$AR$98),"",ReferenceData!$AR$98),"")</f>
        <v>82.572999999999993</v>
      </c>
      <c r="AS98">
        <f ca="1">IFERROR(IF(0=LEN(ReferenceData!$AS$98),"",ReferenceData!$AS$98),"")</f>
        <v>76.784999999999997</v>
      </c>
      <c r="AT98">
        <f ca="1">IFERROR(IF(0=LEN(ReferenceData!$AT$98),"",ReferenceData!$AT$98),"")</f>
        <v>68.709999999999994</v>
      </c>
      <c r="AU98">
        <f ca="1">IFERROR(IF(0=LEN(ReferenceData!$AU$98),"",ReferenceData!$AU$98),"")</f>
        <v>71.099000000000004</v>
      </c>
      <c r="AV98">
        <f ca="1">IFERROR(IF(0=LEN(ReferenceData!$AV$98),"",ReferenceData!$AV$98),"")</f>
        <v>63.83</v>
      </c>
      <c r="AW98">
        <f ca="1">IFERROR(IF(0=LEN(ReferenceData!$AW$98),"",ReferenceData!$AW$98),"")</f>
        <v>59.978999999999999</v>
      </c>
      <c r="AX98">
        <f ca="1">IFERROR(IF(0=LEN(ReferenceData!$AX$98),"",ReferenceData!$AX$98),"")</f>
        <v>56.207000000000001</v>
      </c>
      <c r="AY98">
        <f ca="1">IFERROR(IF(0=LEN(ReferenceData!$AY$98),"",ReferenceData!$AY$98),"")</f>
        <v>44.459000000000003</v>
      </c>
      <c r="AZ98">
        <f ca="1">IFERROR(IF(0=LEN(ReferenceData!$AZ$98),"",ReferenceData!$AZ$98),"")</f>
        <v>45.859000000000002</v>
      </c>
      <c r="BA98">
        <f ca="1">IFERROR(IF(0=LEN(ReferenceData!$BA$98),"",ReferenceData!$BA$98),"")</f>
        <v>45.87</v>
      </c>
      <c r="BB98">
        <f ca="1">IFERROR(IF(0=LEN(ReferenceData!$BB$98),"",ReferenceData!$BB$98),"")</f>
        <v>41.353999999999999</v>
      </c>
      <c r="BC98">
        <f ca="1">IFERROR(IF(0=LEN(ReferenceData!$BC$98),"",ReferenceData!$BC$98),"")</f>
        <v>19.751999999999999</v>
      </c>
      <c r="BD98">
        <f ca="1">IFERROR(IF(0=LEN(ReferenceData!$BD$98),"",ReferenceData!$BD$98),"")</f>
        <v>41.975000000000001</v>
      </c>
      <c r="BE98">
        <f ca="1">IFERROR(IF(0=LEN(ReferenceData!$BE$98),"",ReferenceData!$BE$98),"")</f>
        <v>19.427</v>
      </c>
      <c r="BF98">
        <f ca="1">IFERROR(IF(0=LEN(ReferenceData!$BF$98),"",ReferenceData!$BF$98),"")</f>
        <v>38.308999999999997</v>
      </c>
      <c r="BG98">
        <f ca="1">IFERROR(IF(0=LEN(ReferenceData!$BG$98),"",ReferenceData!$BG$98),"")</f>
        <v>37.299999999999997</v>
      </c>
      <c r="BH98" t="str">
        <f ca="1">IFERROR(IF(0=LEN(ReferenceData!$BH$98),"",ReferenceData!$BH$98),"")</f>
        <v/>
      </c>
      <c r="BI98" t="str">
        <f ca="1">IFERROR(IF(0=LEN(ReferenceData!$BI$98),"",ReferenceData!$BI$98),"")</f>
        <v/>
      </c>
      <c r="BJ98" t="str">
        <f ca="1">IFERROR(IF(0=LEN(ReferenceData!$BJ$98),"",ReferenceData!$BJ$98),"")</f>
        <v/>
      </c>
      <c r="BK98">
        <f ca="1">IFERROR(IF(0=LEN(ReferenceData!$BK$98),"",ReferenceData!$BK$98),"")</f>
        <v>35.998001000000002</v>
      </c>
      <c r="BL98" t="str">
        <f ca="1">IFERROR(IF(0=LEN(ReferenceData!$BL$98),"",ReferenceData!$BL$98),"")</f>
        <v/>
      </c>
      <c r="BM98" t="str">
        <f ca="1">IFERROR(IF(0=LEN(ReferenceData!$BM$98),"",ReferenceData!$BM$98),"")</f>
        <v/>
      </c>
    </row>
    <row r="99" spans="1:65">
      <c r="A99" t="str">
        <f>IFERROR(IF(0=LEN(ReferenceData!$A$99),"",ReferenceData!$A$99),"")</f>
        <v>可分配资金</v>
      </c>
      <c r="B99" t="str">
        <f>IFERROR(IF(0=LEN(ReferenceData!$B$99),"",ReferenceData!$B$99),"")</f>
        <v/>
      </c>
      <c r="C99" t="str">
        <f>IFERROR(IF(0=LEN(ReferenceData!$C$99),"",ReferenceData!$C$99),"")</f>
        <v/>
      </c>
      <c r="D99" t="str">
        <f>IFERROR(IF(0=LEN(ReferenceData!$D$99),"",ReferenceData!$D$99),"")</f>
        <v/>
      </c>
      <c r="E99" t="str">
        <f>IFERROR(IF(0=LEN(ReferenceData!$E$99),"",ReferenceData!$E$99),"")</f>
        <v>Median</v>
      </c>
      <c r="F99" t="str">
        <f ca="1">IFERROR(IF(0=LEN(ReferenceData!$F$99),"",ReferenceData!$F$99),"")</f>
        <v/>
      </c>
      <c r="G99">
        <f ca="1">IFERROR(IF(0=LEN(ReferenceData!$G$99),"",ReferenceData!$G$99),"")</f>
        <v>109.81100000000001</v>
      </c>
      <c r="H99">
        <f ca="1">IFERROR(IF(0=LEN(ReferenceData!$H$99),"",ReferenceData!$H$99),"")</f>
        <v>130.0325</v>
      </c>
      <c r="I99">
        <f ca="1">IFERROR(IF(0=LEN(ReferenceData!$I$99),"",ReferenceData!$I$99),"")</f>
        <v>110.001</v>
      </c>
      <c r="J99">
        <f ca="1">IFERROR(IF(0=LEN(ReferenceData!$J$99),"",ReferenceData!$J$99),"")</f>
        <v>93.028000000000006</v>
      </c>
      <c r="K99">
        <f ca="1">IFERROR(IF(0=LEN(ReferenceData!$K$99),"",ReferenceData!$K$99),"")</f>
        <v>94.024000000000001</v>
      </c>
      <c r="L99">
        <f ca="1">IFERROR(IF(0=LEN(ReferenceData!$L$99),"",ReferenceData!$L$99),"")</f>
        <v>89.486000000000004</v>
      </c>
      <c r="M99">
        <f ca="1">IFERROR(IF(0=LEN(ReferenceData!$M$99),"",ReferenceData!$M$99),"")</f>
        <v>95.486000000000004</v>
      </c>
      <c r="N99">
        <f ca="1">IFERROR(IF(0=LEN(ReferenceData!$N$99),"",ReferenceData!$N$99),"")</f>
        <v>91.771000000000001</v>
      </c>
      <c r="O99">
        <f ca="1">IFERROR(IF(0=LEN(ReferenceData!$O$99),"",ReferenceData!$O$99),"")</f>
        <v>83.301000000000002</v>
      </c>
      <c r="P99">
        <f ca="1">IFERROR(IF(0=LEN(ReferenceData!$P$99),"",ReferenceData!$P$99),"")</f>
        <v>78.653999999999996</v>
      </c>
      <c r="Q99">
        <f ca="1">IFERROR(IF(0=LEN(ReferenceData!$Q$99),"",ReferenceData!$Q$99),"")</f>
        <v>76.819999999999993</v>
      </c>
      <c r="R99">
        <f ca="1">IFERROR(IF(0=LEN(ReferenceData!$R$99),"",ReferenceData!$R$99),"")</f>
        <v>80.413999999999987</v>
      </c>
      <c r="S99">
        <f ca="1">IFERROR(IF(0=LEN(ReferenceData!$S$99),"",ReferenceData!$S$99),"")</f>
        <v>78.998500000000007</v>
      </c>
      <c r="T99">
        <f ca="1">IFERROR(IF(0=LEN(ReferenceData!$T$99),"",ReferenceData!$T$99),"")</f>
        <v>86.374500000000012</v>
      </c>
      <c r="U99">
        <f ca="1">IFERROR(IF(0=LEN(ReferenceData!$U$99),"",ReferenceData!$U$99),"")</f>
        <v>73.436000000000007</v>
      </c>
      <c r="V99">
        <f ca="1">IFERROR(IF(0=LEN(ReferenceData!$V$99),"",ReferenceData!$V$99),"")</f>
        <v>76.47</v>
      </c>
      <c r="W99">
        <f ca="1">IFERROR(IF(0=LEN(ReferenceData!$W$99),"",ReferenceData!$W$99),"")</f>
        <v>72.576999999999998</v>
      </c>
      <c r="X99">
        <f ca="1">IFERROR(IF(0=LEN(ReferenceData!$X$99),"",ReferenceData!$X$99),"")</f>
        <v>74.88900000000001</v>
      </c>
      <c r="Y99">
        <f ca="1">IFERROR(IF(0=LEN(ReferenceData!$Y$99),"",ReferenceData!$Y$99),"")</f>
        <v>65.977000000000004</v>
      </c>
      <c r="Z99">
        <f ca="1">IFERROR(IF(0=LEN(ReferenceData!$Z$99),"",ReferenceData!$Z$99),"")</f>
        <v>66.81</v>
      </c>
      <c r="AA99">
        <f ca="1">IFERROR(IF(0=LEN(ReferenceData!$AA$99),"",ReferenceData!$AA$99),"")</f>
        <v>62.756</v>
      </c>
      <c r="AB99">
        <f ca="1">IFERROR(IF(0=LEN(ReferenceData!$AB$99),"",ReferenceData!$AB$99),"")</f>
        <v>52.826000000000001</v>
      </c>
      <c r="AC99">
        <f ca="1">IFERROR(IF(0=LEN(ReferenceData!$AC$99),"",ReferenceData!$AC$99),"")</f>
        <v>56.530500000000004</v>
      </c>
      <c r="AD99">
        <f ca="1">IFERROR(IF(0=LEN(ReferenceData!$AD$99),"",ReferenceData!$AD$99),"")</f>
        <v>56.400500000000001</v>
      </c>
      <c r="AE99">
        <f ca="1">IFERROR(IF(0=LEN(ReferenceData!$AE$99),"",ReferenceData!$AE$99),"")</f>
        <v>51.785499999999999</v>
      </c>
      <c r="AF99">
        <f ca="1">IFERROR(IF(0=LEN(ReferenceData!$AF$99),"",ReferenceData!$AF$99),"")</f>
        <v>53.930999999999997</v>
      </c>
      <c r="AG99">
        <f ca="1">IFERROR(IF(0=LEN(ReferenceData!$AG$99),"",ReferenceData!$AG$99),"")</f>
        <v>51.055</v>
      </c>
      <c r="AH99">
        <f ca="1">IFERROR(IF(0=LEN(ReferenceData!$AH$99),"",ReferenceData!$AH$99),"")</f>
        <v>49.8825</v>
      </c>
      <c r="AI99">
        <f ca="1">IFERROR(IF(0=LEN(ReferenceData!$AI$99),"",ReferenceData!$AI$99),"")</f>
        <v>50.671999999999997</v>
      </c>
      <c r="AJ99">
        <f ca="1">IFERROR(IF(0=LEN(ReferenceData!$AJ$99),"",ReferenceData!$AJ$99),"")</f>
        <v>52.945999999999998</v>
      </c>
      <c r="AK99">
        <f ca="1">IFERROR(IF(0=LEN(ReferenceData!$AK$99),"",ReferenceData!$AK$99),"")</f>
        <v>51.161999999999999</v>
      </c>
      <c r="AL99">
        <f ca="1">IFERROR(IF(0=LEN(ReferenceData!$AL$99),"",ReferenceData!$AL$99),"")</f>
        <v>53.92</v>
      </c>
      <c r="AM99">
        <f ca="1">IFERROR(IF(0=LEN(ReferenceData!$AM$99),"",ReferenceData!$AM$99),"")</f>
        <v>52.798000000000002</v>
      </c>
      <c r="AN99">
        <f ca="1">IFERROR(IF(0=LEN(ReferenceData!$AN$99),"",ReferenceData!$AN$99),"")</f>
        <v>53.051000000000002</v>
      </c>
      <c r="AO99">
        <f ca="1">IFERROR(IF(0=LEN(ReferenceData!$AO$99),"",ReferenceData!$AO$99),"")</f>
        <v>57.683</v>
      </c>
      <c r="AP99">
        <f ca="1">IFERROR(IF(0=LEN(ReferenceData!$AP$99),"",ReferenceData!$AP$99),"")</f>
        <v>57.727499999999999</v>
      </c>
      <c r="AQ99">
        <f ca="1">IFERROR(IF(0=LEN(ReferenceData!$AQ$99),"",ReferenceData!$AQ$99),"")</f>
        <v>54.355000000000004</v>
      </c>
      <c r="AR99">
        <f ca="1">IFERROR(IF(0=LEN(ReferenceData!$AR$99),"",ReferenceData!$AR$99),"")</f>
        <v>45.328500000000005</v>
      </c>
      <c r="AS99">
        <f ca="1">IFERROR(IF(0=LEN(ReferenceData!$AS$99),"",ReferenceData!$AS$99),"")</f>
        <v>45.673000000000002</v>
      </c>
      <c r="AT99">
        <f ca="1">IFERROR(IF(0=LEN(ReferenceData!$AT$99),"",ReferenceData!$AT$99),"")</f>
        <v>40.335999999999999</v>
      </c>
      <c r="AU99">
        <f ca="1">IFERROR(IF(0=LEN(ReferenceData!$AU$99),"",ReferenceData!$AU$99),"")</f>
        <v>41.096499999999999</v>
      </c>
      <c r="AV99">
        <f ca="1">IFERROR(IF(0=LEN(ReferenceData!$AV$99),"",ReferenceData!$AV$99),"")</f>
        <v>36.518999999999998</v>
      </c>
      <c r="AW99">
        <f ca="1">IFERROR(IF(0=LEN(ReferenceData!$AW$99),"",ReferenceData!$AW$99),"")</f>
        <v>36.794499999999999</v>
      </c>
      <c r="AX99">
        <f ca="1">IFERROR(IF(0=LEN(ReferenceData!$AX$99),"",ReferenceData!$AX$99),"")</f>
        <v>34.469499999999996</v>
      </c>
      <c r="AY99">
        <f ca="1">IFERROR(IF(0=LEN(ReferenceData!$AY$99),"",ReferenceData!$AY$99),"")</f>
        <v>37.197500000000005</v>
      </c>
      <c r="AZ99">
        <f ca="1">IFERROR(IF(0=LEN(ReferenceData!$AZ$99),"",ReferenceData!$AZ$99),"")</f>
        <v>31.616999999999997</v>
      </c>
      <c r="BA99">
        <f ca="1">IFERROR(IF(0=LEN(ReferenceData!$BA$99),"",ReferenceData!$BA$99),"")</f>
        <v>28.725000000000001</v>
      </c>
      <c r="BB99">
        <f ca="1">IFERROR(IF(0=LEN(ReferenceData!$BB$99),"",ReferenceData!$BB$99),"")</f>
        <v>27.029499999999999</v>
      </c>
      <c r="BC99">
        <f ca="1">IFERROR(IF(0=LEN(ReferenceData!$BC$99),"",ReferenceData!$BC$99),"")</f>
        <v>26.513500000000001</v>
      </c>
      <c r="BD99">
        <f ca="1">IFERROR(IF(0=LEN(ReferenceData!$BD$99),"",ReferenceData!$BD$99),"")</f>
        <v>31.210000305000001</v>
      </c>
      <c r="BE99">
        <f ca="1">IFERROR(IF(0=LEN(ReferenceData!$BE$99),"",ReferenceData!$BE$99),"")</f>
        <v>22.339500000000001</v>
      </c>
      <c r="BF99">
        <f ca="1">IFERROR(IF(0=LEN(ReferenceData!$BF$99),"",ReferenceData!$BF$99),"")</f>
        <v>27.4175003</v>
      </c>
      <c r="BG99">
        <f ca="1">IFERROR(IF(0=LEN(ReferenceData!$BG$99),"",ReferenceData!$BG$99),"")</f>
        <v>24.39</v>
      </c>
      <c r="BH99">
        <f ca="1">IFERROR(IF(0=LEN(ReferenceData!$BH$99),"",ReferenceData!$BH$99),"")</f>
        <v>22.690500135000001</v>
      </c>
      <c r="BI99">
        <f ca="1">IFERROR(IF(0=LEN(ReferenceData!$BI$99),"",ReferenceData!$BI$99),"")</f>
        <v>23.302999499999999</v>
      </c>
      <c r="BJ99">
        <f ca="1">IFERROR(IF(0=LEN(ReferenceData!$BJ$99),"",ReferenceData!$BJ$99),"")</f>
        <v>24.87450012</v>
      </c>
      <c r="BK99">
        <f ca="1">IFERROR(IF(0=LEN(ReferenceData!$BK$99),"",ReferenceData!$BK$99),"")</f>
        <v>21.03</v>
      </c>
      <c r="BL99">
        <f ca="1">IFERROR(IF(0=LEN(ReferenceData!$BL$99),"",ReferenceData!$BL$99),"")</f>
        <v>34.264500614999996</v>
      </c>
      <c r="BM99">
        <f ca="1">IFERROR(IF(0=LEN(ReferenceData!$BM$99),"",ReferenceData!$BM$99),"")</f>
        <v>28.18300056</v>
      </c>
    </row>
    <row r="100" spans="1:65">
      <c r="A100" t="str">
        <f>IFERROR(IF(0=LEN(ReferenceData!$A$100),"",ReferenceData!$A$100),"")</f>
        <v xml:space="preserve">    Alexandria Real Estate Equitie</v>
      </c>
      <c r="B100" t="str">
        <f>IFERROR(IF(0=LEN(ReferenceData!$B$100),"",ReferenceData!$B$100),"")</f>
        <v>ARE US Equity</v>
      </c>
      <c r="C100" t="str">
        <f>IFERROR(IF(0=LEN(ReferenceData!$C$100),"",ReferenceData!$C$100),"")</f>
        <v>F0578</v>
      </c>
      <c r="D100" t="str">
        <f>IFERROR(IF(0=LEN(ReferenceData!$D$100),"",ReferenceData!$D$100),"")</f>
        <v>FUNDS_AVAILABLE_FOR_DISTRIBUTION</v>
      </c>
      <c r="E100" t="str">
        <f>IFERROR(IF(0=LEN(ReferenceData!$E$100),"",ReferenceData!$E$100),"")</f>
        <v>动态</v>
      </c>
      <c r="F100" t="str">
        <f ca="1">IFERROR(IF(0=LEN(ReferenceData!$F$100),"",ReferenceData!$F$100),"")</f>
        <v/>
      </c>
      <c r="G100">
        <f ca="1">IFERROR(IF(0=LEN(ReferenceData!$G$100),"",ReferenceData!$G$100),"")</f>
        <v>106.581</v>
      </c>
      <c r="H100">
        <f ca="1">IFERROR(IF(0=LEN(ReferenceData!$H$100),"",ReferenceData!$H$100),"")</f>
        <v>143.56700000000001</v>
      </c>
      <c r="I100">
        <f ca="1">IFERROR(IF(0=LEN(ReferenceData!$I$100),"",ReferenceData!$I$100),"")</f>
        <v>110.001</v>
      </c>
      <c r="J100">
        <f ca="1">IFERROR(IF(0=LEN(ReferenceData!$J$100),"",ReferenceData!$J$100),"")</f>
        <v>79.501999999999995</v>
      </c>
      <c r="K100">
        <f ca="1">IFERROR(IF(0=LEN(ReferenceData!$K$100),"",ReferenceData!$K$100),"")</f>
        <v>94.024000000000001</v>
      </c>
      <c r="L100">
        <f ca="1">IFERROR(IF(0=LEN(ReferenceData!$L$100),"",ReferenceData!$L$100),"")</f>
        <v>89.486000000000004</v>
      </c>
      <c r="M100">
        <f ca="1">IFERROR(IF(0=LEN(ReferenceData!$M$100),"",ReferenceData!$M$100),"")</f>
        <v>95.486000000000004</v>
      </c>
      <c r="N100">
        <f ca="1">IFERROR(IF(0=LEN(ReferenceData!$N$100),"",ReferenceData!$N$100),"")</f>
        <v>91.771000000000001</v>
      </c>
      <c r="O100">
        <f ca="1">IFERROR(IF(0=LEN(ReferenceData!$O$100),"",ReferenceData!$O$100),"")</f>
        <v>83.301000000000002</v>
      </c>
      <c r="P100">
        <f ca="1">IFERROR(IF(0=LEN(ReferenceData!$P$100),"",ReferenceData!$P$100),"")</f>
        <v>78.653999999999996</v>
      </c>
      <c r="Q100">
        <f ca="1">IFERROR(IF(0=LEN(ReferenceData!$Q$100),"",ReferenceData!$Q$100),"")</f>
        <v>76.819999999999993</v>
      </c>
      <c r="R100">
        <f ca="1">IFERROR(IF(0=LEN(ReferenceData!$R$100),"",ReferenceData!$R$100),"")</f>
        <v>78.572999999999993</v>
      </c>
      <c r="S100">
        <f ca="1">IFERROR(IF(0=LEN(ReferenceData!$S$100),"",ReferenceData!$S$100),"")</f>
        <v>77.957999999999998</v>
      </c>
      <c r="T100">
        <f ca="1">IFERROR(IF(0=LEN(ReferenceData!$T$100),"",ReferenceData!$T$100),"")</f>
        <v>91.444000000000003</v>
      </c>
      <c r="U100">
        <f ca="1">IFERROR(IF(0=LEN(ReferenceData!$U$100),"",ReferenceData!$U$100),"")</f>
        <v>72.506</v>
      </c>
      <c r="V100">
        <f ca="1">IFERROR(IF(0=LEN(ReferenceData!$V$100),"",ReferenceData!$V$100),"")</f>
        <v>71.337999999999994</v>
      </c>
      <c r="W100">
        <f ca="1">IFERROR(IF(0=LEN(ReferenceData!$W$100),"",ReferenceData!$W$100),"")</f>
        <v>71.816999999999993</v>
      </c>
      <c r="X100">
        <f ca="1">IFERROR(IF(0=LEN(ReferenceData!$X$100),"",ReferenceData!$X$100),"")</f>
        <v>79.98</v>
      </c>
      <c r="Y100">
        <f ca="1">IFERROR(IF(0=LEN(ReferenceData!$Y$100),"",ReferenceData!$Y$100),"")</f>
        <v>66.778000000000006</v>
      </c>
      <c r="Z100">
        <f ca="1">IFERROR(IF(0=LEN(ReferenceData!$Z$100),"",ReferenceData!$Z$100),"")</f>
        <v>67.965000000000003</v>
      </c>
      <c r="AA100">
        <f ca="1">IFERROR(IF(0=LEN(ReferenceData!$AA$100),"",ReferenceData!$AA$100),"")</f>
        <v>66.295000000000002</v>
      </c>
      <c r="AB100">
        <f ca="1">IFERROR(IF(0=LEN(ReferenceData!$AB$100),"",ReferenceData!$AB$100),"")</f>
        <v>65.016999999999996</v>
      </c>
      <c r="AC100">
        <f ca="1">IFERROR(IF(0=LEN(ReferenceData!$AC$100),"",ReferenceData!$AC$100),"")</f>
        <v>63.951000000000001</v>
      </c>
      <c r="AD100">
        <f ca="1">IFERROR(IF(0=LEN(ReferenceData!$AD$100),"",ReferenceData!$AD$100),"")</f>
        <v>62.457000000000001</v>
      </c>
      <c r="AE100">
        <f ca="1">IFERROR(IF(0=LEN(ReferenceData!$AE$100),"",ReferenceData!$AE$100),"")</f>
        <v>58.936</v>
      </c>
      <c r="AF100">
        <f ca="1">IFERROR(IF(0=LEN(ReferenceData!$AF$100),"",ReferenceData!$AF$100),"")</f>
        <v>65.043999999999997</v>
      </c>
      <c r="AG100">
        <f ca="1">IFERROR(IF(0=LEN(ReferenceData!$AG$100),"",ReferenceData!$AG$100),"")</f>
        <v>67.671000000000006</v>
      </c>
      <c r="AH100">
        <f ca="1">IFERROR(IF(0=LEN(ReferenceData!$AH$100),"",ReferenceData!$AH$100),"")</f>
        <v>58.813000000000002</v>
      </c>
      <c r="AI100">
        <f ca="1">IFERROR(IF(0=LEN(ReferenceData!$AI$100),"",ReferenceData!$AI$100),"")</f>
        <v>56.274000000000001</v>
      </c>
      <c r="AJ100">
        <f ca="1">IFERROR(IF(0=LEN(ReferenceData!$AJ$100),"",ReferenceData!$AJ$100),"")</f>
        <v>55.194000000000003</v>
      </c>
      <c r="AK100">
        <f ca="1">IFERROR(IF(0=LEN(ReferenceData!$AK$100),"",ReferenceData!$AK$100),"")</f>
        <v>54.048999999999999</v>
      </c>
      <c r="AL100">
        <f ca="1">IFERROR(IF(0=LEN(ReferenceData!$AL$100),"",ReferenceData!$AL$100),"")</f>
        <v>56.402000000000001</v>
      </c>
      <c r="AM100">
        <f ca="1">IFERROR(IF(0=LEN(ReferenceData!$AM$100),"",ReferenceData!$AM$100),"")</f>
        <v>54.119</v>
      </c>
      <c r="AN100">
        <f ca="1">IFERROR(IF(0=LEN(ReferenceData!$AN$100),"",ReferenceData!$AN$100),"")</f>
        <v>56.776000000000003</v>
      </c>
      <c r="AO100">
        <f ca="1">IFERROR(IF(0=LEN(ReferenceData!$AO$100),"",ReferenceData!$AO$100),"")</f>
        <v>63.073</v>
      </c>
      <c r="AP100">
        <f ca="1">IFERROR(IF(0=LEN(ReferenceData!$AP$100),"",ReferenceData!$AP$100),"")</f>
        <v>63.716999999999999</v>
      </c>
      <c r="AQ100">
        <f ca="1">IFERROR(IF(0=LEN(ReferenceData!$AQ$100),"",ReferenceData!$AQ$100),"")</f>
        <v>59.667000000000002</v>
      </c>
      <c r="AR100">
        <f ca="1">IFERROR(IF(0=LEN(ReferenceData!$AR$100),"",ReferenceData!$AR$100),"")</f>
        <v>42.999000000000002</v>
      </c>
      <c r="AS100">
        <f ca="1">IFERROR(IF(0=LEN(ReferenceData!$AS$100),"",ReferenceData!$AS$100),"")</f>
        <v>48.95</v>
      </c>
      <c r="AT100">
        <f ca="1">IFERROR(IF(0=LEN(ReferenceData!$AT$100),"",ReferenceData!$AT$100),"")</f>
        <v>41.648000000000003</v>
      </c>
      <c r="AU100">
        <f ca="1">IFERROR(IF(0=LEN(ReferenceData!$AU$100),"",ReferenceData!$AU$100),"")</f>
        <v>46.323999999999998</v>
      </c>
      <c r="AV100">
        <f ca="1">IFERROR(IF(0=LEN(ReferenceData!$AV$100),"",ReferenceData!$AV$100),"")</f>
        <v>38.387999999999998</v>
      </c>
      <c r="AW100">
        <f ca="1">IFERROR(IF(0=LEN(ReferenceData!$AW$100),"",ReferenceData!$AW$100),"")</f>
        <v>38.99</v>
      </c>
      <c r="AX100">
        <f ca="1">IFERROR(IF(0=LEN(ReferenceData!$AX$100),"",ReferenceData!$AX$100),"")</f>
        <v>37.545999999999999</v>
      </c>
      <c r="AY100">
        <f ca="1">IFERROR(IF(0=LEN(ReferenceData!$AY$100),"",ReferenceData!$AY$100),"")</f>
        <v>39.054000000000002</v>
      </c>
      <c r="AZ100">
        <f ca="1">IFERROR(IF(0=LEN(ReferenceData!$AZ$100),"",ReferenceData!$AZ$100),"")</f>
        <v>35.229999999999997</v>
      </c>
      <c r="BA100">
        <f ca="1">IFERROR(IF(0=LEN(ReferenceData!$BA$100),"",ReferenceData!$BA$100),"")</f>
        <v>29.227</v>
      </c>
      <c r="BB100">
        <f ca="1">IFERROR(IF(0=LEN(ReferenceData!$BB$100),"",ReferenceData!$BB$100),"")</f>
        <v>28.154</v>
      </c>
      <c r="BC100">
        <f ca="1">IFERROR(IF(0=LEN(ReferenceData!$BC$100),"",ReferenceData!$BC$100),"")</f>
        <v>27.591999999999999</v>
      </c>
      <c r="BD100">
        <f ca="1">IFERROR(IF(0=LEN(ReferenceData!$BD$100),"",ReferenceData!$BD$100),"")</f>
        <v>25.969000000000001</v>
      </c>
      <c r="BE100">
        <f ca="1">IFERROR(IF(0=LEN(ReferenceData!$BE$100),"",ReferenceData!$BE$100),"")</f>
        <v>25.501000000000001</v>
      </c>
      <c r="BF100">
        <f ca="1">IFERROR(IF(0=LEN(ReferenceData!$BF$100),"",ReferenceData!$BF$100),"")</f>
        <v>23.608000000000001</v>
      </c>
      <c r="BG100">
        <f ca="1">IFERROR(IF(0=LEN(ReferenceData!$BG$100),"",ReferenceData!$BG$100),"")</f>
        <v>23.391999999999999</v>
      </c>
      <c r="BH100">
        <f ca="1">IFERROR(IF(0=LEN(ReferenceData!$BH$100),"",ReferenceData!$BH$100),"")</f>
        <v>21.943999999999999</v>
      </c>
      <c r="BI100">
        <f ca="1">IFERROR(IF(0=LEN(ReferenceData!$BI$100),"",ReferenceData!$BI$100),"")</f>
        <v>19.815000000000001</v>
      </c>
      <c r="BJ100">
        <f ca="1">IFERROR(IF(0=LEN(ReferenceData!$BJ$100),"",ReferenceData!$BJ$100),"")</f>
        <v>21.469000000000001</v>
      </c>
      <c r="BK100">
        <f ca="1">IFERROR(IF(0=LEN(ReferenceData!$BK$100),"",ReferenceData!$BK$100),"")</f>
        <v>21.03</v>
      </c>
      <c r="BL100">
        <f ca="1">IFERROR(IF(0=LEN(ReferenceData!$BL$100),"",ReferenceData!$BL$100),"")</f>
        <v>60.33</v>
      </c>
      <c r="BM100">
        <f ca="1">IFERROR(IF(0=LEN(ReferenceData!$BM$100),"",ReferenceData!$BM$100),"")</f>
        <v>20.084</v>
      </c>
    </row>
    <row r="101" spans="1:65">
      <c r="A101" t="str">
        <f>IFERROR(IF(0=LEN(ReferenceData!$A$101),"",ReferenceData!$A$101),"")</f>
        <v xml:space="preserve">    Care Capital Properties Inc</v>
      </c>
      <c r="B101" t="str">
        <f>IFERROR(IF(0=LEN(ReferenceData!$B$101),"",ReferenceData!$B$101),"")</f>
        <v>CCP US Equity</v>
      </c>
      <c r="C101" t="str">
        <f>IFERROR(IF(0=LEN(ReferenceData!$C$101),"",ReferenceData!$C$101),"")</f>
        <v>F0578</v>
      </c>
      <c r="D101" t="str">
        <f>IFERROR(IF(0=LEN(ReferenceData!$D$101),"",ReferenceData!$D$101),"")</f>
        <v>FUNDS_AVAILABLE_FOR_DISTRIBUTION</v>
      </c>
      <c r="E101" t="str">
        <f>IFERROR(IF(0=LEN(ReferenceData!$E$101),"",ReferenceData!$E$101),"")</f>
        <v>动态</v>
      </c>
      <c r="F101" t="str">
        <f ca="1">IFERROR(IF(0=LEN(ReferenceData!$F$101),"",ReferenceData!$F$101),"")</f>
        <v/>
      </c>
      <c r="G101" t="str">
        <f ca="1">IFERROR(IF(0=LEN(ReferenceData!$G$101),"",ReferenceData!$G$101),"")</f>
        <v/>
      </c>
      <c r="H101" t="str">
        <f ca="1">IFERROR(IF(0=LEN(ReferenceData!$H$101),"",ReferenceData!$H$101),"")</f>
        <v/>
      </c>
      <c r="I101">
        <f ca="1">IFERROR(IF(0=LEN(ReferenceData!$I$101),"",ReferenceData!$I$101),"")</f>
        <v>61.253</v>
      </c>
      <c r="J101">
        <f ca="1">IFERROR(IF(0=LEN(ReferenceData!$J$101),"",ReferenceData!$J$101),"")</f>
        <v>54.1</v>
      </c>
      <c r="K101">
        <f ca="1">IFERROR(IF(0=LEN(ReferenceData!$K$101),"",ReferenceData!$K$101),"")</f>
        <v>66.781000000000006</v>
      </c>
      <c r="L101">
        <f ca="1">IFERROR(IF(0=LEN(ReferenceData!$L$101),"",ReferenceData!$L$101),"")</f>
        <v>62.177</v>
      </c>
      <c r="M101">
        <f ca="1">IFERROR(IF(0=LEN(ReferenceData!$M$101),"",ReferenceData!$M$101),"")</f>
        <v>66.254999999999995</v>
      </c>
      <c r="N101">
        <f ca="1">IFERROR(IF(0=LEN(ReferenceData!$N$101),"",ReferenceData!$N$101),"")</f>
        <v>64.543999999999997</v>
      </c>
      <c r="O101">
        <f ca="1">IFERROR(IF(0=LEN(ReferenceData!$O$101),"",ReferenceData!$O$101),"")</f>
        <v>66.385999999999996</v>
      </c>
      <c r="P101">
        <f ca="1">IFERROR(IF(0=LEN(ReferenceData!$P$101),"",ReferenceData!$P$101),"")</f>
        <v>62.875</v>
      </c>
      <c r="Q101">
        <f ca="1">IFERROR(IF(0=LEN(ReferenceData!$Q$101),"",ReferenceData!$Q$101),"")</f>
        <v>66.674999999999997</v>
      </c>
      <c r="R101" t="str">
        <f ca="1">IFERROR(IF(0=LEN(ReferenceData!$R$101),"",ReferenceData!$R$101),"")</f>
        <v/>
      </c>
      <c r="S101" t="str">
        <f ca="1">IFERROR(IF(0=LEN(ReferenceData!$S$101),"",ReferenceData!$S$101),"")</f>
        <v/>
      </c>
      <c r="T101" t="str">
        <f ca="1">IFERROR(IF(0=LEN(ReferenceData!$T$101),"",ReferenceData!$T$101),"")</f>
        <v/>
      </c>
      <c r="U101" t="str">
        <f ca="1">IFERROR(IF(0=LEN(ReferenceData!$U$101),"",ReferenceData!$U$101),"")</f>
        <v/>
      </c>
      <c r="V101" t="str">
        <f ca="1">IFERROR(IF(0=LEN(ReferenceData!$V$101),"",ReferenceData!$V$101),"")</f>
        <v/>
      </c>
      <c r="W101" t="str">
        <f ca="1">IFERROR(IF(0=LEN(ReferenceData!$W$101),"",ReferenceData!$W$101),"")</f>
        <v/>
      </c>
      <c r="X101" t="str">
        <f ca="1">IFERROR(IF(0=LEN(ReferenceData!$X$101),"",ReferenceData!$X$101),"")</f>
        <v/>
      </c>
      <c r="Y101" t="str">
        <f ca="1">IFERROR(IF(0=LEN(ReferenceData!$Y$101),"",ReferenceData!$Y$101),"")</f>
        <v/>
      </c>
      <c r="Z101" t="str">
        <f ca="1">IFERROR(IF(0=LEN(ReferenceData!$Z$101),"",ReferenceData!$Z$101),"")</f>
        <v/>
      </c>
      <c r="AA101" t="str">
        <f ca="1">IFERROR(IF(0=LEN(ReferenceData!$AA$101),"",ReferenceData!$AA$101),"")</f>
        <v/>
      </c>
      <c r="AB101" t="str">
        <f ca="1">IFERROR(IF(0=LEN(ReferenceData!$AB$101),"",ReferenceData!$AB$101),"")</f>
        <v/>
      </c>
      <c r="AC101" t="str">
        <f ca="1">IFERROR(IF(0=LEN(ReferenceData!$AC$101),"",ReferenceData!$AC$101),"")</f>
        <v/>
      </c>
      <c r="AD101" t="str">
        <f ca="1">IFERROR(IF(0=LEN(ReferenceData!$AD$101),"",ReferenceData!$AD$101),"")</f>
        <v/>
      </c>
      <c r="AE101" t="str">
        <f ca="1">IFERROR(IF(0=LEN(ReferenceData!$AE$101),"",ReferenceData!$AE$101),"")</f>
        <v/>
      </c>
      <c r="AF101" t="str">
        <f ca="1">IFERROR(IF(0=LEN(ReferenceData!$AF$101),"",ReferenceData!$AF$101),"")</f>
        <v/>
      </c>
      <c r="AG101" t="str">
        <f ca="1">IFERROR(IF(0=LEN(ReferenceData!$AG$101),"",ReferenceData!$AG$101),"")</f>
        <v/>
      </c>
      <c r="AH101" t="str">
        <f ca="1">IFERROR(IF(0=LEN(ReferenceData!$AH$101),"",ReferenceData!$AH$101),"")</f>
        <v/>
      </c>
      <c r="AI101" t="str">
        <f ca="1">IFERROR(IF(0=LEN(ReferenceData!$AI$101),"",ReferenceData!$AI$101),"")</f>
        <v/>
      </c>
      <c r="AJ101" t="str">
        <f ca="1">IFERROR(IF(0=LEN(ReferenceData!$AJ$101),"",ReferenceData!$AJ$101),"")</f>
        <v/>
      </c>
      <c r="AK101" t="str">
        <f ca="1">IFERROR(IF(0=LEN(ReferenceData!$AK$101),"",ReferenceData!$AK$101),"")</f>
        <v/>
      </c>
      <c r="AL101" t="str">
        <f ca="1">IFERROR(IF(0=LEN(ReferenceData!$AL$101),"",ReferenceData!$AL$101),"")</f>
        <v/>
      </c>
      <c r="AM101" t="str">
        <f ca="1">IFERROR(IF(0=LEN(ReferenceData!$AM$101),"",ReferenceData!$AM$101),"")</f>
        <v/>
      </c>
      <c r="AN101" t="str">
        <f ca="1">IFERROR(IF(0=LEN(ReferenceData!$AN$101),"",ReferenceData!$AN$101),"")</f>
        <v/>
      </c>
      <c r="AO101" t="str">
        <f ca="1">IFERROR(IF(0=LEN(ReferenceData!$AO$101),"",ReferenceData!$AO$101),"")</f>
        <v/>
      </c>
      <c r="AP101" t="str">
        <f ca="1">IFERROR(IF(0=LEN(ReferenceData!$AP$101),"",ReferenceData!$AP$101),"")</f>
        <v/>
      </c>
      <c r="AQ101" t="str">
        <f ca="1">IFERROR(IF(0=LEN(ReferenceData!$AQ$101),"",ReferenceData!$AQ$101),"")</f>
        <v/>
      </c>
      <c r="AR101" t="str">
        <f ca="1">IFERROR(IF(0=LEN(ReferenceData!$AR$101),"",ReferenceData!$AR$101),"")</f>
        <v/>
      </c>
      <c r="AS101" t="str">
        <f ca="1">IFERROR(IF(0=LEN(ReferenceData!$AS$101),"",ReferenceData!$AS$101),"")</f>
        <v/>
      </c>
      <c r="AT101" t="str">
        <f ca="1">IFERROR(IF(0=LEN(ReferenceData!$AT$101),"",ReferenceData!$AT$101),"")</f>
        <v/>
      </c>
      <c r="AU101" t="str">
        <f ca="1">IFERROR(IF(0=LEN(ReferenceData!$AU$101),"",ReferenceData!$AU$101),"")</f>
        <v/>
      </c>
      <c r="AV101" t="str">
        <f ca="1">IFERROR(IF(0=LEN(ReferenceData!$AV$101),"",ReferenceData!$AV$101),"")</f>
        <v/>
      </c>
      <c r="AW101" t="str">
        <f ca="1">IFERROR(IF(0=LEN(ReferenceData!$AW$101),"",ReferenceData!$AW$101),"")</f>
        <v/>
      </c>
      <c r="AX101" t="str">
        <f ca="1">IFERROR(IF(0=LEN(ReferenceData!$AX$101),"",ReferenceData!$AX$101),"")</f>
        <v/>
      </c>
      <c r="AY101" t="str">
        <f ca="1">IFERROR(IF(0=LEN(ReferenceData!$AY$101),"",ReferenceData!$AY$101),"")</f>
        <v/>
      </c>
      <c r="AZ101" t="str">
        <f ca="1">IFERROR(IF(0=LEN(ReferenceData!$AZ$101),"",ReferenceData!$AZ$101),"")</f>
        <v/>
      </c>
      <c r="BA101" t="str">
        <f ca="1">IFERROR(IF(0=LEN(ReferenceData!$BA$101),"",ReferenceData!$BA$101),"")</f>
        <v/>
      </c>
      <c r="BB101" t="str">
        <f ca="1">IFERROR(IF(0=LEN(ReferenceData!$BB$101),"",ReferenceData!$BB$101),"")</f>
        <v/>
      </c>
      <c r="BC101" t="str">
        <f ca="1">IFERROR(IF(0=LEN(ReferenceData!$BC$101),"",ReferenceData!$BC$101),"")</f>
        <v/>
      </c>
      <c r="BD101" t="str">
        <f ca="1">IFERROR(IF(0=LEN(ReferenceData!$BD$101),"",ReferenceData!$BD$101),"")</f>
        <v/>
      </c>
      <c r="BE101" t="str">
        <f ca="1">IFERROR(IF(0=LEN(ReferenceData!$BE$101),"",ReferenceData!$BE$101),"")</f>
        <v/>
      </c>
      <c r="BF101" t="str">
        <f ca="1">IFERROR(IF(0=LEN(ReferenceData!$BF$101),"",ReferenceData!$BF$101),"")</f>
        <v/>
      </c>
      <c r="BG101" t="str">
        <f ca="1">IFERROR(IF(0=LEN(ReferenceData!$BG$101),"",ReferenceData!$BG$101),"")</f>
        <v/>
      </c>
      <c r="BH101" t="str">
        <f ca="1">IFERROR(IF(0=LEN(ReferenceData!$BH$101),"",ReferenceData!$BH$101),"")</f>
        <v/>
      </c>
      <c r="BI101" t="str">
        <f ca="1">IFERROR(IF(0=LEN(ReferenceData!$BI$101),"",ReferenceData!$BI$101),"")</f>
        <v/>
      </c>
      <c r="BJ101" t="str">
        <f ca="1">IFERROR(IF(0=LEN(ReferenceData!$BJ$101),"",ReferenceData!$BJ$101),"")</f>
        <v/>
      </c>
      <c r="BK101" t="str">
        <f ca="1">IFERROR(IF(0=LEN(ReferenceData!$BK$101),"",ReferenceData!$BK$101),"")</f>
        <v/>
      </c>
      <c r="BL101" t="str">
        <f ca="1">IFERROR(IF(0=LEN(ReferenceData!$BL$101),"",ReferenceData!$BL$101),"")</f>
        <v/>
      </c>
      <c r="BM101" t="str">
        <f ca="1">IFERROR(IF(0=LEN(ReferenceData!$BM$101),"",ReferenceData!$BM$101),"")</f>
        <v/>
      </c>
    </row>
    <row r="102" spans="1:65">
      <c r="A102" t="str">
        <f>IFERROR(IF(0=LEN(ReferenceData!$A$102),"",ReferenceData!$A$102),"")</f>
        <v xml:space="preserve">    HCP Inc</v>
      </c>
      <c r="B102" t="str">
        <f>IFERROR(IF(0=LEN(ReferenceData!$B$102),"",ReferenceData!$B$102),"")</f>
        <v>HCP US Equity</v>
      </c>
      <c r="C102" t="str">
        <f>IFERROR(IF(0=LEN(ReferenceData!$C$102),"",ReferenceData!$C$102),"")</f>
        <v>F0578</v>
      </c>
      <c r="D102" t="str">
        <f>IFERROR(IF(0=LEN(ReferenceData!$D$102),"",ReferenceData!$D$102),"")</f>
        <v>FUNDS_AVAILABLE_FOR_DISTRIBUTION</v>
      </c>
      <c r="E102" t="str">
        <f>IFERROR(IF(0=LEN(ReferenceData!$E$102),"",ReferenceData!$E$102),"")</f>
        <v>动态</v>
      </c>
      <c r="F102" t="str">
        <f ca="1">IFERROR(IF(0=LEN(ReferenceData!$F$102),"",ReferenceData!$F$102),"")</f>
        <v/>
      </c>
      <c r="G102">
        <f ca="1">IFERROR(IF(0=LEN(ReferenceData!$G$102),"",ReferenceData!$G$102),"")</f>
        <v>182.60300000000001</v>
      </c>
      <c r="H102">
        <f ca="1">IFERROR(IF(0=LEN(ReferenceData!$H$102),"",ReferenceData!$H$102),"")</f>
        <v>202.40700000000001</v>
      </c>
      <c r="I102">
        <f ca="1">IFERROR(IF(0=LEN(ReferenceData!$I$102),"",ReferenceData!$I$102),"")</f>
        <v>200.15700000000001</v>
      </c>
      <c r="J102">
        <f ca="1">IFERROR(IF(0=LEN(ReferenceData!$J$102),"",ReferenceData!$J$102),"")</f>
        <v>221.358</v>
      </c>
      <c r="K102">
        <f ca="1">IFERROR(IF(0=LEN(ReferenceData!$K$102),"",ReferenceData!$K$102),"")</f>
        <v>251.251</v>
      </c>
      <c r="L102">
        <f ca="1">IFERROR(IF(0=LEN(ReferenceData!$L$102),"",ReferenceData!$L$102),"")</f>
        <v>319.916</v>
      </c>
      <c r="M102">
        <f ca="1">IFERROR(IF(0=LEN(ReferenceData!$M$102),"",ReferenceData!$M$102),"")</f>
        <v>340.88799999999998</v>
      </c>
      <c r="N102">
        <f ca="1">IFERROR(IF(0=LEN(ReferenceData!$N$102),"",ReferenceData!$N$102),"")</f>
        <v>312.62099999999998</v>
      </c>
      <c r="O102">
        <f ca="1">IFERROR(IF(0=LEN(ReferenceData!$O$102),"",ReferenceData!$O$102),"")</f>
        <v>313.58800000000002</v>
      </c>
      <c r="P102">
        <f ca="1">IFERROR(IF(0=LEN(ReferenceData!$P$102),"",ReferenceData!$P$102),"")</f>
        <v>312.31099999999998</v>
      </c>
      <c r="Q102">
        <f ca="1">IFERROR(IF(0=LEN(ReferenceData!$Q$102),"",ReferenceData!$Q$102),"")</f>
        <v>322.18200000000002</v>
      </c>
      <c r="R102">
        <f ca="1">IFERROR(IF(0=LEN(ReferenceData!$R$102),"",ReferenceData!$R$102),"")</f>
        <v>319.58100000000002</v>
      </c>
      <c r="S102">
        <f ca="1">IFERROR(IF(0=LEN(ReferenceData!$S$102),"",ReferenceData!$S$102),"")</f>
        <v>308.43599999999998</v>
      </c>
      <c r="T102">
        <f ca="1">IFERROR(IF(0=LEN(ReferenceData!$T$102),"",ReferenceData!$T$102),"")</f>
        <v>300.44299999999998</v>
      </c>
      <c r="U102">
        <f ca="1">IFERROR(IF(0=LEN(ReferenceData!$U$102),"",ReferenceData!$U$102),"")</f>
        <v>284.649</v>
      </c>
      <c r="V102">
        <f ca="1">IFERROR(IF(0=LEN(ReferenceData!$V$102),"",ReferenceData!$V$102),"")</f>
        <v>290.93599999999998</v>
      </c>
      <c r="W102">
        <f ca="1">IFERROR(IF(0=LEN(ReferenceData!$W$102),"",ReferenceData!$W$102),"")</f>
        <v>360.09399999999999</v>
      </c>
      <c r="X102">
        <f ca="1">IFERROR(IF(0=LEN(ReferenceData!$X$102),"",ReferenceData!$X$102),"")</f>
        <v>311.18099999999998</v>
      </c>
      <c r="Y102">
        <f ca="1">IFERROR(IF(0=LEN(ReferenceData!$Y$102),"",ReferenceData!$Y$102),"")</f>
        <v>287.71100000000001</v>
      </c>
      <c r="Z102">
        <f ca="1">IFERROR(IF(0=LEN(ReferenceData!$Z$102),"",ReferenceData!$Z$102),"")</f>
        <v>286.70999999999998</v>
      </c>
      <c r="AA102">
        <f ca="1">IFERROR(IF(0=LEN(ReferenceData!$AA$102),"",ReferenceData!$AA$102),"")</f>
        <v>257.47199999999998</v>
      </c>
      <c r="AB102">
        <f ca="1">IFERROR(IF(0=LEN(ReferenceData!$AB$102),"",ReferenceData!$AB$102),"")</f>
        <v>239.42699999999999</v>
      </c>
      <c r="AC102">
        <f ca="1">IFERROR(IF(0=LEN(ReferenceData!$AC$102),"",ReferenceData!$AC$102),"")</f>
        <v>237.97399999999999</v>
      </c>
      <c r="AD102">
        <f ca="1">IFERROR(IF(0=LEN(ReferenceData!$AD$102),"",ReferenceData!$AD$102),"")</f>
        <v>227.44499999999999</v>
      </c>
      <c r="AE102">
        <f ca="1">IFERROR(IF(0=LEN(ReferenceData!$AE$102),"",ReferenceData!$AE$102),"")</f>
        <v>202.89</v>
      </c>
      <c r="AF102">
        <f ca="1">IFERROR(IF(0=LEN(ReferenceData!$AF$102),"",ReferenceData!$AF$102),"")</f>
        <v>219.37299999999999</v>
      </c>
      <c r="AG102">
        <f ca="1">IFERROR(IF(0=LEN(ReferenceData!$AG$102),"",ReferenceData!$AG$102),"")</f>
        <v>266.26299999999998</v>
      </c>
      <c r="AH102">
        <f ca="1">IFERROR(IF(0=LEN(ReferenceData!$AH$102),"",ReferenceData!$AH$102),"")</f>
        <v>159.58500000000001</v>
      </c>
      <c r="AI102">
        <f ca="1">IFERROR(IF(0=LEN(ReferenceData!$AI$102),"",ReferenceData!$AI$102),"")</f>
        <v>174.279</v>
      </c>
      <c r="AJ102">
        <f ca="1">IFERROR(IF(0=LEN(ReferenceData!$AJ$102),"",ReferenceData!$AJ$102),"")</f>
        <v>139.33199999999999</v>
      </c>
      <c r="AK102">
        <f ca="1">IFERROR(IF(0=LEN(ReferenceData!$AK$102),"",ReferenceData!$AK$102),"")</f>
        <v>139.71100000000001</v>
      </c>
      <c r="AL102">
        <f ca="1">IFERROR(IF(0=LEN(ReferenceData!$AL$102),"",ReferenceData!$AL$102),"")</f>
        <v>143.233</v>
      </c>
      <c r="AM102">
        <f ca="1">IFERROR(IF(0=LEN(ReferenceData!$AM$102),"",ReferenceData!$AM$102),"")</f>
        <v>139.89699999999999</v>
      </c>
      <c r="AN102">
        <f ca="1">IFERROR(IF(0=LEN(ReferenceData!$AN$102),"",ReferenceData!$AN$102),"")</f>
        <v>247.56399999999999</v>
      </c>
      <c r="AO102">
        <f ca="1">IFERROR(IF(0=LEN(ReferenceData!$AO$102),"",ReferenceData!$AO$102),"")</f>
        <v>126.461</v>
      </c>
      <c r="AP102">
        <f ca="1">IFERROR(IF(0=LEN(ReferenceData!$AP$102),"",ReferenceData!$AP$102),"")</f>
        <v>116.569</v>
      </c>
      <c r="AQ102">
        <f ca="1">IFERROR(IF(0=LEN(ReferenceData!$AQ$102),"",ReferenceData!$AQ$102),"")</f>
        <v>100.15600000000001</v>
      </c>
      <c r="AR102">
        <f ca="1">IFERROR(IF(0=LEN(ReferenceData!$AR$102),"",ReferenceData!$AR$102),"")</f>
        <v>162.22999999999999</v>
      </c>
      <c r="AS102">
        <f ca="1">IFERROR(IF(0=LEN(ReferenceData!$AS$102),"",ReferenceData!$AS$102),"")</f>
        <v>112.33199999999999</v>
      </c>
      <c r="AT102">
        <f ca="1">IFERROR(IF(0=LEN(ReferenceData!$AT$102),"",ReferenceData!$AT$102),"")</f>
        <v>116.072</v>
      </c>
      <c r="AU102">
        <f ca="1">IFERROR(IF(0=LEN(ReferenceData!$AU$102),"",ReferenceData!$AU$102),"")</f>
        <v>95.573999999999998</v>
      </c>
      <c r="AV102">
        <f ca="1">IFERROR(IF(0=LEN(ReferenceData!$AV$102),"",ReferenceData!$AV$102),"")</f>
        <v>97.274000000000001</v>
      </c>
      <c r="AW102">
        <f ca="1">IFERROR(IF(0=LEN(ReferenceData!$AW$102),"",ReferenceData!$AW$102),"")</f>
        <v>102.41177999999999</v>
      </c>
      <c r="AX102">
        <f ca="1">IFERROR(IF(0=LEN(ReferenceData!$AX$102),"",ReferenceData!$AX$102),"")</f>
        <v>97.337999999999994</v>
      </c>
      <c r="AY102">
        <f ca="1">IFERROR(IF(0=LEN(ReferenceData!$AY$102),"",ReferenceData!$AY$102),"")</f>
        <v>83.147999999999996</v>
      </c>
      <c r="AZ102">
        <f ca="1">IFERROR(IF(0=LEN(ReferenceData!$AZ$102),"",ReferenceData!$AZ$102),"")</f>
        <v>68.039090000000002</v>
      </c>
      <c r="BA102">
        <f ca="1">IFERROR(IF(0=LEN(ReferenceData!$BA$102),"",ReferenceData!$BA$102),"")</f>
        <v>63.55</v>
      </c>
      <c r="BB102">
        <f ca="1">IFERROR(IF(0=LEN(ReferenceData!$BB$102),"",ReferenceData!$BB$102),"")</f>
        <v>65.289000000000001</v>
      </c>
      <c r="BC102">
        <f ca="1">IFERROR(IF(0=LEN(ReferenceData!$BC$102),"",ReferenceData!$BC$102),"")</f>
        <v>68.177000000000007</v>
      </c>
      <c r="BD102">
        <f ca="1">IFERROR(IF(0=LEN(ReferenceData!$BD$102),"",ReferenceData!$BD$102),"")</f>
        <v>68.766999999999996</v>
      </c>
      <c r="BE102">
        <f ca="1">IFERROR(IF(0=LEN(ReferenceData!$BE$102),"",ReferenceData!$BE$102),"")</f>
        <v>5.38</v>
      </c>
      <c r="BF102">
        <f ca="1">IFERROR(IF(0=LEN(ReferenceData!$BF$102),"",ReferenceData!$BF$102),"")</f>
        <v>61.033999999999999</v>
      </c>
      <c r="BG102">
        <f ca="1">IFERROR(IF(0=LEN(ReferenceData!$BG$102),"",ReferenceData!$BG$102),"")</f>
        <v>62.793999999999997</v>
      </c>
      <c r="BH102">
        <f ca="1">IFERROR(IF(0=LEN(ReferenceData!$BH$102),"",ReferenceData!$BH$102),"")</f>
        <v>-111.976</v>
      </c>
      <c r="BI102" t="str">
        <f ca="1">IFERROR(IF(0=LEN(ReferenceData!$BI$102),"",ReferenceData!$BI$102),"")</f>
        <v/>
      </c>
      <c r="BJ102" t="str">
        <f ca="1">IFERROR(IF(0=LEN(ReferenceData!$BJ$102),"",ReferenceData!$BJ$102),"")</f>
        <v/>
      </c>
      <c r="BK102">
        <f ca="1">IFERROR(IF(0=LEN(ReferenceData!$BK$102),"",ReferenceData!$BK$102),"")</f>
        <v>64.463997000000006</v>
      </c>
      <c r="BL102">
        <f ca="1">IFERROR(IF(0=LEN(ReferenceData!$BL$102),"",ReferenceData!$BL$102),"")</f>
        <v>-93.093999999999994</v>
      </c>
      <c r="BM102">
        <f ca="1">IFERROR(IF(0=LEN(ReferenceData!$BM$102),"",ReferenceData!$BM$102),"")</f>
        <v>44.088000000000001</v>
      </c>
    </row>
    <row r="103" spans="1:65">
      <c r="A103" t="str">
        <f>IFERROR(IF(0=LEN(ReferenceData!$A$103),"",ReferenceData!$A$103),"")</f>
        <v xml:space="preserve">    Healthcare Realty Trust Inc</v>
      </c>
      <c r="B103" t="str">
        <f>IFERROR(IF(0=LEN(ReferenceData!$B$103),"",ReferenceData!$B$103),"")</f>
        <v>HR US Equity</v>
      </c>
      <c r="C103" t="str">
        <f>IFERROR(IF(0=LEN(ReferenceData!$C$103),"",ReferenceData!$C$103),"")</f>
        <v>F0578</v>
      </c>
      <c r="D103" t="str">
        <f>IFERROR(IF(0=LEN(ReferenceData!$D$103),"",ReferenceData!$D$103),"")</f>
        <v>FUNDS_AVAILABLE_FOR_DISTRIBUTION</v>
      </c>
      <c r="E103" t="str">
        <f>IFERROR(IF(0=LEN(ReferenceData!$E$103),"",ReferenceData!$E$103),"")</f>
        <v>动态</v>
      </c>
      <c r="F103" t="str">
        <f ca="1">IFERROR(IF(0=LEN(ReferenceData!$F$103),"",ReferenceData!$F$103),"")</f>
        <v/>
      </c>
      <c r="G103">
        <f ca="1">IFERROR(IF(0=LEN(ReferenceData!$G$103),"",ReferenceData!$G$103),"")</f>
        <v>34.509</v>
      </c>
      <c r="H103">
        <f ca="1">IFERROR(IF(0=LEN(ReferenceData!$H$103),"",ReferenceData!$H$103),"")</f>
        <v>37.378999999999998</v>
      </c>
      <c r="I103">
        <f ca="1">IFERROR(IF(0=LEN(ReferenceData!$I$103),"",ReferenceData!$I$103),"")</f>
        <v>37.454000000000001</v>
      </c>
      <c r="J103">
        <f ca="1">IFERROR(IF(0=LEN(ReferenceData!$J$103),"",ReferenceData!$J$103),"")</f>
        <v>37.984000000000002</v>
      </c>
      <c r="K103">
        <f ca="1">IFERROR(IF(0=LEN(ReferenceData!$K$103),"",ReferenceData!$K$103),"")</f>
        <v>37.264000000000003</v>
      </c>
      <c r="L103">
        <f ca="1">IFERROR(IF(0=LEN(ReferenceData!$L$103),"",ReferenceData!$L$103),"")</f>
        <v>45.121000000000002</v>
      </c>
      <c r="M103">
        <f ca="1">IFERROR(IF(0=LEN(ReferenceData!$M$103),"",ReferenceData!$M$103),"")</f>
        <v>44.088999999999999</v>
      </c>
      <c r="N103">
        <f ca="1">IFERROR(IF(0=LEN(ReferenceData!$N$103),"",ReferenceData!$N$103),"")</f>
        <v>41.662999999999997</v>
      </c>
      <c r="O103">
        <f ca="1">IFERROR(IF(0=LEN(ReferenceData!$O$103),"",ReferenceData!$O$103),"")</f>
        <v>34.527000000000001</v>
      </c>
      <c r="P103">
        <f ca="1">IFERROR(IF(0=LEN(ReferenceData!$P$103),"",ReferenceData!$P$103),"")</f>
        <v>40.741999999999997</v>
      </c>
      <c r="Q103">
        <f ca="1">IFERROR(IF(0=LEN(ReferenceData!$Q$103),"",ReferenceData!$Q$103),"")</f>
        <v>38.988</v>
      </c>
      <c r="R103">
        <f ca="1">IFERROR(IF(0=LEN(ReferenceData!$R$103),"",ReferenceData!$R$103),"")</f>
        <v>38.259</v>
      </c>
      <c r="S103">
        <f ca="1">IFERROR(IF(0=LEN(ReferenceData!$S$103),"",ReferenceData!$S$103),"")</f>
        <v>38.444000000000003</v>
      </c>
      <c r="T103">
        <f ca="1">IFERROR(IF(0=LEN(ReferenceData!$T$103),"",ReferenceData!$T$103),"")</f>
        <v>36.689</v>
      </c>
      <c r="U103">
        <f ca="1">IFERROR(IF(0=LEN(ReferenceData!$U$103),"",ReferenceData!$U$103),"")</f>
        <v>34.22</v>
      </c>
      <c r="V103">
        <f ca="1">IFERROR(IF(0=LEN(ReferenceData!$V$103),"",ReferenceData!$V$103),"")</f>
        <v>33.524999999999999</v>
      </c>
      <c r="W103">
        <f ca="1">IFERROR(IF(0=LEN(ReferenceData!$W$103),"",ReferenceData!$W$103),"")</f>
        <v>32.920999999999999</v>
      </c>
      <c r="X103">
        <f ca="1">IFERROR(IF(0=LEN(ReferenceData!$X$103),"",ReferenceData!$X$103),"")</f>
        <v>30.555</v>
      </c>
      <c r="Y103">
        <f ca="1">IFERROR(IF(0=LEN(ReferenceData!$Y$103),"",ReferenceData!$Y$103),"")</f>
        <v>28.149000000000001</v>
      </c>
      <c r="Z103">
        <f ca="1">IFERROR(IF(0=LEN(ReferenceData!$Z$103),"",ReferenceData!$Z$103),"")</f>
        <v>29.704999999999998</v>
      </c>
      <c r="AA103">
        <f ca="1">IFERROR(IF(0=LEN(ReferenceData!$AA$103),"",ReferenceData!$AA$103),"")</f>
        <v>28.856999999999999</v>
      </c>
      <c r="AB103">
        <f ca="1">IFERROR(IF(0=LEN(ReferenceData!$AB$103),"",ReferenceData!$AB$103),"")</f>
        <v>26.681000000000001</v>
      </c>
      <c r="AC103">
        <f ca="1">IFERROR(IF(0=LEN(ReferenceData!$AC$103),"",ReferenceData!$AC$103),"")</f>
        <v>27.474</v>
      </c>
      <c r="AD103">
        <f ca="1">IFERROR(IF(0=LEN(ReferenceData!$AD$103),"",ReferenceData!$AD$103),"")</f>
        <v>28.344999999999999</v>
      </c>
      <c r="AE103">
        <f ca="1">IFERROR(IF(0=LEN(ReferenceData!$AE$103),"",ReferenceData!$AE$103),"")</f>
        <v>25.984999999999999</v>
      </c>
      <c r="AF103">
        <f ca="1">IFERROR(IF(0=LEN(ReferenceData!$AF$103),"",ReferenceData!$AF$103),"")</f>
        <v>23.22</v>
      </c>
      <c r="AG103">
        <f ca="1">IFERROR(IF(0=LEN(ReferenceData!$AG$103),"",ReferenceData!$AG$103),"")</f>
        <v>23.082000000000001</v>
      </c>
      <c r="AH103">
        <f ca="1">IFERROR(IF(0=LEN(ReferenceData!$AH$103),"",ReferenceData!$AH$103),"")</f>
        <v>15.317</v>
      </c>
      <c r="AI103">
        <f ca="1">IFERROR(IF(0=LEN(ReferenceData!$AI$103),"",ReferenceData!$AI$103),"")</f>
        <v>19.939</v>
      </c>
      <c r="AJ103">
        <f ca="1">IFERROR(IF(0=LEN(ReferenceData!$AJ$103),"",ReferenceData!$AJ$103),"")</f>
        <v>12.519</v>
      </c>
      <c r="AK103">
        <f ca="1">IFERROR(IF(0=LEN(ReferenceData!$AK$103),"",ReferenceData!$AK$103),"")</f>
        <v>22.95</v>
      </c>
      <c r="AL103">
        <f ca="1">IFERROR(IF(0=LEN(ReferenceData!$AL$103),"",ReferenceData!$AL$103),"")</f>
        <v>20.465</v>
      </c>
      <c r="AM103">
        <f ca="1">IFERROR(IF(0=LEN(ReferenceData!$AM$103),"",ReferenceData!$AM$103),"")</f>
        <v>21.334</v>
      </c>
      <c r="AN103">
        <f ca="1">IFERROR(IF(0=LEN(ReferenceData!$AN$103),"",ReferenceData!$AN$103),"")</f>
        <v>26.806000000000001</v>
      </c>
      <c r="AO103">
        <f ca="1">IFERROR(IF(0=LEN(ReferenceData!$AO$103),"",ReferenceData!$AO$103),"")</f>
        <v>27.024999999999999</v>
      </c>
      <c r="AP103">
        <f ca="1">IFERROR(IF(0=LEN(ReferenceData!$AP$103),"",ReferenceData!$AP$103),"")</f>
        <v>23.725999999999999</v>
      </c>
      <c r="AQ103">
        <f ca="1">IFERROR(IF(0=LEN(ReferenceData!$AQ$103),"",ReferenceData!$AQ$103),"")</f>
        <v>28.966000000000001</v>
      </c>
      <c r="AR103">
        <f ca="1">IFERROR(IF(0=LEN(ReferenceData!$AR$103),"",ReferenceData!$AR$103),"")</f>
        <v>20.991</v>
      </c>
      <c r="AS103">
        <f ca="1">IFERROR(IF(0=LEN(ReferenceData!$AS$103),"",ReferenceData!$AS$103),"")</f>
        <v>20.617999999999999</v>
      </c>
      <c r="AT103">
        <f ca="1">IFERROR(IF(0=LEN(ReferenceData!$AT$103),"",ReferenceData!$AT$103),"")</f>
        <v>21.172999999999998</v>
      </c>
      <c r="AU103">
        <f ca="1">IFERROR(IF(0=LEN(ReferenceData!$AU$103),"",ReferenceData!$AU$103),"")</f>
        <v>20.472999999999999</v>
      </c>
      <c r="AV103">
        <f ca="1">IFERROR(IF(0=LEN(ReferenceData!$AV$103),"",ReferenceData!$AV$103),"")</f>
        <v>19.559999999999999</v>
      </c>
      <c r="AW103">
        <f ca="1">IFERROR(IF(0=LEN(ReferenceData!$AW$103),"",ReferenceData!$AW$103),"")</f>
        <v>20.097999999999999</v>
      </c>
      <c r="AX103">
        <f ca="1">IFERROR(IF(0=LEN(ReferenceData!$AX$103),"",ReferenceData!$AX$103),"")</f>
        <v>25.623999999999999</v>
      </c>
      <c r="AY103">
        <f ca="1">IFERROR(IF(0=LEN(ReferenceData!$AY$103),"",ReferenceData!$AY$103),"")</f>
        <v>27.548999999999999</v>
      </c>
      <c r="AZ103">
        <f ca="1">IFERROR(IF(0=LEN(ReferenceData!$AZ$103),"",ReferenceData!$AZ$103),"")</f>
        <v>28.004000000000001</v>
      </c>
      <c r="BA103">
        <f ca="1">IFERROR(IF(0=LEN(ReferenceData!$BA$103),"",ReferenceData!$BA$103),"")</f>
        <v>27.65</v>
      </c>
      <c r="BB103">
        <f ca="1">IFERROR(IF(0=LEN(ReferenceData!$BB$103),"",ReferenceData!$BB$103),"")</f>
        <v>25.905000000000001</v>
      </c>
      <c r="BC103">
        <f ca="1">IFERROR(IF(0=LEN(ReferenceData!$BC$103),"",ReferenceData!$BC$103),"")</f>
        <v>26.722000000000001</v>
      </c>
      <c r="BD103">
        <f ca="1">IFERROR(IF(0=LEN(ReferenceData!$BD$103),"",ReferenceData!$BD$103),"")</f>
        <v>26.56</v>
      </c>
      <c r="BE103">
        <f ca="1">IFERROR(IF(0=LEN(ReferenceData!$BE$103),"",ReferenceData!$BE$103),"")</f>
        <v>25.251999999999999</v>
      </c>
      <c r="BF103">
        <f ca="1">IFERROR(IF(0=LEN(ReferenceData!$BF$103),"",ReferenceData!$BF$103),"")</f>
        <v>29.408999999999999</v>
      </c>
      <c r="BG103">
        <f ca="1">IFERROR(IF(0=LEN(ReferenceData!$BG$103),"",ReferenceData!$BG$103),"")</f>
        <v>20.742000000000001</v>
      </c>
      <c r="BH103">
        <f ca="1">IFERROR(IF(0=LEN(ReferenceData!$BH$103),"",ReferenceData!$BH$103),"")</f>
        <v>29.675000000000001</v>
      </c>
      <c r="BI103">
        <f ca="1">IFERROR(IF(0=LEN(ReferenceData!$BI$103),"",ReferenceData!$BI$103),"")</f>
        <v>27.635999999999999</v>
      </c>
      <c r="BJ103">
        <f ca="1">IFERROR(IF(0=LEN(ReferenceData!$BJ$103),"",ReferenceData!$BJ$103),"")</f>
        <v>26.055</v>
      </c>
      <c r="BK103">
        <f ca="1">IFERROR(IF(0=LEN(ReferenceData!$BK$103),"",ReferenceData!$BK$103),"")</f>
        <v>18.768000000000001</v>
      </c>
      <c r="BL103">
        <f ca="1">IFERROR(IF(0=LEN(ReferenceData!$BL$103),"",ReferenceData!$BL$103),"")</f>
        <v>28.218000409999998</v>
      </c>
      <c r="BM103">
        <f ca="1">IFERROR(IF(0=LEN(ReferenceData!$BM$103),"",ReferenceData!$BM$103),"")</f>
        <v>28.18300056</v>
      </c>
    </row>
    <row r="104" spans="1:65">
      <c r="A104" t="str">
        <f>IFERROR(IF(0=LEN(ReferenceData!$A$104),"",ReferenceData!$A$104),"")</f>
        <v xml:space="preserve">    Healthcare Trust of America In</v>
      </c>
      <c r="B104" t="str">
        <f>IFERROR(IF(0=LEN(ReferenceData!$B$104),"",ReferenceData!$B$104),"")</f>
        <v>HTA US Equity</v>
      </c>
      <c r="C104" t="str">
        <f>IFERROR(IF(0=LEN(ReferenceData!$C$104),"",ReferenceData!$C$104),"")</f>
        <v>F0578</v>
      </c>
      <c r="D104" t="str">
        <f>IFERROR(IF(0=LEN(ReferenceData!$D$104),"",ReferenceData!$D$104),"")</f>
        <v>FUNDS_AVAILABLE_FOR_DISTRIBUTION</v>
      </c>
      <c r="E104" t="str">
        <f>IFERROR(IF(0=LEN(ReferenceData!$E$104),"",ReferenceData!$E$104),"")</f>
        <v>动态</v>
      </c>
      <c r="F104" t="str">
        <f ca="1">IFERROR(IF(0=LEN(ReferenceData!$F$104),"",ReferenceData!$F$104),"")</f>
        <v/>
      </c>
      <c r="G104">
        <f ca="1">IFERROR(IF(0=LEN(ReferenceData!$G$104),"",ReferenceData!$G$104),"")</f>
        <v>72.61</v>
      </c>
      <c r="H104">
        <f ca="1">IFERROR(IF(0=LEN(ReferenceData!$H$104),"",ReferenceData!$H$104),"")</f>
        <v>74.766999999999996</v>
      </c>
      <c r="I104">
        <f ca="1">IFERROR(IF(0=LEN(ReferenceData!$I$104),"",ReferenceData!$I$104),"")</f>
        <v>60.618000000000002</v>
      </c>
      <c r="J104">
        <f ca="1">IFERROR(IF(0=LEN(ReferenceData!$J$104),"",ReferenceData!$J$104),"")</f>
        <v>52.581000000000003</v>
      </c>
      <c r="K104">
        <f ca="1">IFERROR(IF(0=LEN(ReferenceData!$K$104),"",ReferenceData!$K$104),"")</f>
        <v>52.197000000000003</v>
      </c>
      <c r="L104">
        <f ca="1">IFERROR(IF(0=LEN(ReferenceData!$L$104),"",ReferenceData!$L$104),"")</f>
        <v>49.222000000000001</v>
      </c>
      <c r="M104">
        <f ca="1">IFERROR(IF(0=LEN(ReferenceData!$M$104),"",ReferenceData!$M$104),"")</f>
        <v>50.061</v>
      </c>
      <c r="N104">
        <f ca="1">IFERROR(IF(0=LEN(ReferenceData!$N$104),"",ReferenceData!$N$104),"")</f>
        <v>48.295999999999999</v>
      </c>
      <c r="O104">
        <f ca="1">IFERROR(IF(0=LEN(ReferenceData!$O$104),"",ReferenceData!$O$104),"")</f>
        <v>44.889000000000003</v>
      </c>
      <c r="P104">
        <f ca="1">IFERROR(IF(0=LEN(ReferenceData!$P$104),"",ReferenceData!$P$104),"")</f>
        <v>44.683</v>
      </c>
      <c r="Q104">
        <f ca="1">IFERROR(IF(0=LEN(ReferenceData!$Q$104),"",ReferenceData!$Q$104),"")</f>
        <v>44.445999999999998</v>
      </c>
      <c r="R104">
        <f ca="1">IFERROR(IF(0=LEN(ReferenceData!$R$104),"",ReferenceData!$R$104),"")</f>
        <v>44.305999999999997</v>
      </c>
      <c r="S104">
        <f ca="1">IFERROR(IF(0=LEN(ReferenceData!$S$104),"",ReferenceData!$S$104),"")</f>
        <v>39.972000000000001</v>
      </c>
      <c r="T104">
        <f ca="1">IFERROR(IF(0=LEN(ReferenceData!$T$104),"",ReferenceData!$T$104),"")</f>
        <v>37.164000000000001</v>
      </c>
      <c r="U104">
        <f ca="1">IFERROR(IF(0=LEN(ReferenceData!$U$104),"",ReferenceData!$U$104),"")</f>
        <v>39.284999999999997</v>
      </c>
      <c r="V104">
        <f ca="1">IFERROR(IF(0=LEN(ReferenceData!$V$104),"",ReferenceData!$V$104),"")</f>
        <v>38.726999999999997</v>
      </c>
      <c r="W104">
        <f ca="1">IFERROR(IF(0=LEN(ReferenceData!$W$104),"",ReferenceData!$W$104),"")</f>
        <v>34.927999999999997</v>
      </c>
      <c r="X104">
        <f ca="1">IFERROR(IF(0=LEN(ReferenceData!$X$104),"",ReferenceData!$X$104),"")</f>
        <v>33.777000000000001</v>
      </c>
      <c r="Y104">
        <f ca="1">IFERROR(IF(0=LEN(ReferenceData!$Y$104),"",ReferenceData!$Y$104),"")</f>
        <v>32.002000000000002</v>
      </c>
      <c r="Z104">
        <f ca="1">IFERROR(IF(0=LEN(ReferenceData!$Z$104),"",ReferenceData!$Z$104),"")</f>
        <v>31.544</v>
      </c>
      <c r="AA104">
        <f ca="1">IFERROR(IF(0=LEN(ReferenceData!$AA$104),"",ReferenceData!$AA$104),"")</f>
        <v>30.390999999999998</v>
      </c>
      <c r="AB104">
        <f ca="1">IFERROR(IF(0=LEN(ReferenceData!$AB$104),"",ReferenceData!$AB$104),"")</f>
        <v>29.044</v>
      </c>
      <c r="AC104">
        <f ca="1">IFERROR(IF(0=LEN(ReferenceData!$AC$104),"",ReferenceData!$AC$104),"")</f>
        <v>14.49</v>
      </c>
      <c r="AD104">
        <f ca="1">IFERROR(IF(0=LEN(ReferenceData!$AD$104),"",ReferenceData!$AD$104),"")</f>
        <v>27.843</v>
      </c>
      <c r="AE104">
        <f ca="1">IFERROR(IF(0=LEN(ReferenceData!$AE$104),"",ReferenceData!$AE$104),"")</f>
        <v>19.696999999999999</v>
      </c>
      <c r="AF104">
        <f ca="1">IFERROR(IF(0=LEN(ReferenceData!$AF$104),"",ReferenceData!$AF$104),"")</f>
        <v>24.478999999999999</v>
      </c>
      <c r="AG104">
        <f ca="1">IFERROR(IF(0=LEN(ReferenceData!$AG$104),"",ReferenceData!$AG$104),"")</f>
        <v>25.327999999999999</v>
      </c>
      <c r="AH104">
        <f ca="1">IFERROR(IF(0=LEN(ReferenceData!$AH$104),"",ReferenceData!$AH$104),"")</f>
        <v>28.190999999999999</v>
      </c>
      <c r="AI104">
        <f ca="1">IFERROR(IF(0=LEN(ReferenceData!$AI$104),"",ReferenceData!$AI$104),"")</f>
        <v>24.44</v>
      </c>
      <c r="AJ104">
        <f ca="1">IFERROR(IF(0=LEN(ReferenceData!$AJ$104),"",ReferenceData!$AJ$104),"")</f>
        <v>21.39</v>
      </c>
      <c r="AK104">
        <f ca="1">IFERROR(IF(0=LEN(ReferenceData!$AK$104),"",ReferenceData!$AK$104),"")</f>
        <v>22.259</v>
      </c>
      <c r="AL104">
        <f ca="1">IFERROR(IF(0=LEN(ReferenceData!$AL$104),"",ReferenceData!$AL$104),"")</f>
        <v>20.132999999999999</v>
      </c>
      <c r="AM104" t="str">
        <f ca="1">IFERROR(IF(0=LEN(ReferenceData!$AM$104),"",ReferenceData!$AM$104),"")</f>
        <v/>
      </c>
      <c r="AN104" t="str">
        <f ca="1">IFERROR(IF(0=LEN(ReferenceData!$AN$104),"",ReferenceData!$AN$104),"")</f>
        <v/>
      </c>
      <c r="AO104" t="str">
        <f ca="1">IFERROR(IF(0=LEN(ReferenceData!$AO$104),"",ReferenceData!$AO$104),"")</f>
        <v/>
      </c>
      <c r="AP104" t="str">
        <f ca="1">IFERROR(IF(0=LEN(ReferenceData!$AP$104),"",ReferenceData!$AP$104),"")</f>
        <v/>
      </c>
      <c r="AQ104" t="str">
        <f ca="1">IFERROR(IF(0=LEN(ReferenceData!$AQ$104),"",ReferenceData!$AQ$104),"")</f>
        <v/>
      </c>
      <c r="AR104" t="str">
        <f ca="1">IFERROR(IF(0=LEN(ReferenceData!$AR$104),"",ReferenceData!$AR$104),"")</f>
        <v/>
      </c>
      <c r="AS104" t="str">
        <f ca="1">IFERROR(IF(0=LEN(ReferenceData!$AS$104),"",ReferenceData!$AS$104),"")</f>
        <v/>
      </c>
      <c r="AT104" t="str">
        <f ca="1">IFERROR(IF(0=LEN(ReferenceData!$AT$104),"",ReferenceData!$AT$104),"")</f>
        <v/>
      </c>
      <c r="AU104" t="str">
        <f ca="1">IFERROR(IF(0=LEN(ReferenceData!$AU$104),"",ReferenceData!$AU$104),"")</f>
        <v/>
      </c>
      <c r="AV104" t="str">
        <f ca="1">IFERROR(IF(0=LEN(ReferenceData!$AV$104),"",ReferenceData!$AV$104),"")</f>
        <v/>
      </c>
      <c r="AW104" t="str">
        <f ca="1">IFERROR(IF(0=LEN(ReferenceData!$AW$104),"",ReferenceData!$AW$104),"")</f>
        <v/>
      </c>
      <c r="AX104" t="str">
        <f ca="1">IFERROR(IF(0=LEN(ReferenceData!$AX$104),"",ReferenceData!$AX$104),"")</f>
        <v/>
      </c>
      <c r="AY104" t="str">
        <f ca="1">IFERROR(IF(0=LEN(ReferenceData!$AY$104),"",ReferenceData!$AY$104),"")</f>
        <v/>
      </c>
      <c r="AZ104" t="str">
        <f ca="1">IFERROR(IF(0=LEN(ReferenceData!$AZ$104),"",ReferenceData!$AZ$104),"")</f>
        <v/>
      </c>
      <c r="BA104" t="str">
        <f ca="1">IFERROR(IF(0=LEN(ReferenceData!$BA$104),"",ReferenceData!$BA$104),"")</f>
        <v/>
      </c>
      <c r="BB104" t="str">
        <f ca="1">IFERROR(IF(0=LEN(ReferenceData!$BB$104),"",ReferenceData!$BB$104),"")</f>
        <v/>
      </c>
      <c r="BC104" t="str">
        <f ca="1">IFERROR(IF(0=LEN(ReferenceData!$BC$104),"",ReferenceData!$BC$104),"")</f>
        <v/>
      </c>
      <c r="BD104" t="str">
        <f ca="1">IFERROR(IF(0=LEN(ReferenceData!$BD$104),"",ReferenceData!$BD$104),"")</f>
        <v/>
      </c>
      <c r="BE104" t="str">
        <f ca="1">IFERROR(IF(0=LEN(ReferenceData!$BE$104),"",ReferenceData!$BE$104),"")</f>
        <v/>
      </c>
      <c r="BF104" t="str">
        <f ca="1">IFERROR(IF(0=LEN(ReferenceData!$BF$104),"",ReferenceData!$BF$104),"")</f>
        <v/>
      </c>
      <c r="BG104" t="str">
        <f ca="1">IFERROR(IF(0=LEN(ReferenceData!$BG$104),"",ReferenceData!$BG$104),"")</f>
        <v/>
      </c>
      <c r="BH104" t="str">
        <f ca="1">IFERROR(IF(0=LEN(ReferenceData!$BH$104),"",ReferenceData!$BH$104),"")</f>
        <v/>
      </c>
      <c r="BI104" t="str">
        <f ca="1">IFERROR(IF(0=LEN(ReferenceData!$BI$104),"",ReferenceData!$BI$104),"")</f>
        <v/>
      </c>
      <c r="BJ104" t="str">
        <f ca="1">IFERROR(IF(0=LEN(ReferenceData!$BJ$104),"",ReferenceData!$BJ$104),"")</f>
        <v/>
      </c>
      <c r="BK104" t="str">
        <f ca="1">IFERROR(IF(0=LEN(ReferenceData!$BK$104),"",ReferenceData!$BK$104),"")</f>
        <v/>
      </c>
      <c r="BL104" t="str">
        <f ca="1">IFERROR(IF(0=LEN(ReferenceData!$BL$104),"",ReferenceData!$BL$104),"")</f>
        <v/>
      </c>
      <c r="BM104" t="str">
        <f ca="1">IFERROR(IF(0=LEN(ReferenceData!$BM$104),"",ReferenceData!$BM$104),"")</f>
        <v/>
      </c>
    </row>
    <row r="105" spans="1:65">
      <c r="A105" t="str">
        <f>IFERROR(IF(0=LEN(ReferenceData!$A$105),"",ReferenceData!$A$105),"")</f>
        <v xml:space="preserve">    Medical Properties Trust Inc</v>
      </c>
      <c r="B105" t="str">
        <f>IFERROR(IF(0=LEN(ReferenceData!$B$105),"",ReferenceData!$B$105),"")</f>
        <v>MPW US Equity</v>
      </c>
      <c r="C105" t="str">
        <f>IFERROR(IF(0=LEN(ReferenceData!$C$105),"",ReferenceData!$C$105),"")</f>
        <v>F0578</v>
      </c>
      <c r="D105" t="str">
        <f>IFERROR(IF(0=LEN(ReferenceData!$D$105),"",ReferenceData!$D$105),"")</f>
        <v>FUNDS_AVAILABLE_FOR_DISTRIBUTION</v>
      </c>
      <c r="E105" t="str">
        <f>IFERROR(IF(0=LEN(ReferenceData!$E$105),"",ReferenceData!$E$105),"")</f>
        <v>动态</v>
      </c>
      <c r="F105" t="str">
        <f ca="1">IFERROR(IF(0=LEN(ReferenceData!$F$105),"",ReferenceData!$F$105),"")</f>
        <v/>
      </c>
      <c r="G105">
        <f ca="1">IFERROR(IF(0=LEN(ReferenceData!$G$105),"",ReferenceData!$G$105),"")</f>
        <v>112.49299999999999</v>
      </c>
      <c r="H105">
        <f ca="1">IFERROR(IF(0=LEN(ReferenceData!$H$105),"",ReferenceData!$H$105),"")</f>
        <v>103.773</v>
      </c>
      <c r="I105">
        <f ca="1">IFERROR(IF(0=LEN(ReferenceData!$I$105),"",ReferenceData!$I$105),"")</f>
        <v>98.578999999999994</v>
      </c>
      <c r="J105">
        <f ca="1">IFERROR(IF(0=LEN(ReferenceData!$J$105),"",ReferenceData!$J$105),"")</f>
        <v>93.028000000000006</v>
      </c>
      <c r="K105">
        <f ca="1">IFERROR(IF(0=LEN(ReferenceData!$K$105),"",ReferenceData!$K$105),"")</f>
        <v>91.33</v>
      </c>
      <c r="L105">
        <f ca="1">IFERROR(IF(0=LEN(ReferenceData!$L$105),"",ReferenceData!$L$105),"")</f>
        <v>67.397999999999996</v>
      </c>
      <c r="M105">
        <f ca="1">IFERROR(IF(0=LEN(ReferenceData!$M$105),"",ReferenceData!$M$105),"")</f>
        <v>67.900000000000006</v>
      </c>
      <c r="N105">
        <f ca="1">IFERROR(IF(0=LEN(ReferenceData!$N$105),"",ReferenceData!$N$105),"")</f>
        <v>75.852999999999994</v>
      </c>
      <c r="O105">
        <f ca="1">IFERROR(IF(0=LEN(ReferenceData!$O$105),"",ReferenceData!$O$105),"")</f>
        <v>75.418000000000006</v>
      </c>
      <c r="P105">
        <f ca="1">IFERROR(IF(0=LEN(ReferenceData!$P$105),"",ReferenceData!$P$105),"")</f>
        <v>66.394999999999996</v>
      </c>
      <c r="Q105">
        <f ca="1">IFERROR(IF(0=LEN(ReferenceData!$Q$105),"",ReferenceData!$Q$105),"")</f>
        <v>59.686</v>
      </c>
      <c r="R105">
        <f ca="1">IFERROR(IF(0=LEN(ReferenceData!$R$105),"",ReferenceData!$R$105),"")</f>
        <v>54.212000000000003</v>
      </c>
      <c r="S105">
        <f ca="1">IFERROR(IF(0=LEN(ReferenceData!$S$105),"",ReferenceData!$S$105),"")</f>
        <v>45.078161999999999</v>
      </c>
      <c r="T105">
        <f ca="1">IFERROR(IF(0=LEN(ReferenceData!$T$105),"",ReferenceData!$T$105),"")</f>
        <v>42.626106999999998</v>
      </c>
      <c r="U105">
        <f ca="1">IFERROR(IF(0=LEN(ReferenceData!$U$105),"",ReferenceData!$U$105),"")</f>
        <v>42.588611</v>
      </c>
      <c r="V105">
        <f ca="1">IFERROR(IF(0=LEN(ReferenceData!$V$105),"",ReferenceData!$V$105),"")</f>
        <v>40.769264999999997</v>
      </c>
      <c r="W105">
        <f ca="1">IFERROR(IF(0=LEN(ReferenceData!$W$105),"",ReferenceData!$W$105),"")</f>
        <v>36.842419999999997</v>
      </c>
      <c r="X105">
        <f ca="1">IFERROR(IF(0=LEN(ReferenceData!$X$105),"",ReferenceData!$X$105),"")</f>
        <v>36.375793000000002</v>
      </c>
      <c r="Y105">
        <f ca="1">IFERROR(IF(0=LEN(ReferenceData!$Y$105),"",ReferenceData!$Y$105),"")</f>
        <v>34.749440999999997</v>
      </c>
      <c r="Z105">
        <f ca="1">IFERROR(IF(0=LEN(ReferenceData!$Z$105),"",ReferenceData!$Z$105),"")</f>
        <v>33.423959000000004</v>
      </c>
      <c r="AA105">
        <f ca="1">IFERROR(IF(0=LEN(ReferenceData!$AA$105),"",ReferenceData!$AA$105),"")</f>
        <v>32.740788000000002</v>
      </c>
      <c r="AB105">
        <f ca="1">IFERROR(IF(0=LEN(ReferenceData!$AB$105),"",ReferenceData!$AB$105),"")</f>
        <v>31.969252000000001</v>
      </c>
      <c r="AC105">
        <f ca="1">IFERROR(IF(0=LEN(ReferenceData!$AC$105),"",ReferenceData!$AC$105),"")</f>
        <v>29.701899999999998</v>
      </c>
      <c r="AD105">
        <f ca="1">IFERROR(IF(0=LEN(ReferenceData!$AD$105),"",ReferenceData!$AD$105),"")</f>
        <v>23.163142000000001</v>
      </c>
      <c r="AE105">
        <f ca="1">IFERROR(IF(0=LEN(ReferenceData!$AE$105),"",ReferenceData!$AE$105),"")</f>
        <v>24.280626999999999</v>
      </c>
      <c r="AF105">
        <f ca="1">IFERROR(IF(0=LEN(ReferenceData!$AF$105),"",ReferenceData!$AF$105),"")</f>
        <v>19.847933000000001</v>
      </c>
      <c r="AG105">
        <f ca="1">IFERROR(IF(0=LEN(ReferenceData!$AG$105),"",ReferenceData!$AG$105),"")</f>
        <v>17.782924999999999</v>
      </c>
      <c r="AH105">
        <f ca="1">IFERROR(IF(0=LEN(ReferenceData!$AH$105),"",ReferenceData!$AH$105),"")</f>
        <v>21.181961999999999</v>
      </c>
      <c r="AI105">
        <f ca="1">IFERROR(IF(0=LEN(ReferenceData!$AI$105),"",ReferenceData!$AI$105),"")</f>
        <v>18.632942</v>
      </c>
      <c r="AJ105">
        <f ca="1">IFERROR(IF(0=LEN(ReferenceData!$AJ$105),"",ReferenceData!$AJ$105),"")</f>
        <v>17.310105</v>
      </c>
      <c r="AK105">
        <f ca="1">IFERROR(IF(0=LEN(ReferenceData!$AK$105),"",ReferenceData!$AK$105),"")</f>
        <v>28.628176</v>
      </c>
      <c r="AL105">
        <f ca="1">IFERROR(IF(0=LEN(ReferenceData!$AL$105),"",ReferenceData!$AL$105),"")</f>
        <v>16.95234</v>
      </c>
      <c r="AM105">
        <f ca="1">IFERROR(IF(0=LEN(ReferenceData!$AM$105),"",ReferenceData!$AM$105),"")</f>
        <v>13.297698</v>
      </c>
      <c r="AN105">
        <f ca="1">IFERROR(IF(0=LEN(ReferenceData!$AN$105),"",ReferenceData!$AN$105),"")</f>
        <v>16.082445</v>
      </c>
      <c r="AO105">
        <f ca="1">IFERROR(IF(0=LEN(ReferenceData!$AO$105),"",ReferenceData!$AO$105),"")</f>
        <v>16.226143</v>
      </c>
      <c r="AP105">
        <f ca="1">IFERROR(IF(0=LEN(ReferenceData!$AP$105),"",ReferenceData!$AP$105),"")</f>
        <v>18.444210000000002</v>
      </c>
      <c r="AQ105">
        <f ca="1">IFERROR(IF(0=LEN(ReferenceData!$AQ$105),"",ReferenceData!$AQ$105),"")</f>
        <v>16.533187999999999</v>
      </c>
      <c r="AR105">
        <f ca="1">IFERROR(IF(0=LEN(ReferenceData!$AR$105),"",ReferenceData!$AR$105),"")</f>
        <v>20.223890999999998</v>
      </c>
      <c r="AS105">
        <f ca="1">IFERROR(IF(0=LEN(ReferenceData!$AS$105),"",ReferenceData!$AS$105),"")</f>
        <v>24.634741000000002</v>
      </c>
      <c r="AT105">
        <f ca="1">IFERROR(IF(0=LEN(ReferenceData!$AT$105),"",ReferenceData!$AT$105),"")</f>
        <v>16.511133999999998</v>
      </c>
      <c r="AU105">
        <f ca="1">IFERROR(IF(0=LEN(ReferenceData!$AU$105),"",ReferenceData!$AU$105),"")</f>
        <v>11.813859000000001</v>
      </c>
      <c r="AV105">
        <f ca="1">IFERROR(IF(0=LEN(ReferenceData!$AV$105),"",ReferenceData!$AV$105),"")</f>
        <v>12.743684</v>
      </c>
      <c r="AW105">
        <f ca="1">IFERROR(IF(0=LEN(ReferenceData!$AW$105),"",ReferenceData!$AW$105),"")</f>
        <v>11.730346000000001</v>
      </c>
      <c r="AX105">
        <f ca="1">IFERROR(IF(0=LEN(ReferenceData!$AX$105),"",ReferenceData!$AX$105),"")</f>
        <v>9.1833679999999998</v>
      </c>
      <c r="AY105">
        <f ca="1">IFERROR(IF(0=LEN(ReferenceData!$AY$105),"",ReferenceData!$AY$105),"")</f>
        <v>9.4575270000000007</v>
      </c>
      <c r="AZ105">
        <f ca="1">IFERROR(IF(0=LEN(ReferenceData!$AZ$105),"",ReferenceData!$AZ$105),"")</f>
        <v>9.7486669999999993</v>
      </c>
      <c r="BA105">
        <f ca="1">IFERROR(IF(0=LEN(ReferenceData!$BA$105),"",ReferenceData!$BA$105),"")</f>
        <v>9.3285590000000003</v>
      </c>
      <c r="BB105">
        <f ca="1">IFERROR(IF(0=LEN(ReferenceData!$BB$105),"",ReferenceData!$BB$105),"")</f>
        <v>8.7162729999999993</v>
      </c>
      <c r="BC105">
        <f ca="1">IFERROR(IF(0=LEN(ReferenceData!$BC$105),"",ReferenceData!$BC$105),"")</f>
        <v>7.6404519999999998</v>
      </c>
      <c r="BD105">
        <f ca="1">IFERROR(IF(0=LEN(ReferenceData!$BD$105),"",ReferenceData!$BD$105),"")</f>
        <v>6.4264780000000004</v>
      </c>
      <c r="BE105">
        <f ca="1">IFERROR(IF(0=LEN(ReferenceData!$BE$105),"",ReferenceData!$BE$105),"")</f>
        <v>5.3541479110000001</v>
      </c>
      <c r="BF105">
        <f ca="1">IFERROR(IF(0=LEN(ReferenceData!$BF$105),"",ReferenceData!$BF$105),"")</f>
        <v>4.4019999500000004</v>
      </c>
      <c r="BG105" t="str">
        <f ca="1">IFERROR(IF(0=LEN(ReferenceData!$BG$105),"",ReferenceData!$BG$105),"")</f>
        <v/>
      </c>
      <c r="BH105" t="str">
        <f ca="1">IFERROR(IF(0=LEN(ReferenceData!$BH$105),"",ReferenceData!$BH$105),"")</f>
        <v/>
      </c>
      <c r="BI105" t="str">
        <f ca="1">IFERROR(IF(0=LEN(ReferenceData!$BI$105),"",ReferenceData!$BI$105),"")</f>
        <v/>
      </c>
      <c r="BJ105" t="str">
        <f ca="1">IFERROR(IF(0=LEN(ReferenceData!$BJ$105),"",ReferenceData!$BJ$105),"")</f>
        <v/>
      </c>
      <c r="BK105" t="str">
        <f ca="1">IFERROR(IF(0=LEN(ReferenceData!$BK$105),"",ReferenceData!$BK$105),"")</f>
        <v/>
      </c>
      <c r="BL105" t="str">
        <f ca="1">IFERROR(IF(0=LEN(ReferenceData!$BL$105),"",ReferenceData!$BL$105),"")</f>
        <v/>
      </c>
      <c r="BM105" t="str">
        <f ca="1">IFERROR(IF(0=LEN(ReferenceData!$BM$105),"",ReferenceData!$BM$105),"")</f>
        <v/>
      </c>
    </row>
    <row r="106" spans="1:65">
      <c r="A106" t="str">
        <f>IFERROR(IF(0=LEN(ReferenceData!$A$106),"",ReferenceData!$A$106),"")</f>
        <v xml:space="preserve">    Omega Healthcare Investors Inc</v>
      </c>
      <c r="B106" t="str">
        <f>IFERROR(IF(0=LEN(ReferenceData!$B$106),"",ReferenceData!$B$106),"")</f>
        <v>OHI US Equity</v>
      </c>
      <c r="C106" t="str">
        <f>IFERROR(IF(0=LEN(ReferenceData!$C$106),"",ReferenceData!$C$106),"")</f>
        <v>F0578</v>
      </c>
      <c r="D106" t="str">
        <f>IFERROR(IF(0=LEN(ReferenceData!$D$106),"",ReferenceData!$D$106),"")</f>
        <v>FUNDS_AVAILABLE_FOR_DISTRIBUTION</v>
      </c>
      <c r="E106" t="str">
        <f>IFERROR(IF(0=LEN(ReferenceData!$E$106),"",ReferenceData!$E$106),"")</f>
        <v>动态</v>
      </c>
      <c r="F106" t="str">
        <f ca="1">IFERROR(IF(0=LEN(ReferenceData!$F$106),"",ReferenceData!$F$106),"")</f>
        <v/>
      </c>
      <c r="G106">
        <f ca="1">IFERROR(IF(0=LEN(ReferenceData!$G$106),"",ReferenceData!$G$106),"")</f>
        <v>149.041</v>
      </c>
      <c r="H106">
        <f ca="1">IFERROR(IF(0=LEN(ReferenceData!$H$106),"",ReferenceData!$H$106),"")</f>
        <v>150.55500000000001</v>
      </c>
      <c r="I106">
        <f ca="1">IFERROR(IF(0=LEN(ReferenceData!$I$106),"",ReferenceData!$I$106),"")</f>
        <v>161.995</v>
      </c>
      <c r="J106">
        <f ca="1">IFERROR(IF(0=LEN(ReferenceData!$J$106),"",ReferenceData!$J$106),"")</f>
        <v>159.36799999999999</v>
      </c>
      <c r="K106">
        <f ca="1">IFERROR(IF(0=LEN(ReferenceData!$K$106),"",ReferenceData!$K$106),"")</f>
        <v>163.238</v>
      </c>
      <c r="L106">
        <f ca="1">IFERROR(IF(0=LEN(ReferenceData!$L$106),"",ReferenceData!$L$106),"")</f>
        <v>153.04400000000001</v>
      </c>
      <c r="M106">
        <f ca="1">IFERROR(IF(0=LEN(ReferenceData!$M$106),"",ReferenceData!$M$106),"")</f>
        <v>153.964</v>
      </c>
      <c r="N106">
        <f ca="1">IFERROR(IF(0=LEN(ReferenceData!$N$106),"",ReferenceData!$N$106),"")</f>
        <v>148.523</v>
      </c>
      <c r="O106">
        <f ca="1">IFERROR(IF(0=LEN(ReferenceData!$O$106),"",ReferenceData!$O$106),"")</f>
        <v>142.97</v>
      </c>
      <c r="P106">
        <f ca="1">IFERROR(IF(0=LEN(ReferenceData!$P$106),"",ReferenceData!$P$106),"")</f>
        <v>139.899</v>
      </c>
      <c r="Q106">
        <f ca="1">IFERROR(IF(0=LEN(ReferenceData!$Q$106),"",ReferenceData!$Q$106),"")</f>
        <v>136.53700000000001</v>
      </c>
      <c r="R106">
        <f ca="1">IFERROR(IF(0=LEN(ReferenceData!$R$106),"",ReferenceData!$R$106),"")</f>
        <v>82.254999999999995</v>
      </c>
      <c r="S106">
        <f ca="1">IFERROR(IF(0=LEN(ReferenceData!$S$106),"",ReferenceData!$S$106),"")</f>
        <v>80.039000000000001</v>
      </c>
      <c r="T106">
        <f ca="1">IFERROR(IF(0=LEN(ReferenceData!$T$106),"",ReferenceData!$T$106),"")</f>
        <v>81.305000000000007</v>
      </c>
      <c r="U106">
        <f ca="1">IFERROR(IF(0=LEN(ReferenceData!$U$106),"",ReferenceData!$U$106),"")</f>
        <v>74.366</v>
      </c>
      <c r="V106">
        <f ca="1">IFERROR(IF(0=LEN(ReferenceData!$V$106),"",ReferenceData!$V$106),"")</f>
        <v>83.447999999999993</v>
      </c>
      <c r="W106">
        <f ca="1">IFERROR(IF(0=LEN(ReferenceData!$W$106),"",ReferenceData!$W$106),"")</f>
        <v>73.337000000000003</v>
      </c>
      <c r="X106">
        <f ca="1">IFERROR(IF(0=LEN(ReferenceData!$X$106),"",ReferenceData!$X$106),"")</f>
        <v>69.798000000000002</v>
      </c>
      <c r="Y106">
        <f ca="1">IFERROR(IF(0=LEN(ReferenceData!$Y$106),"",ReferenceData!$Y$106),"")</f>
        <v>65.176000000000002</v>
      </c>
      <c r="Z106">
        <f ca="1">IFERROR(IF(0=LEN(ReferenceData!$Z$106),"",ReferenceData!$Z$106),"")</f>
        <v>65.655000000000001</v>
      </c>
      <c r="AA106">
        <f ca="1">IFERROR(IF(0=LEN(ReferenceData!$AA$106),"",ReferenceData!$AA$106),"")</f>
        <v>59.216999999999999</v>
      </c>
      <c r="AB106">
        <f ca="1">IFERROR(IF(0=LEN(ReferenceData!$AB$106),"",ReferenceData!$AB$106),"")</f>
        <v>52.078000000000003</v>
      </c>
      <c r="AC106">
        <f ca="1">IFERROR(IF(0=LEN(ReferenceData!$AC$106),"",ReferenceData!$AC$106),"")</f>
        <v>49.11</v>
      </c>
      <c r="AD106">
        <f ca="1">IFERROR(IF(0=LEN(ReferenceData!$AD$106),"",ReferenceData!$AD$106),"")</f>
        <v>50.344000000000001</v>
      </c>
      <c r="AE106">
        <f ca="1">IFERROR(IF(0=LEN(ReferenceData!$AE$106),"",ReferenceData!$AE$106),"")</f>
        <v>48.601999999999997</v>
      </c>
      <c r="AF106">
        <f ca="1">IFERROR(IF(0=LEN(ReferenceData!$AF$106),"",ReferenceData!$AF$106),"")</f>
        <v>46.003</v>
      </c>
      <c r="AG106">
        <f ca="1">IFERROR(IF(0=LEN(ReferenceData!$AG$106),"",ReferenceData!$AG$106),"")</f>
        <v>45.162999999999997</v>
      </c>
      <c r="AH106">
        <f ca="1">IFERROR(IF(0=LEN(ReferenceData!$AH$106),"",ReferenceData!$AH$106),"")</f>
        <v>40.951999999999998</v>
      </c>
      <c r="AI106">
        <f ca="1">IFERROR(IF(0=LEN(ReferenceData!$AI$106),"",ReferenceData!$AI$106),"")</f>
        <v>40.698</v>
      </c>
      <c r="AJ106">
        <f ca="1">IFERROR(IF(0=LEN(ReferenceData!$AJ$106),"",ReferenceData!$AJ$106),"")</f>
        <v>40.523000000000003</v>
      </c>
      <c r="AK106">
        <f ca="1">IFERROR(IF(0=LEN(ReferenceData!$AK$106),"",ReferenceData!$AK$106),"")</f>
        <v>32</v>
      </c>
      <c r="AL106">
        <f ca="1">IFERROR(IF(0=LEN(ReferenceData!$AL$106),"",ReferenceData!$AL$106),"")</f>
        <v>31.561</v>
      </c>
      <c r="AM106">
        <f ca="1">IFERROR(IF(0=LEN(ReferenceData!$AM$106),"",ReferenceData!$AM$106),"")</f>
        <v>28.936</v>
      </c>
      <c r="AN106">
        <f ca="1">IFERROR(IF(0=LEN(ReferenceData!$AN$106),"",ReferenceData!$AN$106),"")</f>
        <v>28.417000000000002</v>
      </c>
      <c r="AO106">
        <f ca="1">IFERROR(IF(0=LEN(ReferenceData!$AO$106),"",ReferenceData!$AO$106),"")</f>
        <v>28.361000000000001</v>
      </c>
      <c r="AP106">
        <f ca="1">IFERROR(IF(0=LEN(ReferenceData!$AP$106),"",ReferenceData!$AP$106),"")</f>
        <v>28.132999999999999</v>
      </c>
      <c r="AQ106">
        <f ca="1">IFERROR(IF(0=LEN(ReferenceData!$AQ$106),"",ReferenceData!$AQ$106),"")</f>
        <v>24.648</v>
      </c>
      <c r="AR106">
        <f ca="1">IFERROR(IF(0=LEN(ReferenceData!$AR$106),"",ReferenceData!$AR$106),"")</f>
        <v>20.94</v>
      </c>
      <c r="AS106">
        <f ca="1">IFERROR(IF(0=LEN(ReferenceData!$AS$106),"",ReferenceData!$AS$106),"")</f>
        <v>25.33</v>
      </c>
      <c r="AT106">
        <f ca="1">IFERROR(IF(0=LEN(ReferenceData!$AT$106),"",ReferenceData!$AT$106),"")</f>
        <v>23.148</v>
      </c>
      <c r="AU106">
        <f ca="1">IFERROR(IF(0=LEN(ReferenceData!$AU$106),"",ReferenceData!$AU$106),"")</f>
        <v>22.033999999999999</v>
      </c>
      <c r="AV106">
        <f ca="1">IFERROR(IF(0=LEN(ReferenceData!$AV$106),"",ReferenceData!$AV$106),"")</f>
        <v>21.681999999999999</v>
      </c>
      <c r="AW106">
        <f ca="1">IFERROR(IF(0=LEN(ReferenceData!$AW$106),"",ReferenceData!$AW$106),"")</f>
        <v>20.442</v>
      </c>
      <c r="AX106">
        <f ca="1">IFERROR(IF(0=LEN(ReferenceData!$AX$106),"",ReferenceData!$AX$106),"")</f>
        <v>13.032999999999999</v>
      </c>
      <c r="AY106">
        <f ca="1">IFERROR(IF(0=LEN(ReferenceData!$AY$106),"",ReferenceData!$AY$106),"")</f>
        <v>17.821000000000002</v>
      </c>
      <c r="AZ106">
        <f ca="1">IFERROR(IF(0=LEN(ReferenceData!$AZ$106),"",ReferenceData!$AZ$106),"")</f>
        <v>17.326000000000001</v>
      </c>
      <c r="BA106">
        <f ca="1">IFERROR(IF(0=LEN(ReferenceData!$BA$106),"",ReferenceData!$BA$106),"")</f>
        <v>16.242999999999999</v>
      </c>
      <c r="BB106">
        <f ca="1">IFERROR(IF(0=LEN(ReferenceData!$BB$106),"",ReferenceData!$BB$106),"")</f>
        <v>15.567</v>
      </c>
      <c r="BC106">
        <f ca="1">IFERROR(IF(0=LEN(ReferenceData!$BC$106),"",ReferenceData!$BC$106),"")</f>
        <v>13.775</v>
      </c>
      <c r="BD106">
        <f ca="1">IFERROR(IF(0=LEN(ReferenceData!$BD$106),"",ReferenceData!$BD$106),"")</f>
        <v>8.7680000000000007</v>
      </c>
      <c r="BE106">
        <f ca="1">IFERROR(IF(0=LEN(ReferenceData!$BE$106),"",ReferenceData!$BE$106),"")</f>
        <v>8.0850000000000009</v>
      </c>
      <c r="BF106">
        <f ca="1">IFERROR(IF(0=LEN(ReferenceData!$BF$106),"",ReferenceData!$BF$106),"")</f>
        <v>12.035</v>
      </c>
      <c r="BG106">
        <f ca="1">IFERROR(IF(0=LEN(ReferenceData!$BG$106),"",ReferenceData!$BG$106),"")</f>
        <v>10.647</v>
      </c>
      <c r="BH106">
        <f ca="1">IFERROR(IF(0=LEN(ReferenceData!$BH$106),"",ReferenceData!$BH$106),"")</f>
        <v>5.4000000950000002</v>
      </c>
      <c r="BI106">
        <f ca="1">IFERROR(IF(0=LEN(ReferenceData!$BI$106),"",ReferenceData!$BI$106),"")</f>
        <v>5.0999999049999998</v>
      </c>
      <c r="BJ106" t="str">
        <f ca="1">IFERROR(IF(0=LEN(ReferenceData!$BJ$106),"",ReferenceData!$BJ$106),"")</f>
        <v/>
      </c>
      <c r="BK106">
        <f ca="1">IFERROR(IF(0=LEN(ReferenceData!$BK$106),"",ReferenceData!$BK$106),"")</f>
        <v>11.01</v>
      </c>
      <c r="BL106" t="str">
        <f ca="1">IFERROR(IF(0=LEN(ReferenceData!$BL$106),"",ReferenceData!$BL$106),"")</f>
        <v/>
      </c>
      <c r="BM106">
        <f ca="1">IFERROR(IF(0=LEN(ReferenceData!$BM$106),"",ReferenceData!$BM$106),"")</f>
        <v>8.5</v>
      </c>
    </row>
    <row r="107" spans="1:65">
      <c r="A107" t="str">
        <f>IFERROR(IF(0=LEN(ReferenceData!$A$107),"",ReferenceData!$A$107),"")</f>
        <v xml:space="preserve">    Sabra Health Care REIT Inc</v>
      </c>
      <c r="B107" t="str">
        <f>IFERROR(IF(0=LEN(ReferenceData!$B$107),"",ReferenceData!$B$107),"")</f>
        <v>SBRA US Equity</v>
      </c>
      <c r="C107" t="str">
        <f>IFERROR(IF(0=LEN(ReferenceData!$C$107),"",ReferenceData!$C$107),"")</f>
        <v>F0578</v>
      </c>
      <c r="D107" t="str">
        <f>IFERROR(IF(0=LEN(ReferenceData!$D$107),"",ReferenceData!$D$107),"")</f>
        <v>FUNDS_AVAILABLE_FOR_DISTRIBUTION</v>
      </c>
      <c r="E107" t="str">
        <f>IFERROR(IF(0=LEN(ReferenceData!$E$107),"",ReferenceData!$E$107),"")</f>
        <v>动态</v>
      </c>
      <c r="F107" t="str">
        <f ca="1">IFERROR(IF(0=LEN(ReferenceData!$F$107),"",ReferenceData!$F$107),"")</f>
        <v/>
      </c>
      <c r="G107">
        <f ca="1">IFERROR(IF(0=LEN(ReferenceData!$G$107),"",ReferenceData!$G$107),"")</f>
        <v>107.129</v>
      </c>
      <c r="H107">
        <f ca="1">IFERROR(IF(0=LEN(ReferenceData!$H$107),"",ReferenceData!$H$107),"")</f>
        <v>90.888000000000005</v>
      </c>
      <c r="I107">
        <f ca="1">IFERROR(IF(0=LEN(ReferenceData!$I$107),"",ReferenceData!$I$107),"")</f>
        <v>35.244</v>
      </c>
      <c r="J107">
        <f ca="1">IFERROR(IF(0=LEN(ReferenceData!$J$107),"",ReferenceData!$J$107),"")</f>
        <v>35.271999999999998</v>
      </c>
      <c r="K107">
        <f ca="1">IFERROR(IF(0=LEN(ReferenceData!$K$107),"",ReferenceData!$K$107),"")</f>
        <v>33.695999999999998</v>
      </c>
      <c r="L107">
        <f ca="1">IFERROR(IF(0=LEN(ReferenceData!$L$107),"",ReferenceData!$L$107),"")</f>
        <v>34.856999999999999</v>
      </c>
      <c r="M107">
        <f ca="1">IFERROR(IF(0=LEN(ReferenceData!$M$107),"",ReferenceData!$M$107),"")</f>
        <v>38.258000000000003</v>
      </c>
      <c r="N107">
        <f ca="1">IFERROR(IF(0=LEN(ReferenceData!$N$107),"",ReferenceData!$N$107),"")</f>
        <v>34.770000000000003</v>
      </c>
      <c r="O107">
        <f ca="1">IFERROR(IF(0=LEN(ReferenceData!$O$107),"",ReferenceData!$O$107),"")</f>
        <v>38.158000000000001</v>
      </c>
      <c r="P107">
        <f ca="1">IFERROR(IF(0=LEN(ReferenceData!$P$107),"",ReferenceData!$P$107),"")</f>
        <v>34.508000000000003</v>
      </c>
      <c r="Q107">
        <f ca="1">IFERROR(IF(0=LEN(ReferenceData!$Q$107),"",ReferenceData!$Q$107),"")</f>
        <v>30.79</v>
      </c>
      <c r="R107">
        <f ca="1">IFERROR(IF(0=LEN(ReferenceData!$R$107),"",ReferenceData!$R$107),"")</f>
        <v>30.879000000000001</v>
      </c>
      <c r="S107">
        <f ca="1">IFERROR(IF(0=LEN(ReferenceData!$S$107),"",ReferenceData!$S$107),"")</f>
        <v>30.486000000000001</v>
      </c>
      <c r="T107">
        <f ca="1">IFERROR(IF(0=LEN(ReferenceData!$T$107),"",ReferenceData!$T$107),"")</f>
        <v>24.622</v>
      </c>
      <c r="U107">
        <f ca="1">IFERROR(IF(0=LEN(ReferenceData!$U$107),"",ReferenceData!$U$107),"")</f>
        <v>23.609000000000002</v>
      </c>
      <c r="V107">
        <f ca="1">IFERROR(IF(0=LEN(ReferenceData!$V$107),"",ReferenceData!$V$107),"")</f>
        <v>21.12</v>
      </c>
      <c r="W107">
        <f ca="1">IFERROR(IF(0=LEN(ReferenceData!$W$107),"",ReferenceData!$W$107),"")</f>
        <v>19.478000000000002</v>
      </c>
      <c r="X107">
        <f ca="1">IFERROR(IF(0=LEN(ReferenceData!$X$107),"",ReferenceData!$X$107),"")</f>
        <v>16.260999999999999</v>
      </c>
      <c r="Y107">
        <f ca="1">IFERROR(IF(0=LEN(ReferenceData!$Y$107),"",ReferenceData!$Y$107),"")</f>
        <v>14.026999999999999</v>
      </c>
      <c r="Z107">
        <f ca="1">IFERROR(IF(0=LEN(ReferenceData!$Z$107),"",ReferenceData!$Z$107),"")</f>
        <v>16.559000000000001</v>
      </c>
      <c r="AA107">
        <f ca="1">IFERROR(IF(0=LEN(ReferenceData!$AA$107),"",ReferenceData!$AA$107),"")</f>
        <v>15.606</v>
      </c>
      <c r="AB107">
        <f ca="1">IFERROR(IF(0=LEN(ReferenceData!$AB$107),"",ReferenceData!$AB$107),"")</f>
        <v>14.868</v>
      </c>
      <c r="AC107">
        <f ca="1">IFERROR(IF(0=LEN(ReferenceData!$AC$107),"",ReferenceData!$AC$107),"")</f>
        <v>15.669</v>
      </c>
      <c r="AD107">
        <f ca="1">IFERROR(IF(0=LEN(ReferenceData!$AD$107),"",ReferenceData!$AD$107),"")</f>
        <v>13.999000000000001</v>
      </c>
      <c r="AE107">
        <f ca="1">IFERROR(IF(0=LEN(ReferenceData!$AE$107),"",ReferenceData!$AE$107),"")</f>
        <v>13.667999999999999</v>
      </c>
      <c r="AF107">
        <f ca="1">IFERROR(IF(0=LEN(ReferenceData!$AF$107),"",ReferenceData!$AF$107),"")</f>
        <v>12.529</v>
      </c>
      <c r="AG107">
        <f ca="1">IFERROR(IF(0=LEN(ReferenceData!$AG$107),"",ReferenceData!$AG$107),"")</f>
        <v>10.308</v>
      </c>
      <c r="AH107">
        <f ca="1">IFERROR(IF(0=LEN(ReferenceData!$AH$107),"",ReferenceData!$AH$107),"")</f>
        <v>9.3670000000000009</v>
      </c>
      <c r="AI107" t="str">
        <f ca="1">IFERROR(IF(0=LEN(ReferenceData!$AI$107),"",ReferenceData!$AI$107),"")</f>
        <v/>
      </c>
      <c r="AJ107" t="str">
        <f ca="1">IFERROR(IF(0=LEN(ReferenceData!$AJ$107),"",ReferenceData!$AJ$107),"")</f>
        <v/>
      </c>
      <c r="AK107" t="str">
        <f ca="1">IFERROR(IF(0=LEN(ReferenceData!$AK$107),"",ReferenceData!$AK$107),"")</f>
        <v/>
      </c>
      <c r="AL107" t="str">
        <f ca="1">IFERROR(IF(0=LEN(ReferenceData!$AL$107),"",ReferenceData!$AL$107),"")</f>
        <v/>
      </c>
      <c r="AM107" t="str">
        <f ca="1">IFERROR(IF(0=LEN(ReferenceData!$AM$107),"",ReferenceData!$AM$107),"")</f>
        <v/>
      </c>
      <c r="AN107" t="str">
        <f ca="1">IFERROR(IF(0=LEN(ReferenceData!$AN$107),"",ReferenceData!$AN$107),"")</f>
        <v/>
      </c>
      <c r="AO107" t="str">
        <f ca="1">IFERROR(IF(0=LEN(ReferenceData!$AO$107),"",ReferenceData!$AO$107),"")</f>
        <v/>
      </c>
      <c r="AP107" t="str">
        <f ca="1">IFERROR(IF(0=LEN(ReferenceData!$AP$107),"",ReferenceData!$AP$107),"")</f>
        <v/>
      </c>
      <c r="AQ107" t="str">
        <f ca="1">IFERROR(IF(0=LEN(ReferenceData!$AQ$107),"",ReferenceData!$AQ$107),"")</f>
        <v/>
      </c>
      <c r="AR107" t="str">
        <f ca="1">IFERROR(IF(0=LEN(ReferenceData!$AR$107),"",ReferenceData!$AR$107),"")</f>
        <v/>
      </c>
      <c r="AS107" t="str">
        <f ca="1">IFERROR(IF(0=LEN(ReferenceData!$AS$107),"",ReferenceData!$AS$107),"")</f>
        <v/>
      </c>
      <c r="AT107" t="str">
        <f ca="1">IFERROR(IF(0=LEN(ReferenceData!$AT$107),"",ReferenceData!$AT$107),"")</f>
        <v/>
      </c>
      <c r="AU107" t="str">
        <f ca="1">IFERROR(IF(0=LEN(ReferenceData!$AU$107),"",ReferenceData!$AU$107),"")</f>
        <v/>
      </c>
      <c r="AV107" t="str">
        <f ca="1">IFERROR(IF(0=LEN(ReferenceData!$AV$107),"",ReferenceData!$AV$107),"")</f>
        <v/>
      </c>
      <c r="AW107" t="str">
        <f ca="1">IFERROR(IF(0=LEN(ReferenceData!$AW$107),"",ReferenceData!$AW$107),"")</f>
        <v/>
      </c>
      <c r="AX107" t="str">
        <f ca="1">IFERROR(IF(0=LEN(ReferenceData!$AX$107),"",ReferenceData!$AX$107),"")</f>
        <v/>
      </c>
      <c r="AY107" t="str">
        <f ca="1">IFERROR(IF(0=LEN(ReferenceData!$AY$107),"",ReferenceData!$AY$107),"")</f>
        <v/>
      </c>
      <c r="AZ107" t="str">
        <f ca="1">IFERROR(IF(0=LEN(ReferenceData!$AZ$107),"",ReferenceData!$AZ$107),"")</f>
        <v/>
      </c>
      <c r="BA107" t="str">
        <f ca="1">IFERROR(IF(0=LEN(ReferenceData!$BA$107),"",ReferenceData!$BA$107),"")</f>
        <v/>
      </c>
      <c r="BB107" t="str">
        <f ca="1">IFERROR(IF(0=LEN(ReferenceData!$BB$107),"",ReferenceData!$BB$107),"")</f>
        <v/>
      </c>
      <c r="BC107" t="str">
        <f ca="1">IFERROR(IF(0=LEN(ReferenceData!$BC$107),"",ReferenceData!$BC$107),"")</f>
        <v/>
      </c>
      <c r="BD107" t="str">
        <f ca="1">IFERROR(IF(0=LEN(ReferenceData!$BD$107),"",ReferenceData!$BD$107),"")</f>
        <v/>
      </c>
      <c r="BE107" t="str">
        <f ca="1">IFERROR(IF(0=LEN(ReferenceData!$BE$107),"",ReferenceData!$BE$107),"")</f>
        <v/>
      </c>
      <c r="BF107" t="str">
        <f ca="1">IFERROR(IF(0=LEN(ReferenceData!$BF$107),"",ReferenceData!$BF$107),"")</f>
        <v/>
      </c>
      <c r="BG107" t="str">
        <f ca="1">IFERROR(IF(0=LEN(ReferenceData!$BG$107),"",ReferenceData!$BG$107),"")</f>
        <v/>
      </c>
      <c r="BH107" t="str">
        <f ca="1">IFERROR(IF(0=LEN(ReferenceData!$BH$107),"",ReferenceData!$BH$107),"")</f>
        <v/>
      </c>
      <c r="BI107" t="str">
        <f ca="1">IFERROR(IF(0=LEN(ReferenceData!$BI$107),"",ReferenceData!$BI$107),"")</f>
        <v/>
      </c>
      <c r="BJ107" t="str">
        <f ca="1">IFERROR(IF(0=LEN(ReferenceData!$BJ$107),"",ReferenceData!$BJ$107),"")</f>
        <v/>
      </c>
      <c r="BK107" t="str">
        <f ca="1">IFERROR(IF(0=LEN(ReferenceData!$BK$107),"",ReferenceData!$BK$107),"")</f>
        <v/>
      </c>
      <c r="BL107" t="str">
        <f ca="1">IFERROR(IF(0=LEN(ReferenceData!$BL$107),"",ReferenceData!$BL$107),"")</f>
        <v/>
      </c>
      <c r="BM107" t="str">
        <f ca="1">IFERROR(IF(0=LEN(ReferenceData!$BM$107),"",ReferenceData!$BM$107),"")</f>
        <v/>
      </c>
    </row>
    <row r="108" spans="1:65">
      <c r="A108" t="str">
        <f>IFERROR(IF(0=LEN(ReferenceData!$A$108),"",ReferenceData!$A$108),"")</f>
        <v xml:space="preserve">    Senior Housing Properties Trus</v>
      </c>
      <c r="B108" t="str">
        <f>IFERROR(IF(0=LEN(ReferenceData!$B$108),"",ReferenceData!$B$108),"")</f>
        <v>SNH US Equity</v>
      </c>
      <c r="C108" t="str">
        <f>IFERROR(IF(0=LEN(ReferenceData!$C$108),"",ReferenceData!$C$108),"")</f>
        <v>F0578</v>
      </c>
      <c r="D108" t="str">
        <f>IFERROR(IF(0=LEN(ReferenceData!$D$108),"",ReferenceData!$D$108),"")</f>
        <v>FUNDS_AVAILABLE_FOR_DISTRIBUTION</v>
      </c>
      <c r="E108" t="str">
        <f>IFERROR(IF(0=LEN(ReferenceData!$E$108),"",ReferenceData!$E$108),"")</f>
        <v>动态</v>
      </c>
      <c r="F108" t="str">
        <f ca="1">IFERROR(IF(0=LEN(ReferenceData!$F$108),"",ReferenceData!$F$108),"")</f>
        <v/>
      </c>
      <c r="G108">
        <f ca="1">IFERROR(IF(0=LEN(ReferenceData!$G$108),"",ReferenceData!$G$108),"")</f>
        <v>73.072000000000003</v>
      </c>
      <c r="H108">
        <f ca="1">IFERROR(IF(0=LEN(ReferenceData!$H$108),"",ReferenceData!$H$108),"")</f>
        <v>116.498</v>
      </c>
      <c r="I108">
        <f ca="1">IFERROR(IF(0=LEN(ReferenceData!$I$108),"",ReferenceData!$I$108),"")</f>
        <v>114.91</v>
      </c>
      <c r="J108">
        <f ca="1">IFERROR(IF(0=LEN(ReferenceData!$J$108),"",ReferenceData!$J$108),"")</f>
        <v>117.825</v>
      </c>
      <c r="K108">
        <f ca="1">IFERROR(IF(0=LEN(ReferenceData!$K$108),"",ReferenceData!$K$108),"")</f>
        <v>135.471</v>
      </c>
      <c r="L108">
        <f ca="1">IFERROR(IF(0=LEN(ReferenceData!$L$108),"",ReferenceData!$L$108),"")</f>
        <v>118.20699999999999</v>
      </c>
      <c r="M108">
        <f ca="1">IFERROR(IF(0=LEN(ReferenceData!$M$108),"",ReferenceData!$M$108),"")</f>
        <v>121.456</v>
      </c>
      <c r="N108">
        <f ca="1">IFERROR(IF(0=LEN(ReferenceData!$N$108),"",ReferenceData!$N$108),"")</f>
        <v>119.325</v>
      </c>
      <c r="O108">
        <f ca="1">IFERROR(IF(0=LEN(ReferenceData!$O$108),"",ReferenceData!$O$108),"")</f>
        <v>125.047</v>
      </c>
      <c r="P108">
        <f ca="1">IFERROR(IF(0=LEN(ReferenceData!$P$108),"",ReferenceData!$P$108),"")</f>
        <v>118.233</v>
      </c>
      <c r="Q108">
        <f ca="1">IFERROR(IF(0=LEN(ReferenceData!$Q$108),"",ReferenceData!$Q$108),"")</f>
        <v>114.444</v>
      </c>
      <c r="R108">
        <f ca="1">IFERROR(IF(0=LEN(ReferenceData!$R$108),"",ReferenceData!$R$108),"")</f>
        <v>104.363</v>
      </c>
      <c r="S108">
        <f ca="1">IFERROR(IF(0=LEN(ReferenceData!$S$108),"",ReferenceData!$S$108),"")</f>
        <v>89.605999999999995</v>
      </c>
      <c r="T108">
        <f ca="1">IFERROR(IF(0=LEN(ReferenceData!$T$108),"",ReferenceData!$T$108),"")</f>
        <v>101.224</v>
      </c>
      <c r="U108">
        <f ca="1">IFERROR(IF(0=LEN(ReferenceData!$U$108),"",ReferenceData!$U$108),"")</f>
        <v>90.361999999999995</v>
      </c>
      <c r="V108">
        <f ca="1">IFERROR(IF(0=LEN(ReferenceData!$V$108),"",ReferenceData!$V$108),"")</f>
        <v>81.602000000000004</v>
      </c>
      <c r="W108">
        <f ca="1">IFERROR(IF(0=LEN(ReferenceData!$W$108),"",ReferenceData!$W$108),"")</f>
        <v>84.328999999999994</v>
      </c>
      <c r="X108">
        <f ca="1">IFERROR(IF(0=LEN(ReferenceData!$X$108),"",ReferenceData!$X$108),"")</f>
        <v>85.924000000000007</v>
      </c>
      <c r="Y108">
        <f ca="1">IFERROR(IF(0=LEN(ReferenceData!$Y$108),"",ReferenceData!$Y$108),"")</f>
        <v>82.204999999999998</v>
      </c>
      <c r="Z108">
        <f ca="1">IFERROR(IF(0=LEN(ReferenceData!$Z$108),"",ReferenceData!$Z$108),"")</f>
        <v>78.278999999999996</v>
      </c>
      <c r="AA108">
        <f ca="1">IFERROR(IF(0=LEN(ReferenceData!$AA$108),"",ReferenceData!$AA$108),"")</f>
        <v>77.313999999999993</v>
      </c>
      <c r="AB108">
        <f ca="1">IFERROR(IF(0=LEN(ReferenceData!$AB$108),"",ReferenceData!$AB$108),"")</f>
        <v>53.573999999999998</v>
      </c>
      <c r="AC108">
        <f ca="1">IFERROR(IF(0=LEN(ReferenceData!$AC$108),"",ReferenceData!$AC$108),"")</f>
        <v>71.430999999999997</v>
      </c>
      <c r="AD108">
        <f ca="1">IFERROR(IF(0=LEN(ReferenceData!$AD$108),"",ReferenceData!$AD$108),"")</f>
        <v>72.927000000000007</v>
      </c>
      <c r="AE108">
        <f ca="1">IFERROR(IF(0=LEN(ReferenceData!$AE$108),"",ReferenceData!$AE$108),"")</f>
        <v>54.969000000000001</v>
      </c>
      <c r="AF108">
        <f ca="1">IFERROR(IF(0=LEN(ReferenceData!$AF$108),"",ReferenceData!$AF$108),"")</f>
        <v>61.859000000000002</v>
      </c>
      <c r="AG108">
        <f ca="1">IFERROR(IF(0=LEN(ReferenceData!$AG$108),"",ReferenceData!$AG$108),"")</f>
        <v>56.947000000000003</v>
      </c>
      <c r="AH108">
        <f ca="1">IFERROR(IF(0=LEN(ReferenceData!$AH$108),"",ReferenceData!$AH$108),"")</f>
        <v>60.792000000000002</v>
      </c>
      <c r="AI108">
        <f ca="1">IFERROR(IF(0=LEN(ReferenceData!$AI$108),"",ReferenceData!$AI$108),"")</f>
        <v>50.671999999999997</v>
      </c>
      <c r="AJ108">
        <f ca="1">IFERROR(IF(0=LEN(ReferenceData!$AJ$108),"",ReferenceData!$AJ$108),"")</f>
        <v>52.945999999999998</v>
      </c>
      <c r="AK108">
        <f ca="1">IFERROR(IF(0=LEN(ReferenceData!$AK$108),"",ReferenceData!$AK$108),"")</f>
        <v>51.161999999999999</v>
      </c>
      <c r="AL108">
        <f ca="1">IFERROR(IF(0=LEN(ReferenceData!$AL$108),"",ReferenceData!$AL$108),"")</f>
        <v>53.92</v>
      </c>
      <c r="AM108">
        <f ca="1">IFERROR(IF(0=LEN(ReferenceData!$AM$108),"",ReferenceData!$AM$108),"")</f>
        <v>51.476999999999997</v>
      </c>
      <c r="AN108">
        <f ca="1">IFERROR(IF(0=LEN(ReferenceData!$AN$108),"",ReferenceData!$AN$108),"")</f>
        <v>49.326000000000001</v>
      </c>
      <c r="AO108">
        <f ca="1">IFERROR(IF(0=LEN(ReferenceData!$AO$108),"",ReferenceData!$AO$108),"")</f>
        <v>52.292999999999999</v>
      </c>
      <c r="AP108">
        <f ca="1">IFERROR(IF(0=LEN(ReferenceData!$AP$108),"",ReferenceData!$AP$108),"")</f>
        <v>51.738</v>
      </c>
      <c r="AQ108">
        <f ca="1">IFERROR(IF(0=LEN(ReferenceData!$AQ$108),"",ReferenceData!$AQ$108),"")</f>
        <v>49.042999999999999</v>
      </c>
      <c r="AR108">
        <f ca="1">IFERROR(IF(0=LEN(ReferenceData!$AR$108),"",ReferenceData!$AR$108),"")</f>
        <v>47.658000000000001</v>
      </c>
      <c r="AS108">
        <f ca="1">IFERROR(IF(0=LEN(ReferenceData!$AS$108),"",ReferenceData!$AS$108),"")</f>
        <v>42.396000000000001</v>
      </c>
      <c r="AT108">
        <f ca="1">IFERROR(IF(0=LEN(ReferenceData!$AT$108),"",ReferenceData!$AT$108),"")</f>
        <v>39.024000000000001</v>
      </c>
      <c r="AU108">
        <f ca="1">IFERROR(IF(0=LEN(ReferenceData!$AU$108),"",ReferenceData!$AU$108),"")</f>
        <v>35.869</v>
      </c>
      <c r="AV108">
        <f ca="1">IFERROR(IF(0=LEN(ReferenceData!$AV$108),"",ReferenceData!$AV$108),"")</f>
        <v>34.65</v>
      </c>
      <c r="AW108">
        <f ca="1">IFERROR(IF(0=LEN(ReferenceData!$AW$108),"",ReferenceData!$AW$108),"")</f>
        <v>34.598999999999997</v>
      </c>
      <c r="AX108">
        <f ca="1">IFERROR(IF(0=LEN(ReferenceData!$AX$108),"",ReferenceData!$AX$108),"")</f>
        <v>31.393000000000001</v>
      </c>
      <c r="AY108">
        <f ca="1">IFERROR(IF(0=LEN(ReferenceData!$AY$108),"",ReferenceData!$AY$108),"")</f>
        <v>35.341000000000001</v>
      </c>
      <c r="AZ108">
        <f ca="1">IFERROR(IF(0=LEN(ReferenceData!$AZ$108),"",ReferenceData!$AZ$108),"")</f>
        <v>27.98</v>
      </c>
      <c r="BA108">
        <f ca="1">IFERROR(IF(0=LEN(ReferenceData!$BA$108),"",ReferenceData!$BA$108),"")</f>
        <v>28.222999999999999</v>
      </c>
      <c r="BB108">
        <f ca="1">IFERROR(IF(0=LEN(ReferenceData!$BB$108),"",ReferenceData!$BB$108),"")</f>
        <v>23.922000000000001</v>
      </c>
      <c r="BC108">
        <f ca="1">IFERROR(IF(0=LEN(ReferenceData!$BC$108),"",ReferenceData!$BC$108),"")</f>
        <v>26.305</v>
      </c>
      <c r="BD108">
        <f ca="1">IFERROR(IF(0=LEN(ReferenceData!$BD$108),"",ReferenceData!$BD$108),"")</f>
        <v>35.86000061</v>
      </c>
      <c r="BE108">
        <f ca="1">IFERROR(IF(0=LEN(ReferenceData!$BE$108),"",ReferenceData!$BE$108),"")</f>
        <v>25.850000380000001</v>
      </c>
      <c r="BF108">
        <f ca="1">IFERROR(IF(0=LEN(ReferenceData!$BF$108),"",ReferenceData!$BF$108),"")</f>
        <v>25.426000599999998</v>
      </c>
      <c r="BG108">
        <f ca="1">IFERROR(IF(0=LEN(ReferenceData!$BG$108),"",ReferenceData!$BG$108),"")</f>
        <v>24.39</v>
      </c>
      <c r="BH108">
        <f ca="1">IFERROR(IF(0=LEN(ReferenceData!$BH$108),"",ReferenceData!$BH$108),"")</f>
        <v>23.437000269999999</v>
      </c>
      <c r="BI108">
        <f ca="1">IFERROR(IF(0=LEN(ReferenceData!$BI$108),"",ReferenceData!$BI$108),"")</f>
        <v>23.302999499999999</v>
      </c>
      <c r="BJ108">
        <f ca="1">IFERROR(IF(0=LEN(ReferenceData!$BJ$108),"",ReferenceData!$BJ$108),"")</f>
        <v>23.694000240000001</v>
      </c>
      <c r="BK108">
        <f ca="1">IFERROR(IF(0=LEN(ReferenceData!$BK$108),"",ReferenceData!$BK$108),"")</f>
        <v>20.520000459999999</v>
      </c>
      <c r="BL108" t="str">
        <f ca="1">IFERROR(IF(0=LEN(ReferenceData!$BL$108),"",ReferenceData!$BL$108),"")</f>
        <v/>
      </c>
      <c r="BM108" t="str">
        <f ca="1">IFERROR(IF(0=LEN(ReferenceData!$BM$108),"",ReferenceData!$BM$108),"")</f>
        <v/>
      </c>
    </row>
    <row r="109" spans="1:65">
      <c r="A109" t="str">
        <f>IFERROR(IF(0=LEN(ReferenceData!$A$109),"",ReferenceData!$A$109),"")</f>
        <v xml:space="preserve">    Ventas Inc</v>
      </c>
      <c r="B109" t="str">
        <f>IFERROR(IF(0=LEN(ReferenceData!$B$109),"",ReferenceData!$B$109),"")</f>
        <v>VTR US Equity</v>
      </c>
      <c r="C109" t="str">
        <f>IFERROR(IF(0=LEN(ReferenceData!$C$109),"",ReferenceData!$C$109),"")</f>
        <v>F0578</v>
      </c>
      <c r="D109" t="str">
        <f>IFERROR(IF(0=LEN(ReferenceData!$D$109),"",ReferenceData!$D$109),"")</f>
        <v>FUNDS_AVAILABLE_FOR_DISTRIBUTION</v>
      </c>
      <c r="E109" t="str">
        <f>IFERROR(IF(0=LEN(ReferenceData!$E$109),"",ReferenceData!$E$109),"")</f>
        <v>动态</v>
      </c>
      <c r="F109" t="str">
        <f ca="1">IFERROR(IF(0=LEN(ReferenceData!$F$109),"",ReferenceData!$F$109),"")</f>
        <v/>
      </c>
      <c r="G109">
        <f ca="1">IFERROR(IF(0=LEN(ReferenceData!$G$109),"",ReferenceData!$G$109),"")</f>
        <v>321.31400000000002</v>
      </c>
      <c r="H109">
        <f ca="1">IFERROR(IF(0=LEN(ReferenceData!$H$109),"",ReferenceData!$H$109),"")</f>
        <v>340.048</v>
      </c>
      <c r="I109">
        <f ca="1">IFERROR(IF(0=LEN(ReferenceData!$I$109),"",ReferenceData!$I$109),"")</f>
        <v>343.67700000000002</v>
      </c>
      <c r="J109">
        <f ca="1">IFERROR(IF(0=LEN(ReferenceData!$J$109),"",ReferenceData!$J$109),"")</f>
        <v>340.90100000000001</v>
      </c>
      <c r="K109">
        <f ca="1">IFERROR(IF(0=LEN(ReferenceData!$K$109),"",ReferenceData!$K$109),"")</f>
        <v>319.42099999999999</v>
      </c>
      <c r="L109">
        <f ca="1">IFERROR(IF(0=LEN(ReferenceData!$L$109),"",ReferenceData!$L$109),"")</f>
        <v>331.01</v>
      </c>
      <c r="M109">
        <f ca="1">IFERROR(IF(0=LEN(ReferenceData!$M$109),"",ReferenceData!$M$109),"")</f>
        <v>325.33</v>
      </c>
      <c r="N109">
        <f ca="1">IFERROR(IF(0=LEN(ReferenceData!$N$109),"",ReferenceData!$N$109),"")</f>
        <v>319.27499999999998</v>
      </c>
      <c r="O109">
        <f ca="1">IFERROR(IF(0=LEN(ReferenceData!$O$109),"",ReferenceData!$O$109),"")</f>
        <v>278.983</v>
      </c>
      <c r="P109">
        <f ca="1">IFERROR(IF(0=LEN(ReferenceData!$P$109),"",ReferenceData!$P$109),"")</f>
        <v>324.91199999999998</v>
      </c>
      <c r="Q109">
        <f ca="1">IFERROR(IF(0=LEN(ReferenceData!$Q$109),"",ReferenceData!$Q$109),"")</f>
        <v>362.03100000000001</v>
      </c>
      <c r="R109">
        <f ca="1">IFERROR(IF(0=LEN(ReferenceData!$R$109),"",ReferenceData!$R$109),"")</f>
        <v>355.90499999999997</v>
      </c>
      <c r="S109">
        <f ca="1">IFERROR(IF(0=LEN(ReferenceData!$S$109),"",ReferenceData!$S$109),"")</f>
        <v>327.77100000000002</v>
      </c>
      <c r="T109">
        <f ca="1">IFERROR(IF(0=LEN(ReferenceData!$T$109),"",ReferenceData!$T$109),"")</f>
        <v>301.38499999999999</v>
      </c>
      <c r="U109">
        <f ca="1">IFERROR(IF(0=LEN(ReferenceData!$U$109),"",ReferenceData!$U$109),"")</f>
        <v>300.774</v>
      </c>
      <c r="V109">
        <f ca="1">IFERROR(IF(0=LEN(ReferenceData!$V$109),"",ReferenceData!$V$109),"")</f>
        <v>297.00400000000002</v>
      </c>
      <c r="W109">
        <f ca="1">IFERROR(IF(0=LEN(ReferenceData!$W$109),"",ReferenceData!$W$109),"")</f>
        <v>256.44499999999999</v>
      </c>
      <c r="X109">
        <f ca="1">IFERROR(IF(0=LEN(ReferenceData!$X$109),"",ReferenceData!$X$109),"")</f>
        <v>307.16399999999999</v>
      </c>
      <c r="Y109">
        <f ca="1">IFERROR(IF(0=LEN(ReferenceData!$Y$109),"",ReferenceData!$Y$109),"")</f>
        <v>281.57600000000002</v>
      </c>
      <c r="Z109">
        <f ca="1">IFERROR(IF(0=LEN(ReferenceData!$Z$109),"",ReferenceData!$Z$109),"")</f>
        <v>278.565</v>
      </c>
      <c r="AA109">
        <f ca="1">IFERROR(IF(0=LEN(ReferenceData!$AA$109),"",ReferenceData!$AA$109),"")</f>
        <v>261.99099999999999</v>
      </c>
      <c r="AB109">
        <f ca="1">IFERROR(IF(0=LEN(ReferenceData!$AB$109),"",ReferenceData!$AB$109),"")</f>
        <v>269.82</v>
      </c>
      <c r="AC109">
        <f ca="1">IFERROR(IF(0=LEN(ReferenceData!$AC$109),"",ReferenceData!$AC$109),"")</f>
        <v>247.61600000000001</v>
      </c>
      <c r="AD109">
        <f ca="1">IFERROR(IF(0=LEN(ReferenceData!$AD$109),"",ReferenceData!$AD$109),"")</f>
        <v>237.79599999999999</v>
      </c>
      <c r="AE109">
        <f ca="1">IFERROR(IF(0=LEN(ReferenceData!$AE$109),"",ReferenceData!$AE$109),"")</f>
        <v>230.834</v>
      </c>
      <c r="AF109">
        <f ca="1">IFERROR(IF(0=LEN(ReferenceData!$AF$109),"",ReferenceData!$AF$109),"")</f>
        <v>239.958</v>
      </c>
      <c r="AG109">
        <f ca="1">IFERROR(IF(0=LEN(ReferenceData!$AG$109),"",ReferenceData!$AG$109),"")</f>
        <v>133.84700000000001</v>
      </c>
      <c r="AH109">
        <f ca="1">IFERROR(IF(0=LEN(ReferenceData!$AH$109),"",ReferenceData!$AH$109),"")</f>
        <v>113.053</v>
      </c>
      <c r="AI109">
        <f ca="1">IFERROR(IF(0=LEN(ReferenceData!$AI$109),"",ReferenceData!$AI$109),"")</f>
        <v>107.623</v>
      </c>
      <c r="AJ109">
        <f ca="1">IFERROR(IF(0=LEN(ReferenceData!$AJ$109),"",ReferenceData!$AJ$109),"")</f>
        <v>109.282</v>
      </c>
      <c r="AK109">
        <f ca="1">IFERROR(IF(0=LEN(ReferenceData!$AK$109),"",ReferenceData!$AK$109),"")</f>
        <v>106.575</v>
      </c>
      <c r="AL109">
        <f ca="1">IFERROR(IF(0=LEN(ReferenceData!$AL$109),"",ReferenceData!$AL$109),"")</f>
        <v>98.459000000000003</v>
      </c>
      <c r="AM109">
        <f ca="1">IFERROR(IF(0=LEN(ReferenceData!$AM$109),"",ReferenceData!$AM$109),"")</f>
        <v>93.034000000000006</v>
      </c>
      <c r="AN109">
        <f ca="1">IFERROR(IF(0=LEN(ReferenceData!$AN$109),"",ReferenceData!$AN$109),"")</f>
        <v>97.259</v>
      </c>
      <c r="AO109">
        <f ca="1">IFERROR(IF(0=LEN(ReferenceData!$AO$109),"",ReferenceData!$AO$109),"")</f>
        <v>101.46</v>
      </c>
      <c r="AP109">
        <f ca="1">IFERROR(IF(0=LEN(ReferenceData!$AP$109),"",ReferenceData!$AP$109),"")</f>
        <v>91.51</v>
      </c>
      <c r="AQ109">
        <f ca="1">IFERROR(IF(0=LEN(ReferenceData!$AQ$109),"",ReferenceData!$AQ$109),"")</f>
        <v>86.91</v>
      </c>
      <c r="AR109">
        <f ca="1">IFERROR(IF(0=LEN(ReferenceData!$AR$109),"",ReferenceData!$AR$109),"")</f>
        <v>89.936999999999998</v>
      </c>
      <c r="AS109">
        <f ca="1">IFERROR(IF(0=LEN(ReferenceData!$AS$109),"",ReferenceData!$AS$109),"")</f>
        <v>92.951999999999998</v>
      </c>
      <c r="AT109">
        <f ca="1">IFERROR(IF(0=LEN(ReferenceData!$AT$109),"",ReferenceData!$AT$109),"")</f>
        <v>86.89</v>
      </c>
      <c r="AU109">
        <f ca="1">IFERROR(IF(0=LEN(ReferenceData!$AU$109),"",ReferenceData!$AU$109),"")</f>
        <v>80.381</v>
      </c>
      <c r="AV109">
        <f ca="1">IFERROR(IF(0=LEN(ReferenceData!$AV$109),"",ReferenceData!$AV$109),"")</f>
        <v>82.123999999999995</v>
      </c>
      <c r="AW109">
        <f ca="1">IFERROR(IF(0=LEN(ReferenceData!$AW$109),"",ReferenceData!$AW$109),"")</f>
        <v>81.751999999999995</v>
      </c>
      <c r="AX109">
        <f ca="1">IFERROR(IF(0=LEN(ReferenceData!$AX$109),"",ReferenceData!$AX$109),"")</f>
        <v>67.832999999999998</v>
      </c>
      <c r="AY109">
        <f ca="1">IFERROR(IF(0=LEN(ReferenceData!$AY$109),"",ReferenceData!$AY$109),"")</f>
        <v>60.292999999999999</v>
      </c>
      <c r="AZ109">
        <f ca="1">IFERROR(IF(0=LEN(ReferenceData!$AZ$109),"",ReferenceData!$AZ$109),"")</f>
        <v>54.718361000000002</v>
      </c>
      <c r="BA109">
        <f ca="1">IFERROR(IF(0=LEN(ReferenceData!$BA$109),"",ReferenceData!$BA$109),"")</f>
        <v>54.585999999999999</v>
      </c>
      <c r="BB109">
        <f ca="1">IFERROR(IF(0=LEN(ReferenceData!$BB$109),"",ReferenceData!$BB$109),"")</f>
        <v>52.512999999999998</v>
      </c>
      <c r="BC109">
        <f ca="1">IFERROR(IF(0=LEN(ReferenceData!$BC$109),"",ReferenceData!$BC$109),"")</f>
        <v>70.679000000000002</v>
      </c>
      <c r="BD109">
        <f ca="1">IFERROR(IF(0=LEN(ReferenceData!$BD$109),"",ReferenceData!$BD$109),"")</f>
        <v>56.343000000000004</v>
      </c>
      <c r="BE109">
        <f ca="1">IFERROR(IF(0=LEN(ReferenceData!$BE$109),"",ReferenceData!$BE$109),"")</f>
        <v>45.433</v>
      </c>
      <c r="BF109">
        <f ca="1">IFERROR(IF(0=LEN(ReferenceData!$BF$109),"",ReferenceData!$BF$109),"")</f>
        <v>40.747999999999998</v>
      </c>
      <c r="BG109">
        <f ca="1">IFERROR(IF(0=LEN(ReferenceData!$BG$109),"",ReferenceData!$BG$109),"")</f>
        <v>40.128</v>
      </c>
      <c r="BH109">
        <f ca="1">IFERROR(IF(0=LEN(ReferenceData!$BH$109),"",ReferenceData!$BH$109),"")</f>
        <v>38.450000000000003</v>
      </c>
      <c r="BI109">
        <f ca="1">IFERROR(IF(0=LEN(ReferenceData!$BI$109),"",ReferenceData!$BI$109),"")</f>
        <v>37.695999999999998</v>
      </c>
      <c r="BJ109">
        <f ca="1">IFERROR(IF(0=LEN(ReferenceData!$BJ$109),"",ReferenceData!$BJ$109),"")</f>
        <v>34.048000000000002</v>
      </c>
      <c r="BK109">
        <f ca="1">IFERROR(IF(0=LEN(ReferenceData!$BK$109),"",ReferenceData!$BK$109),"")</f>
        <v>32.262001040000001</v>
      </c>
      <c r="BL109">
        <f ca="1">IFERROR(IF(0=LEN(ReferenceData!$BL$109),"",ReferenceData!$BL$109),"")</f>
        <v>40.311000819999997</v>
      </c>
      <c r="BM109">
        <f ca="1">IFERROR(IF(0=LEN(ReferenceData!$BM$109),"",ReferenceData!$BM$109),"")</f>
        <v>32.118000000000002</v>
      </c>
    </row>
    <row r="110" spans="1:65">
      <c r="A110" t="str">
        <f>IFERROR(IF(0=LEN(ReferenceData!$A$110),"",ReferenceData!$A$110),"")</f>
        <v xml:space="preserve">    Welltower Inc</v>
      </c>
      <c r="B110" t="str">
        <f>IFERROR(IF(0=LEN(ReferenceData!$B$110),"",ReferenceData!$B$110),"")</f>
        <v>HCN US Equity</v>
      </c>
      <c r="C110" t="str">
        <f>IFERROR(IF(0=LEN(ReferenceData!$C$110),"",ReferenceData!$C$110),"")</f>
        <v>F0578</v>
      </c>
      <c r="D110" t="str">
        <f>IFERROR(IF(0=LEN(ReferenceData!$D$110),"",ReferenceData!$D$110),"")</f>
        <v>FUNDS_AVAILABLE_FOR_DISTRIBUTION</v>
      </c>
      <c r="E110" t="str">
        <f>IFERROR(IF(0=LEN(ReferenceData!$E$110),"",ReferenceData!$E$110),"")</f>
        <v>动态</v>
      </c>
      <c r="F110" t="str">
        <f ca="1">IFERROR(IF(0=LEN(ReferenceData!$F$110),"",ReferenceData!$F$110),"")</f>
        <v/>
      </c>
      <c r="G110">
        <f ca="1">IFERROR(IF(0=LEN(ReferenceData!$G$110),"",ReferenceData!$G$110),"")</f>
        <v>345.05200000000002</v>
      </c>
      <c r="H110">
        <f ca="1">IFERROR(IF(0=LEN(ReferenceData!$H$110),"",ReferenceData!$H$110),"")</f>
        <v>373.37700000000001</v>
      </c>
      <c r="I110">
        <f ca="1">IFERROR(IF(0=LEN(ReferenceData!$I$110),"",ReferenceData!$I$110),"")</f>
        <v>362.26600000000002</v>
      </c>
      <c r="J110">
        <f ca="1">IFERROR(IF(0=LEN(ReferenceData!$J$110),"",ReferenceData!$J$110),"")</f>
        <v>353.70600000000002</v>
      </c>
      <c r="K110">
        <f ca="1">IFERROR(IF(0=LEN(ReferenceData!$K$110),"",ReferenceData!$K$110),"")</f>
        <v>360.49400000000003</v>
      </c>
      <c r="L110">
        <f ca="1">IFERROR(IF(0=LEN(ReferenceData!$L$110),"",ReferenceData!$L$110),"")</f>
        <v>374.10599999999999</v>
      </c>
      <c r="M110">
        <f ca="1">IFERROR(IF(0=LEN(ReferenceData!$M$110),"",ReferenceData!$M$110),"")</f>
        <v>373.06900000000002</v>
      </c>
      <c r="N110">
        <f ca="1">IFERROR(IF(0=LEN(ReferenceData!$N$110),"",ReferenceData!$N$110),"")</f>
        <v>359.48099999999999</v>
      </c>
      <c r="O110">
        <f ca="1">IFERROR(IF(0=LEN(ReferenceData!$O$110),"",ReferenceData!$O$110),"")</f>
        <v>359.06200000000001</v>
      </c>
      <c r="P110">
        <f ca="1">IFERROR(IF(0=LEN(ReferenceData!$P$110),"",ReferenceData!$P$110),"")</f>
        <v>351.22399999999999</v>
      </c>
      <c r="Q110">
        <f ca="1">IFERROR(IF(0=LEN(ReferenceData!$Q$110),"",ReferenceData!$Q$110),"")</f>
        <v>333.95100000000002</v>
      </c>
      <c r="R110">
        <f ca="1">IFERROR(IF(0=LEN(ReferenceData!$R$110),"",ReferenceData!$R$110),"")</f>
        <v>310.87299999999999</v>
      </c>
      <c r="S110">
        <f ca="1">IFERROR(IF(0=LEN(ReferenceData!$S$110),"",ReferenceData!$S$110),"")</f>
        <v>298.18099999999998</v>
      </c>
      <c r="T110">
        <f ca="1">IFERROR(IF(0=LEN(ReferenceData!$T$110),"",ReferenceData!$T$110),"")</f>
        <v>284.72800000000001</v>
      </c>
      <c r="U110">
        <f ca="1">IFERROR(IF(0=LEN(ReferenceData!$U$110),"",ReferenceData!$U$110),"")</f>
        <v>287.34899999999999</v>
      </c>
      <c r="V110">
        <f ca="1">IFERROR(IF(0=LEN(ReferenceData!$V$110),"",ReferenceData!$V$110),"")</f>
        <v>261.60700000000003</v>
      </c>
      <c r="W110">
        <f ca="1">IFERROR(IF(0=LEN(ReferenceData!$W$110),"",ReferenceData!$W$110),"")</f>
        <v>252.51400000000001</v>
      </c>
      <c r="X110">
        <f ca="1">IFERROR(IF(0=LEN(ReferenceData!$X$110),"",ReferenceData!$X$110),"")</f>
        <v>248.452</v>
      </c>
      <c r="Y110">
        <f ca="1">IFERROR(IF(0=LEN(ReferenceData!$Y$110),"",ReferenceData!$Y$110),"")</f>
        <v>234.39500000000001</v>
      </c>
      <c r="Z110">
        <f ca="1">IFERROR(IF(0=LEN(ReferenceData!$Z$110),"",ReferenceData!$Z$110),"")</f>
        <v>220.23400000000001</v>
      </c>
      <c r="AA110">
        <f ca="1">IFERROR(IF(0=LEN(ReferenceData!$AA$110),"",ReferenceData!$AA$110),"")</f>
        <v>189.309</v>
      </c>
      <c r="AB110">
        <f ca="1">IFERROR(IF(0=LEN(ReferenceData!$AB$110),"",ReferenceData!$AB$110),"")</f>
        <v>180.541</v>
      </c>
      <c r="AC110">
        <f ca="1">IFERROR(IF(0=LEN(ReferenceData!$AC$110),"",ReferenceData!$AC$110),"")</f>
        <v>146.32900000000001</v>
      </c>
      <c r="AD110">
        <f ca="1">IFERROR(IF(0=LEN(ReferenceData!$AD$110),"",ReferenceData!$AD$110),"")</f>
        <v>159.25299999999999</v>
      </c>
      <c r="AE110">
        <f ca="1">IFERROR(IF(0=LEN(ReferenceData!$AE$110),"",ReferenceData!$AE$110),"")</f>
        <v>149.756</v>
      </c>
      <c r="AF110">
        <f ca="1">IFERROR(IF(0=LEN(ReferenceData!$AF$110),"",ReferenceData!$AF$110),"")</f>
        <v>140.357</v>
      </c>
      <c r="AG110">
        <f ca="1">IFERROR(IF(0=LEN(ReferenceData!$AG$110),"",ReferenceData!$AG$110),"")</f>
        <v>129.00299999999999</v>
      </c>
      <c r="AH110">
        <f ca="1">IFERROR(IF(0=LEN(ReferenceData!$AH$110),"",ReferenceData!$AH$110),"")</f>
        <v>101.694</v>
      </c>
      <c r="AI110">
        <f ca="1">IFERROR(IF(0=LEN(ReferenceData!$AI$110),"",ReferenceData!$AI$110),"")</f>
        <v>96.364000000000004</v>
      </c>
      <c r="AJ110">
        <f ca="1">IFERROR(IF(0=LEN(ReferenceData!$AJ$110),"",ReferenceData!$AJ$110),"")</f>
        <v>96.361000000000004</v>
      </c>
      <c r="AK110">
        <f ca="1">IFERROR(IF(0=LEN(ReferenceData!$AK$110),"",ReferenceData!$AK$110),"")</f>
        <v>95.126000000000005</v>
      </c>
      <c r="AL110">
        <f ca="1">IFERROR(IF(0=LEN(ReferenceData!$AL$110),"",ReferenceData!$AL$110),"")</f>
        <v>88.287999999999997</v>
      </c>
      <c r="AM110">
        <f ca="1">IFERROR(IF(0=LEN(ReferenceData!$AM$110),"",ReferenceData!$AM$110),"")</f>
        <v>92.998999999999995</v>
      </c>
      <c r="AN110">
        <f ca="1">IFERROR(IF(0=LEN(ReferenceData!$AN$110),"",ReferenceData!$AN$110),"")</f>
        <v>91.566000000000003</v>
      </c>
      <c r="AO110">
        <f ca="1">IFERROR(IF(0=LEN(ReferenceData!$AO$110),"",ReferenceData!$AO$110),"")</f>
        <v>91.308000000000007</v>
      </c>
      <c r="AP110">
        <f ca="1">IFERROR(IF(0=LEN(ReferenceData!$AP$110),"",ReferenceData!$AP$110),"")</f>
        <v>90.543000000000006</v>
      </c>
      <c r="AQ110">
        <f ca="1">IFERROR(IF(0=LEN(ReferenceData!$AQ$110),"",ReferenceData!$AQ$110),"")</f>
        <v>69.959000000000003</v>
      </c>
      <c r="AR110">
        <f ca="1">IFERROR(IF(0=LEN(ReferenceData!$AR$110),"",ReferenceData!$AR$110),"")</f>
        <v>82.153999999999996</v>
      </c>
      <c r="AS110">
        <f ca="1">IFERROR(IF(0=LEN(ReferenceData!$AS$110),"",ReferenceData!$AS$110),"")</f>
        <v>81.081999999999994</v>
      </c>
      <c r="AT110">
        <f ca="1">IFERROR(IF(0=LEN(ReferenceData!$AT$110),"",ReferenceData!$AT$110),"")</f>
        <v>66.784999999999997</v>
      </c>
      <c r="AU110">
        <f ca="1">IFERROR(IF(0=LEN(ReferenceData!$AU$110),"",ReferenceData!$AU$110),"")</f>
        <v>74.057000000000002</v>
      </c>
      <c r="AV110">
        <f ca="1">IFERROR(IF(0=LEN(ReferenceData!$AV$110),"",ReferenceData!$AV$110),"")</f>
        <v>66.224000000000004</v>
      </c>
      <c r="AW110">
        <f ca="1">IFERROR(IF(0=LEN(ReferenceData!$AW$110),"",ReferenceData!$AW$110),"")</f>
        <v>58.942999999999998</v>
      </c>
      <c r="AX110">
        <f ca="1">IFERROR(IF(0=LEN(ReferenceData!$AX$110),"",ReferenceData!$AX$110),"")</f>
        <v>54.257539999999999</v>
      </c>
      <c r="AY110">
        <f ca="1">IFERROR(IF(0=LEN(ReferenceData!$AY$110),"",ReferenceData!$AY$110),"")</f>
        <v>52.02</v>
      </c>
      <c r="AZ110">
        <f ca="1">IFERROR(IF(0=LEN(ReferenceData!$AZ$110),"",ReferenceData!$AZ$110),"")</f>
        <v>47.917999999999999</v>
      </c>
      <c r="BA110">
        <f ca="1">IFERROR(IF(0=LEN(ReferenceData!$BA$110),"",ReferenceData!$BA$110),"")</f>
        <v>47.070999999999998</v>
      </c>
      <c r="BB110">
        <f ca="1">IFERROR(IF(0=LEN(ReferenceData!$BB$110),"",ReferenceData!$BB$110),"")</f>
        <v>49.975000000000001</v>
      </c>
      <c r="BC110">
        <f ca="1">IFERROR(IF(0=LEN(ReferenceData!$BC$110),"",ReferenceData!$BC$110),"")</f>
        <v>19.751999999999999</v>
      </c>
      <c r="BD110">
        <f ca="1">IFERROR(IF(0=LEN(ReferenceData!$BD$110),"",ReferenceData!$BD$110),"")</f>
        <v>41.975000000000001</v>
      </c>
      <c r="BE110">
        <f ca="1">IFERROR(IF(0=LEN(ReferenceData!$BE$110),"",ReferenceData!$BE$110),"")</f>
        <v>19.427</v>
      </c>
      <c r="BF110">
        <f ca="1">IFERROR(IF(0=LEN(ReferenceData!$BF$110),"",ReferenceData!$BF$110),"")</f>
        <v>38.308999999999997</v>
      </c>
      <c r="BG110">
        <f ca="1">IFERROR(IF(0=LEN(ReferenceData!$BG$110),"",ReferenceData!$BG$110),"")</f>
        <v>37.299999999999997</v>
      </c>
      <c r="BH110" t="str">
        <f ca="1">IFERROR(IF(0=LEN(ReferenceData!$BH$110),"",ReferenceData!$BH$110),"")</f>
        <v/>
      </c>
      <c r="BI110" t="str">
        <f ca="1">IFERROR(IF(0=LEN(ReferenceData!$BI$110),"",ReferenceData!$BI$110),"")</f>
        <v/>
      </c>
      <c r="BJ110" t="str">
        <f ca="1">IFERROR(IF(0=LEN(ReferenceData!$BJ$110),"",ReferenceData!$BJ$110),"")</f>
        <v/>
      </c>
      <c r="BK110">
        <f ca="1">IFERROR(IF(0=LEN(ReferenceData!$BK$110),"",ReferenceData!$BK$110),"")</f>
        <v>35.998001000000002</v>
      </c>
      <c r="BL110" t="str">
        <f ca="1">IFERROR(IF(0=LEN(ReferenceData!$BL$110),"",ReferenceData!$BL$110),"")</f>
        <v/>
      </c>
      <c r="BM110" t="str">
        <f ca="1">IFERROR(IF(0=LEN(ReferenceData!$BM$110),"",ReferenceData!$BM$110),"")</f>
        <v/>
      </c>
    </row>
    <row r="111" spans="1:65">
      <c r="A111" t="str">
        <f>IFERROR(IF(0=LEN(ReferenceData!$A$111),"",ReferenceData!$A$111),"")</f>
        <v>收入增长同比(%)</v>
      </c>
      <c r="B111" t="str">
        <f>IFERROR(IF(0=LEN(ReferenceData!$B$111),"",ReferenceData!$B$111),"")</f>
        <v/>
      </c>
      <c r="C111" t="str">
        <f>IFERROR(IF(0=LEN(ReferenceData!$C$111),"",ReferenceData!$C$111),"")</f>
        <v/>
      </c>
      <c r="D111" t="str">
        <f>IFERROR(IF(0=LEN(ReferenceData!$D$111),"",ReferenceData!$D$111),"")</f>
        <v/>
      </c>
      <c r="E111" t="str">
        <f>IFERROR(IF(0=LEN(ReferenceData!$E$111),"",ReferenceData!$E$111),"")</f>
        <v>Median</v>
      </c>
      <c r="F111" t="str">
        <f ca="1">IFERROR(IF(0=LEN(ReferenceData!$F$111),"",ReferenceData!$F$111),"")</f>
        <v/>
      </c>
      <c r="G111">
        <f ca="1">IFERROR(IF(0=LEN(ReferenceData!$G$111),"",ReferenceData!$G$111),"")</f>
        <v>2.3525595514999997</v>
      </c>
      <c r="H111">
        <f ca="1">IFERROR(IF(0=LEN(ReferenceData!$H$111),"",ReferenceData!$H$111),"")</f>
        <v>3.4808825460000001</v>
      </c>
      <c r="I111">
        <f ca="1">IFERROR(IF(0=LEN(ReferenceData!$I$111),"",ReferenceData!$I$111),"")</f>
        <v>3.0473202110000002</v>
      </c>
      <c r="J111">
        <f ca="1">IFERROR(IF(0=LEN(ReferenceData!$J$111),"",ReferenceData!$J$111),"")</f>
        <v>3.655332874</v>
      </c>
      <c r="K111">
        <f ca="1">IFERROR(IF(0=LEN(ReferenceData!$K$111),"",ReferenceData!$K$111),"")</f>
        <v>4.7438328329999999</v>
      </c>
      <c r="L111">
        <f ca="1">IFERROR(IF(0=LEN(ReferenceData!$L$111),"",ReferenceData!$L$111),"")</f>
        <v>6.0424942599999998</v>
      </c>
      <c r="M111">
        <f ca="1">IFERROR(IF(0=LEN(ReferenceData!$M$111),"",ReferenceData!$M$111),"")</f>
        <v>10.73688748</v>
      </c>
      <c r="N111">
        <f ca="1">IFERROR(IF(0=LEN(ReferenceData!$N$111),"",ReferenceData!$N$111),"")</f>
        <v>11.2002143545</v>
      </c>
      <c r="O111">
        <f ca="1">IFERROR(IF(0=LEN(ReferenceData!$O$111),"",ReferenceData!$O$111),"")</f>
        <v>17.522499439999997</v>
      </c>
      <c r="P111">
        <f ca="1">IFERROR(IF(0=LEN(ReferenceData!$P$111),"",ReferenceData!$P$111),"")</f>
        <v>17.554691625</v>
      </c>
      <c r="Q111">
        <f ca="1">IFERROR(IF(0=LEN(ReferenceData!$Q$111),"",ReferenceData!$Q$111),"")</f>
        <v>15.775435045</v>
      </c>
      <c r="R111">
        <f ca="1">IFERROR(IF(0=LEN(ReferenceData!$R$111),"",ReferenceData!$R$111),"")</f>
        <v>11.596843705000001</v>
      </c>
      <c r="S111">
        <f ca="1">IFERROR(IF(0=LEN(ReferenceData!$S$111),"",ReferenceData!$S$111),"")</f>
        <v>13.361236365</v>
      </c>
      <c r="T111">
        <f ca="1">IFERROR(IF(0=LEN(ReferenceData!$T$111),"",ReferenceData!$T$111),"")</f>
        <v>15.776008725000001</v>
      </c>
      <c r="U111">
        <f ca="1">IFERROR(IF(0=LEN(ReferenceData!$U$111),"",ReferenceData!$U$111),"")</f>
        <v>15.059264129999999</v>
      </c>
      <c r="V111">
        <f ca="1">IFERROR(IF(0=LEN(ReferenceData!$V$111),"",ReferenceData!$V$111),"")</f>
        <v>18.091720304999999</v>
      </c>
      <c r="W111">
        <f ca="1">IFERROR(IF(0=LEN(ReferenceData!$W$111),"",ReferenceData!$W$111),"")</f>
        <v>13.879602615</v>
      </c>
      <c r="X111">
        <f ca="1">IFERROR(IF(0=LEN(ReferenceData!$X$111),"",ReferenceData!$X$111),"")</f>
        <v>14.968460104999998</v>
      </c>
      <c r="Y111">
        <f ca="1">IFERROR(IF(0=LEN(ReferenceData!$Y$111),"",ReferenceData!$Y$111),"")</f>
        <v>14.282051705000001</v>
      </c>
      <c r="Z111">
        <f ca="1">IFERROR(IF(0=LEN(ReferenceData!$Z$111),"",ReferenceData!$Z$111),"")</f>
        <v>20.485414120000002</v>
      </c>
      <c r="AA111">
        <f ca="1">IFERROR(IF(0=LEN(ReferenceData!$AA$111),"",ReferenceData!$AA$111),"")</f>
        <v>14.280749749999998</v>
      </c>
      <c r="AB111">
        <f ca="1">IFERROR(IF(0=LEN(ReferenceData!$AB$111),"",ReferenceData!$AB$111),"")</f>
        <v>17.309460505000001</v>
      </c>
      <c r="AC111">
        <f ca="1">IFERROR(IF(0=LEN(ReferenceData!$AC$111),"",ReferenceData!$AC$111),"")</f>
        <v>17.076138425</v>
      </c>
      <c r="AD111">
        <f ca="1">IFERROR(IF(0=LEN(ReferenceData!$AD$111),"",ReferenceData!$AD$111),"")</f>
        <v>27.476080315000001</v>
      </c>
      <c r="AE111">
        <f ca="1">IFERROR(IF(0=LEN(ReferenceData!$AE$111),"",ReferenceData!$AE$111),"")</f>
        <v>13.382849220000001</v>
      </c>
      <c r="AF111">
        <f ca="1">IFERROR(IF(0=LEN(ReferenceData!$AF$111),"",ReferenceData!$AF$111),"")</f>
        <v>27.067049985000004</v>
      </c>
      <c r="AG111">
        <f ca="1">IFERROR(IF(0=LEN(ReferenceData!$AG$111),"",ReferenceData!$AG$111),"")</f>
        <v>24.361922100000001</v>
      </c>
      <c r="AH111">
        <f ca="1">IFERROR(IF(0=LEN(ReferenceData!$AH$111),"",ReferenceData!$AH$111),"")</f>
        <v>17.20192466</v>
      </c>
      <c r="AI111">
        <f ca="1">IFERROR(IF(0=LEN(ReferenceData!$AI$111),"",ReferenceData!$AI$111),"")</f>
        <v>13.225798220000001</v>
      </c>
      <c r="AJ111">
        <f ca="1">IFERROR(IF(0=LEN(ReferenceData!$AJ$111),"",ReferenceData!$AJ$111),"")</f>
        <v>10.443866959999999</v>
      </c>
      <c r="AK111">
        <f ca="1">IFERROR(IF(0=LEN(ReferenceData!$AK$111),"",ReferenceData!$AK$111),"")</f>
        <v>4.2706203140000003</v>
      </c>
      <c r="AL111">
        <f ca="1">IFERROR(IF(0=LEN(ReferenceData!$AL$111),"",ReferenceData!$AL$111),"")</f>
        <v>4.7037725249999998</v>
      </c>
      <c r="AM111">
        <f ca="1">IFERROR(IF(0=LEN(ReferenceData!$AM$111),"",ReferenceData!$AM$111),"")</f>
        <v>1.7900216600000001</v>
      </c>
      <c r="AN111">
        <f ca="1">IFERROR(IF(0=LEN(ReferenceData!$AN$111),"",ReferenceData!$AN$111),"")</f>
        <v>2.9280820400000001</v>
      </c>
      <c r="AO111">
        <f ca="1">IFERROR(IF(0=LEN(ReferenceData!$AO$111),"",ReferenceData!$AO$111),"")</f>
        <v>11.271580650000001</v>
      </c>
      <c r="AP111">
        <f ca="1">IFERROR(IF(0=LEN(ReferenceData!$AP$111),"",ReferenceData!$AP$111),"")</f>
        <v>18.947549899999999</v>
      </c>
      <c r="AQ111">
        <f ca="1">IFERROR(IF(0=LEN(ReferenceData!$AQ$111),"",ReferenceData!$AQ$111),"")</f>
        <v>15.99215042</v>
      </c>
      <c r="AR111">
        <f ca="1">IFERROR(IF(0=LEN(ReferenceData!$AR$111),"",ReferenceData!$AR$111),"")</f>
        <v>10.208898509999999</v>
      </c>
      <c r="AS111">
        <f ca="1">IFERROR(IF(0=LEN(ReferenceData!$AS$111),"",ReferenceData!$AS$111),"")</f>
        <v>16.006356050000001</v>
      </c>
      <c r="AT111">
        <f ca="1">IFERROR(IF(0=LEN(ReferenceData!$AT$111),"",ReferenceData!$AT$111),"")</f>
        <v>14.873409110000001</v>
      </c>
      <c r="AU111">
        <f ca="1">IFERROR(IF(0=LEN(ReferenceData!$AU$111),"",ReferenceData!$AU$111),"")</f>
        <v>42.71589187</v>
      </c>
      <c r="AV111">
        <f ca="1">IFERROR(IF(0=LEN(ReferenceData!$AV$111),"",ReferenceData!$AV$111),"")</f>
        <v>35.59934543</v>
      </c>
      <c r="AW111">
        <f ca="1">IFERROR(IF(0=LEN(ReferenceData!$AW$111),"",ReferenceData!$AW$111),"")</f>
        <v>39.161477594999994</v>
      </c>
      <c r="AX111">
        <f ca="1">IFERROR(IF(0=LEN(ReferenceData!$AX$111),"",ReferenceData!$AX$111),"")</f>
        <v>34.007110554999997</v>
      </c>
      <c r="AY111">
        <f ca="1">IFERROR(IF(0=LEN(ReferenceData!$AY$111),"",ReferenceData!$AY$111),"")</f>
        <v>22.185562515000001</v>
      </c>
      <c r="AZ111">
        <f ca="1">IFERROR(IF(0=LEN(ReferenceData!$AZ$111),"",ReferenceData!$AZ$111),"")</f>
        <v>11.737223695000001</v>
      </c>
      <c r="BA111">
        <f ca="1">IFERROR(IF(0=LEN(ReferenceData!$BA$111),"",ReferenceData!$BA$111),"")</f>
        <v>20.834273539999998</v>
      </c>
      <c r="BB111">
        <f ca="1">IFERROR(IF(0=LEN(ReferenceData!$BB$111),"",ReferenceData!$BB$111),"")</f>
        <v>17.518578925</v>
      </c>
      <c r="BC111">
        <f ca="1">IFERROR(IF(0=LEN(ReferenceData!$BC$111),"",ReferenceData!$BC$111),"")</f>
        <v>26.357080589999999</v>
      </c>
      <c r="BD111">
        <f ca="1">IFERROR(IF(0=LEN(ReferenceData!$BD$111),"",ReferenceData!$BD$111),"")</f>
        <v>12.589525699999999</v>
      </c>
      <c r="BE111">
        <f ca="1">IFERROR(IF(0=LEN(ReferenceData!$BE$111),"",ReferenceData!$BE$111),"")</f>
        <v>11.544524770000001</v>
      </c>
      <c r="BF111">
        <f ca="1">IFERROR(IF(0=LEN(ReferenceData!$BF$111),"",ReferenceData!$BF$111),"")</f>
        <v>22.0464989</v>
      </c>
      <c r="BG111">
        <f ca="1">IFERROR(IF(0=LEN(ReferenceData!$BG$111),"",ReferenceData!$BG$111),"")</f>
        <v>13.596431519999999</v>
      </c>
      <c r="BH111">
        <f ca="1">IFERROR(IF(0=LEN(ReferenceData!$BH$111),"",ReferenceData!$BH$111),"")</f>
        <v>15.90120993</v>
      </c>
      <c r="BI111">
        <f ca="1">IFERROR(IF(0=LEN(ReferenceData!$BI$111),"",ReferenceData!$BI$111),"")</f>
        <v>15.98082604</v>
      </c>
      <c r="BJ111">
        <f ca="1">IFERROR(IF(0=LEN(ReferenceData!$BJ$111),"",ReferenceData!$BJ$111),"")</f>
        <v>15.47560794</v>
      </c>
      <c r="BK111">
        <f ca="1">IFERROR(IF(0=LEN(ReferenceData!$BK$111),"",ReferenceData!$BK$111),"")</f>
        <v>8.1995483359999994</v>
      </c>
      <c r="BL111">
        <f ca="1">IFERROR(IF(0=LEN(ReferenceData!$BL$111),"",ReferenceData!$BL$111),"")</f>
        <v>7.9919934699999997</v>
      </c>
      <c r="BM111">
        <f ca="1">IFERROR(IF(0=LEN(ReferenceData!$BM$111),"",ReferenceData!$BM$111),"")</f>
        <v>5.488020637</v>
      </c>
    </row>
    <row r="112" spans="1:65">
      <c r="A112" t="str">
        <f>IFERROR(IF(0=LEN(ReferenceData!$A$112),"",ReferenceData!$A$112),"")</f>
        <v xml:space="preserve">    Alexandria Real Estate Equitie</v>
      </c>
      <c r="B112" t="str">
        <f>IFERROR(IF(0=LEN(ReferenceData!$B$112),"",ReferenceData!$B$112),"")</f>
        <v>ARE US Equity</v>
      </c>
      <c r="C112" t="str">
        <f>IFERROR(IF(0=LEN(ReferenceData!$C$112),"",ReferenceData!$C$112),"")</f>
        <v>RR033</v>
      </c>
      <c r="D112" t="str">
        <f>IFERROR(IF(0=LEN(ReferenceData!$D$112),"",ReferenceData!$D$112),"")</f>
        <v>SALES_GROWTH</v>
      </c>
      <c r="E112" t="str">
        <f>IFERROR(IF(0=LEN(ReferenceData!$E$112),"",ReferenceData!$E$112),"")</f>
        <v>动态</v>
      </c>
      <c r="F112" t="str">
        <f ca="1">IFERROR(IF(0=LEN(ReferenceData!$F$112),"",ReferenceData!$F$112),"")</f>
        <v/>
      </c>
      <c r="G112">
        <f ca="1">IFERROR(IF(0=LEN(ReferenceData!$G$112),"",ReferenceData!$G$112),"")</f>
        <v>19.91836636</v>
      </c>
      <c r="H112">
        <f ca="1">IFERROR(IF(0=LEN(ReferenceData!$H$112),"",ReferenceData!$H$112),"")</f>
        <v>23.869797160000001</v>
      </c>
      <c r="I112">
        <f ca="1">IFERROR(IF(0=LEN(ReferenceData!$I$112),"",ReferenceData!$I$112),"")</f>
        <v>20.781949430000001</v>
      </c>
      <c r="J112">
        <f ca="1">IFERROR(IF(0=LEN(ReferenceData!$J$112),"",ReferenceData!$J$112),"")</f>
        <v>25.354367880000002</v>
      </c>
      <c r="K112">
        <f ca="1">IFERROR(IF(0=LEN(ReferenceData!$K$112),"",ReferenceData!$K$112),"")</f>
        <v>11.25538613</v>
      </c>
      <c r="L112">
        <f ca="1">IFERROR(IF(0=LEN(ReferenceData!$L$112),"",ReferenceData!$L$112),"")</f>
        <v>5.3835597640000001</v>
      </c>
      <c r="M112">
        <f ca="1">IFERROR(IF(0=LEN(ReferenceData!$M$112),"",ReferenceData!$M$112),"")</f>
        <v>10.73688748</v>
      </c>
      <c r="N112">
        <f ca="1">IFERROR(IF(0=LEN(ReferenceData!$N$112),"",ReferenceData!$N$112),"")</f>
        <v>9.8275502790000004</v>
      </c>
      <c r="O112">
        <f ca="1">IFERROR(IF(0=LEN(ReferenceData!$O$112),"",ReferenceData!$O$112),"")</f>
        <v>18.69944984</v>
      </c>
      <c r="P112">
        <f ca="1">IFERROR(IF(0=LEN(ReferenceData!$P$112),"",ReferenceData!$P$112),"")</f>
        <v>17.776041809999999</v>
      </c>
      <c r="Q112">
        <f ca="1">IFERROR(IF(0=LEN(ReferenceData!$Q$112),"",ReferenceData!$Q$112),"")</f>
        <v>15.73338171</v>
      </c>
      <c r="R112">
        <f ca="1">IFERROR(IF(0=LEN(ReferenceData!$R$112),"",ReferenceData!$R$112),"")</f>
        <v>11.67345873</v>
      </c>
      <c r="S112">
        <f ca="1">IFERROR(IF(0=LEN(ReferenceData!$S$112),"",ReferenceData!$S$112),"")</f>
        <v>11.758468929999999</v>
      </c>
      <c r="T112">
        <f ca="1">IFERROR(IF(0=LEN(ReferenceData!$T$112),"",ReferenceData!$T$112),"")</f>
        <v>17.244101950000001</v>
      </c>
      <c r="U112">
        <f ca="1">IFERROR(IF(0=LEN(ReferenceData!$U$112),"",ReferenceData!$U$112),"")</f>
        <v>14.598843629999999</v>
      </c>
      <c r="V112">
        <f ca="1">IFERROR(IF(0=LEN(ReferenceData!$V$112),"",ReferenceData!$V$112),"")</f>
        <v>17.392376219999999</v>
      </c>
      <c r="W112">
        <f ca="1">IFERROR(IF(0=LEN(ReferenceData!$W$112),"",ReferenceData!$W$112),"")</f>
        <v>11.61556058</v>
      </c>
      <c r="X112">
        <f ca="1">IFERROR(IF(0=LEN(ReferenceData!$X$112),"",ReferenceData!$X$112),"")</f>
        <v>10.8260413</v>
      </c>
      <c r="Y112">
        <f ca="1">IFERROR(IF(0=LEN(ReferenceData!$Y$112),"",ReferenceData!$Y$112),"")</f>
        <v>5.7262368380000002</v>
      </c>
      <c r="Z112">
        <f ca="1">IFERROR(IF(0=LEN(ReferenceData!$Z$112),"",ReferenceData!$Z$112),"")</f>
        <v>10.590151130000001</v>
      </c>
      <c r="AA112">
        <f ca="1">IFERROR(IF(0=LEN(ReferenceData!$AA$112),"",ReferenceData!$AA$112),"")</f>
        <v>8.6212468310000006</v>
      </c>
      <c r="AB112">
        <f ca="1">IFERROR(IF(0=LEN(ReferenceData!$AB$112),"",ReferenceData!$AB$112),"")</f>
        <v>3.4740029259999998</v>
      </c>
      <c r="AC112">
        <f ca="1">IFERROR(IF(0=LEN(ReferenceData!$AC$112),"",ReferenceData!$AC$112),"")</f>
        <v>1.5852526849999999</v>
      </c>
      <c r="AD112">
        <f ca="1">IFERROR(IF(0=LEN(ReferenceData!$AD$112),"",ReferenceData!$AD$112),"")</f>
        <v>-3.0081475129999999</v>
      </c>
      <c r="AE112">
        <f ca="1">IFERROR(IF(0=LEN(ReferenceData!$AE$112),"",ReferenceData!$AE$112),"")</f>
        <v>5.6693833570000001</v>
      </c>
      <c r="AF112">
        <f ca="1">IFERROR(IF(0=LEN(ReferenceData!$AF$112),"",ReferenceData!$AF$112),"")</f>
        <v>14.74475123</v>
      </c>
      <c r="AG112">
        <f ca="1">IFERROR(IF(0=LEN(ReferenceData!$AG$112),"",ReferenceData!$AG$112),"")</f>
        <v>22.486112299999998</v>
      </c>
      <c r="AH112">
        <f ca="1">IFERROR(IF(0=LEN(ReferenceData!$AH$112),"",ReferenceData!$AH$112),"")</f>
        <v>20.11022122</v>
      </c>
      <c r="AI112">
        <f ca="1">IFERROR(IF(0=LEN(ReferenceData!$AI$112),"",ReferenceData!$AI$112),"")</f>
        <v>14.529810530000001</v>
      </c>
      <c r="AJ112">
        <f ca="1">IFERROR(IF(0=LEN(ReferenceData!$AJ$112),"",ReferenceData!$AJ$112),"")</f>
        <v>3.8747776840000001</v>
      </c>
      <c r="AK112">
        <f ca="1">IFERROR(IF(0=LEN(ReferenceData!$AK$112),"",ReferenceData!$AK$112),"")</f>
        <v>-3.328679186</v>
      </c>
      <c r="AL112">
        <f ca="1">IFERROR(IF(0=LEN(ReferenceData!$AL$112),"",ReferenceData!$AL$112),"")</f>
        <v>-11.45189611</v>
      </c>
      <c r="AM112">
        <f ca="1">IFERROR(IF(0=LEN(ReferenceData!$AM$112),"",ReferenceData!$AM$112),"")</f>
        <v>-7.5852984640000001</v>
      </c>
      <c r="AN112">
        <f ca="1">IFERROR(IF(0=LEN(ReferenceData!$AN$112),"",ReferenceData!$AN$112),"")</f>
        <v>2.9280820400000001</v>
      </c>
      <c r="AO112">
        <f ca="1">IFERROR(IF(0=LEN(ReferenceData!$AO$112),"",ReferenceData!$AO$112),"")</f>
        <v>11.271580650000001</v>
      </c>
      <c r="AP112">
        <f ca="1">IFERROR(IF(0=LEN(ReferenceData!$AP$112),"",ReferenceData!$AP$112),"")</f>
        <v>20.077216549999999</v>
      </c>
      <c r="AQ112">
        <f ca="1">IFERROR(IF(0=LEN(ReferenceData!$AQ$112),"",ReferenceData!$AQ$112),"")</f>
        <v>15.71433882</v>
      </c>
      <c r="AR112">
        <f ca="1">IFERROR(IF(0=LEN(ReferenceData!$AR$112),"",ReferenceData!$AR$112),"")</f>
        <v>10.208898509999999</v>
      </c>
      <c r="AS112">
        <f ca="1">IFERROR(IF(0=LEN(ReferenceData!$AS$112),"",ReferenceData!$AS$112),"")</f>
        <v>16.006356050000001</v>
      </c>
      <c r="AT112">
        <f ca="1">IFERROR(IF(0=LEN(ReferenceData!$AT$112),"",ReferenceData!$AT$112),"")</f>
        <v>15.58880003</v>
      </c>
      <c r="AU112">
        <f ca="1">IFERROR(IF(0=LEN(ReferenceData!$AU$112),"",ReferenceData!$AU$112),"")</f>
        <v>17.070516940000001</v>
      </c>
      <c r="AV112">
        <f ca="1">IFERROR(IF(0=LEN(ReferenceData!$AV$112),"",ReferenceData!$AV$112),"")</f>
        <v>20.474549870000001</v>
      </c>
      <c r="AW112">
        <f ca="1">IFERROR(IF(0=LEN(ReferenceData!$AW$112),"",ReferenceData!$AW$112),"")</f>
        <v>33.598814599999997</v>
      </c>
      <c r="AX112">
        <f ca="1">IFERROR(IF(0=LEN(ReferenceData!$AX$112),"",ReferenceData!$AX$112),"")</f>
        <v>38.81346748</v>
      </c>
      <c r="AY112">
        <f ca="1">IFERROR(IF(0=LEN(ReferenceData!$AY$112),"",ReferenceData!$AY$112),"")</f>
        <v>44.100031360000003</v>
      </c>
      <c r="AZ112">
        <f ca="1">IFERROR(IF(0=LEN(ReferenceData!$AZ$112),"",ReferenceData!$AZ$112),"")</f>
        <v>36.64269822</v>
      </c>
      <c r="BA112">
        <f ca="1">IFERROR(IF(0=LEN(ReferenceData!$BA$112),"",ReferenceData!$BA$112),"")</f>
        <v>22.53958832</v>
      </c>
      <c r="BB112">
        <f ca="1">IFERROR(IF(0=LEN(ReferenceData!$BB$112),"",ReferenceData!$BB$112),"")</f>
        <v>24.02688221</v>
      </c>
      <c r="BC112">
        <f ca="1">IFERROR(IF(0=LEN(ReferenceData!$BC$112),"",ReferenceData!$BC$112),"")</f>
        <v>26.357080589999999</v>
      </c>
      <c r="BD112">
        <f ca="1">IFERROR(IF(0=LEN(ReferenceData!$BD$112),"",ReferenceData!$BD$112),"")</f>
        <v>33.506963130000003</v>
      </c>
      <c r="BE112">
        <f ca="1">IFERROR(IF(0=LEN(ReferenceData!$BE$112),"",ReferenceData!$BE$112),"")</f>
        <v>31.60168187</v>
      </c>
      <c r="BF112">
        <f ca="1">IFERROR(IF(0=LEN(ReferenceData!$BF$112),"",ReferenceData!$BF$112),"")</f>
        <v>28.70835769</v>
      </c>
      <c r="BG112">
        <f ca="1">IFERROR(IF(0=LEN(ReferenceData!$BG$112),"",ReferenceData!$BG$112),"")</f>
        <v>29.078123000000001</v>
      </c>
      <c r="BH112">
        <f ca="1">IFERROR(IF(0=LEN(ReferenceData!$BH$112),"",ReferenceData!$BH$112),"")</f>
        <v>15.90120993</v>
      </c>
      <c r="BI112">
        <f ca="1">IFERROR(IF(0=LEN(ReferenceData!$BI$112),"",ReferenceData!$BI$112),"")</f>
        <v>10.30768451</v>
      </c>
      <c r="BJ112">
        <f ca="1">IFERROR(IF(0=LEN(ReferenceData!$BJ$112),"",ReferenceData!$BJ$112),"")</f>
        <v>6.8333374960000004</v>
      </c>
      <c r="BK112">
        <f ca="1">IFERROR(IF(0=LEN(ReferenceData!$BK$112),"",ReferenceData!$BK$112),"")</f>
        <v>5.9928443649999998</v>
      </c>
      <c r="BL112">
        <f ca="1">IFERROR(IF(0=LEN(ReferenceData!$BL$112),"",ReferenceData!$BL$112),"")</f>
        <v>8.7375217010000004</v>
      </c>
      <c r="BM112">
        <f ca="1">IFERROR(IF(0=LEN(ReferenceData!$BM$112),"",ReferenceData!$BM$112),"")</f>
        <v>13.24588846</v>
      </c>
    </row>
    <row r="113" spans="1:65">
      <c r="A113" t="str">
        <f>IFERROR(IF(0=LEN(ReferenceData!$A$113),"",ReferenceData!$A$113),"")</f>
        <v xml:space="preserve">    Care Capital Properties Inc</v>
      </c>
      <c r="B113" t="str">
        <f>IFERROR(IF(0=LEN(ReferenceData!$B$113),"",ReferenceData!$B$113),"")</f>
        <v>CCP US Equity</v>
      </c>
      <c r="C113" t="str">
        <f>IFERROR(IF(0=LEN(ReferenceData!$C$113),"",ReferenceData!$C$113),"")</f>
        <v>RR033</v>
      </c>
      <c r="D113" t="str">
        <f>IFERROR(IF(0=LEN(ReferenceData!$D$113),"",ReferenceData!$D$113),"")</f>
        <v>SALES_GROWTH</v>
      </c>
      <c r="E113" t="str">
        <f>IFERROR(IF(0=LEN(ReferenceData!$E$113),"",ReferenceData!$E$113),"")</f>
        <v>动态</v>
      </c>
      <c r="F113" t="str">
        <f ca="1">IFERROR(IF(0=LEN(ReferenceData!$F$113),"",ReferenceData!$F$113),"")</f>
        <v/>
      </c>
      <c r="G113" t="str">
        <f ca="1">IFERROR(IF(0=LEN(ReferenceData!$G$113),"",ReferenceData!$G$113),"")</f>
        <v/>
      </c>
      <c r="H113" t="str">
        <f ca="1">IFERROR(IF(0=LEN(ReferenceData!$H$113),"",ReferenceData!$H$113),"")</f>
        <v/>
      </c>
      <c r="I113">
        <f ca="1">IFERROR(IF(0=LEN(ReferenceData!$I$113),"",ReferenceData!$I$113),"")</f>
        <v>3.6690714670000002</v>
      </c>
      <c r="J113">
        <f ca="1">IFERROR(IF(0=LEN(ReferenceData!$J$113),"",ReferenceData!$J$113),"")</f>
        <v>-3.3438605209999999</v>
      </c>
      <c r="K113">
        <f ca="1">IFERROR(IF(0=LEN(ReferenceData!$K$113),"",ReferenceData!$K$113),"")</f>
        <v>-4.8333352420000004</v>
      </c>
      <c r="L113">
        <f ca="1">IFERROR(IF(0=LEN(ReferenceData!$L$113),"",ReferenceData!$L$113),"")</f>
        <v>6.0424942599999998</v>
      </c>
      <c r="M113">
        <f ca="1">IFERROR(IF(0=LEN(ReferenceData!$M$113),"",ReferenceData!$M$113),"")</f>
        <v>7.4535875559999996</v>
      </c>
      <c r="N113" t="str">
        <f ca="1">IFERROR(IF(0=LEN(ReferenceData!$N$113),"",ReferenceData!$N$113),"")</f>
        <v/>
      </c>
      <c r="O113" t="str">
        <f ca="1">IFERROR(IF(0=LEN(ReferenceData!$O$113),"",ReferenceData!$O$113),"")</f>
        <v/>
      </c>
      <c r="P113" t="str">
        <f ca="1">IFERROR(IF(0=LEN(ReferenceData!$P$113),"",ReferenceData!$P$113),"")</f>
        <v/>
      </c>
      <c r="Q113" t="str">
        <f ca="1">IFERROR(IF(0=LEN(ReferenceData!$Q$113),"",ReferenceData!$Q$113),"")</f>
        <v/>
      </c>
      <c r="R113" t="str">
        <f ca="1">IFERROR(IF(0=LEN(ReferenceData!$R$113),"",ReferenceData!$R$113),"")</f>
        <v/>
      </c>
      <c r="S113" t="str">
        <f ca="1">IFERROR(IF(0=LEN(ReferenceData!$S$113),"",ReferenceData!$S$113),"")</f>
        <v/>
      </c>
      <c r="T113" t="str">
        <f ca="1">IFERROR(IF(0=LEN(ReferenceData!$T$113),"",ReferenceData!$T$113),"")</f>
        <v/>
      </c>
      <c r="U113" t="str">
        <f ca="1">IFERROR(IF(0=LEN(ReferenceData!$U$113),"",ReferenceData!$U$113),"")</f>
        <v/>
      </c>
      <c r="V113" t="str">
        <f ca="1">IFERROR(IF(0=LEN(ReferenceData!$V$113),"",ReferenceData!$V$113),"")</f>
        <v/>
      </c>
      <c r="W113" t="str">
        <f ca="1">IFERROR(IF(0=LEN(ReferenceData!$W$113),"",ReferenceData!$W$113),"")</f>
        <v/>
      </c>
      <c r="X113" t="str">
        <f ca="1">IFERROR(IF(0=LEN(ReferenceData!$X$113),"",ReferenceData!$X$113),"")</f>
        <v/>
      </c>
      <c r="Y113" t="str">
        <f ca="1">IFERROR(IF(0=LEN(ReferenceData!$Y$113),"",ReferenceData!$Y$113),"")</f>
        <v/>
      </c>
      <c r="Z113" t="str">
        <f ca="1">IFERROR(IF(0=LEN(ReferenceData!$Z$113),"",ReferenceData!$Z$113),"")</f>
        <v/>
      </c>
      <c r="AA113" t="str">
        <f ca="1">IFERROR(IF(0=LEN(ReferenceData!$AA$113),"",ReferenceData!$AA$113),"")</f>
        <v/>
      </c>
      <c r="AB113" t="str">
        <f ca="1">IFERROR(IF(0=LEN(ReferenceData!$AB$113),"",ReferenceData!$AB$113),"")</f>
        <v/>
      </c>
      <c r="AC113" t="str">
        <f ca="1">IFERROR(IF(0=LEN(ReferenceData!$AC$113),"",ReferenceData!$AC$113),"")</f>
        <v/>
      </c>
      <c r="AD113" t="str">
        <f ca="1">IFERROR(IF(0=LEN(ReferenceData!$AD$113),"",ReferenceData!$AD$113),"")</f>
        <v/>
      </c>
      <c r="AE113" t="str">
        <f ca="1">IFERROR(IF(0=LEN(ReferenceData!$AE$113),"",ReferenceData!$AE$113),"")</f>
        <v/>
      </c>
      <c r="AF113" t="str">
        <f ca="1">IFERROR(IF(0=LEN(ReferenceData!$AF$113),"",ReferenceData!$AF$113),"")</f>
        <v/>
      </c>
      <c r="AG113" t="str">
        <f ca="1">IFERROR(IF(0=LEN(ReferenceData!$AG$113),"",ReferenceData!$AG$113),"")</f>
        <v/>
      </c>
      <c r="AH113" t="str">
        <f ca="1">IFERROR(IF(0=LEN(ReferenceData!$AH$113),"",ReferenceData!$AH$113),"")</f>
        <v/>
      </c>
      <c r="AI113" t="str">
        <f ca="1">IFERROR(IF(0=LEN(ReferenceData!$AI$113),"",ReferenceData!$AI$113),"")</f>
        <v/>
      </c>
      <c r="AJ113" t="str">
        <f ca="1">IFERROR(IF(0=LEN(ReferenceData!$AJ$113),"",ReferenceData!$AJ$113),"")</f>
        <v/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  <c r="AM113" t="str">
        <f ca="1">IFERROR(IF(0=LEN(ReferenceData!$AM$113),"",ReferenceData!$AM$113),"")</f>
        <v/>
      </c>
      <c r="AN113" t="str">
        <f ca="1">IFERROR(IF(0=LEN(ReferenceData!$AN$113),"",ReferenceData!$AN$113),"")</f>
        <v/>
      </c>
      <c r="AO113" t="str">
        <f ca="1">IFERROR(IF(0=LEN(ReferenceData!$AO$113),"",ReferenceData!$AO$113),"")</f>
        <v/>
      </c>
      <c r="AP113" t="str">
        <f ca="1">IFERROR(IF(0=LEN(ReferenceData!$AP$113),"",ReferenceData!$AP$113),"")</f>
        <v/>
      </c>
      <c r="AQ113" t="str">
        <f ca="1">IFERROR(IF(0=LEN(ReferenceData!$AQ$113),"",ReferenceData!$AQ$113),"")</f>
        <v/>
      </c>
      <c r="AR113" t="str">
        <f ca="1">IFERROR(IF(0=LEN(ReferenceData!$AR$113),"",ReferenceData!$AR$113),"")</f>
        <v/>
      </c>
      <c r="AS113" t="str">
        <f ca="1">IFERROR(IF(0=LEN(ReferenceData!$AS$113),"",ReferenceData!$AS$113),"")</f>
        <v/>
      </c>
      <c r="AT113" t="str">
        <f ca="1">IFERROR(IF(0=LEN(ReferenceData!$AT$113),"",ReferenceData!$AT$113),"")</f>
        <v/>
      </c>
      <c r="AU113" t="str">
        <f ca="1">IFERROR(IF(0=LEN(ReferenceData!$AU$113),"",ReferenceData!$AU$113),"")</f>
        <v/>
      </c>
      <c r="AV113" t="str">
        <f ca="1">IFERROR(IF(0=LEN(ReferenceData!$AV$113),"",ReferenceData!$AV$113),"")</f>
        <v/>
      </c>
      <c r="AW113" t="str">
        <f ca="1">IFERROR(IF(0=LEN(ReferenceData!$AW$113),"",ReferenceData!$AW$113),"")</f>
        <v/>
      </c>
      <c r="AX113" t="str">
        <f ca="1">IFERROR(IF(0=LEN(ReferenceData!$AX$113),"",ReferenceData!$AX$113),"")</f>
        <v/>
      </c>
      <c r="AY113" t="str">
        <f ca="1">IFERROR(IF(0=LEN(ReferenceData!$AY$113),"",ReferenceData!$AY$113),"")</f>
        <v/>
      </c>
      <c r="AZ113" t="str">
        <f ca="1">IFERROR(IF(0=LEN(ReferenceData!$AZ$113),"",ReferenceData!$AZ$113),"")</f>
        <v/>
      </c>
      <c r="BA113" t="str">
        <f ca="1">IFERROR(IF(0=LEN(ReferenceData!$BA$113),"",ReferenceData!$BA$113),"")</f>
        <v/>
      </c>
      <c r="BB113" t="str">
        <f ca="1">IFERROR(IF(0=LEN(ReferenceData!$BB$113),"",ReferenceData!$BB$113),"")</f>
        <v/>
      </c>
      <c r="BC113" t="str">
        <f ca="1">IFERROR(IF(0=LEN(ReferenceData!$BC$113),"",ReferenceData!$BC$113),"")</f>
        <v/>
      </c>
      <c r="BD113" t="str">
        <f ca="1">IFERROR(IF(0=LEN(ReferenceData!$BD$113),"",ReferenceData!$BD$113),"")</f>
        <v/>
      </c>
      <c r="BE113" t="str">
        <f ca="1">IFERROR(IF(0=LEN(ReferenceData!$BE$113),"",ReferenceData!$BE$113),"")</f>
        <v/>
      </c>
      <c r="BF113" t="str">
        <f ca="1">IFERROR(IF(0=LEN(ReferenceData!$BF$113),"",ReferenceData!$BF$113),"")</f>
        <v/>
      </c>
      <c r="BG113" t="str">
        <f ca="1">IFERROR(IF(0=LEN(ReferenceData!$BG$113),"",ReferenceData!$BG$113),"")</f>
        <v/>
      </c>
      <c r="BH113" t="str">
        <f ca="1">IFERROR(IF(0=LEN(ReferenceData!$BH$113),"",ReferenceData!$BH$113),"")</f>
        <v/>
      </c>
      <c r="BI113" t="str">
        <f ca="1">IFERROR(IF(0=LEN(ReferenceData!$BI$113),"",ReferenceData!$BI$113),"")</f>
        <v/>
      </c>
      <c r="BJ113" t="str">
        <f ca="1">IFERROR(IF(0=LEN(ReferenceData!$BJ$113),"",ReferenceData!$BJ$113),"")</f>
        <v/>
      </c>
      <c r="BK113" t="str">
        <f ca="1">IFERROR(IF(0=LEN(ReferenceData!$BK$113),"",ReferenceData!$BK$113),"")</f>
        <v/>
      </c>
      <c r="BL113" t="str">
        <f ca="1">IFERROR(IF(0=LEN(ReferenceData!$BL$113),"",ReferenceData!$BL$113),"")</f>
        <v/>
      </c>
      <c r="BM113" t="str">
        <f ca="1">IFERROR(IF(0=LEN(ReferenceData!$BM$113),"",ReferenceData!$BM$113),"")</f>
        <v/>
      </c>
    </row>
    <row r="114" spans="1:65">
      <c r="A114" t="str">
        <f>IFERROR(IF(0=LEN(ReferenceData!$A$114),"",ReferenceData!$A$114),"")</f>
        <v xml:space="preserve">    HCP Inc</v>
      </c>
      <c r="B114" t="str">
        <f>IFERROR(IF(0=LEN(ReferenceData!$B$114),"",ReferenceData!$B$114),"")</f>
        <v>HCP US Equity</v>
      </c>
      <c r="C114" t="str">
        <f>IFERROR(IF(0=LEN(ReferenceData!$C$114),"",ReferenceData!$C$114),"")</f>
        <v>RR033</v>
      </c>
      <c r="D114" t="str">
        <f>IFERROR(IF(0=LEN(ReferenceData!$D$114),"",ReferenceData!$D$114),"")</f>
        <v>SALES_GROWTH</v>
      </c>
      <c r="E114" t="str">
        <f>IFERROR(IF(0=LEN(ReferenceData!$E$114),"",ReferenceData!$E$114),"")</f>
        <v>动态</v>
      </c>
      <c r="F114" t="str">
        <f ca="1">IFERROR(IF(0=LEN(ReferenceData!$F$114),"",ReferenceData!$F$114),"")</f>
        <v/>
      </c>
      <c r="G114">
        <f ca="1">IFERROR(IF(0=LEN(ReferenceData!$G$114),"",ReferenceData!$G$114),"")</f>
        <v>-17.907398830000002</v>
      </c>
      <c r="H114">
        <f ca="1">IFERROR(IF(0=LEN(ReferenceData!$H$114),"",ReferenceData!$H$114),"")</f>
        <v>-14.425217269999999</v>
      </c>
      <c r="I114">
        <f ca="1">IFERROR(IF(0=LEN(ReferenceData!$I$114),"",ReferenceData!$I$114),"")</f>
        <v>-14.75048065</v>
      </c>
      <c r="J114">
        <f ca="1">IFERROR(IF(0=LEN(ReferenceData!$J$114),"",ReferenceData!$J$114),"")</f>
        <v>-23.192599040000001</v>
      </c>
      <c r="K114">
        <f ca="1">IFERROR(IF(0=LEN(ReferenceData!$K$114),"",ReferenceData!$K$114),"")</f>
        <v>3.7716811610000001</v>
      </c>
      <c r="L114">
        <f ca="1">IFERROR(IF(0=LEN(ReferenceData!$L$114),"",ReferenceData!$L$114),"")</f>
        <v>-0.49110340899999999</v>
      </c>
      <c r="M114">
        <f ca="1">IFERROR(IF(0=LEN(ReferenceData!$M$114),"",ReferenceData!$M$114),"")</f>
        <v>8.9944233390000008</v>
      </c>
      <c r="N114">
        <f ca="1">IFERROR(IF(0=LEN(ReferenceData!$N$114),"",ReferenceData!$N$114),"")</f>
        <v>4.9101902290000004</v>
      </c>
      <c r="O114">
        <f ca="1">IFERROR(IF(0=LEN(ReferenceData!$O$114),"",ReferenceData!$O$114),"")</f>
        <v>-13.78610437</v>
      </c>
      <c r="P114">
        <f ca="1">IFERROR(IF(0=LEN(ReferenceData!$P$114),"",ReferenceData!$P$114),"")</f>
        <v>10.20065769</v>
      </c>
      <c r="Q114">
        <f ca="1">IFERROR(IF(0=LEN(ReferenceData!$Q$114),"",ReferenceData!$Q$114),"")</f>
        <v>13.31994083</v>
      </c>
      <c r="R114">
        <f ca="1">IFERROR(IF(0=LEN(ReferenceData!$R$114),"",ReferenceData!$R$114),"")</f>
        <v>15.245324460000001</v>
      </c>
      <c r="S114">
        <f ca="1">IFERROR(IF(0=LEN(ReferenceData!$S$114),"",ReferenceData!$S$114),"")</f>
        <v>13.80943132</v>
      </c>
      <c r="T114">
        <f ca="1">IFERROR(IF(0=LEN(ReferenceData!$T$114),"",ReferenceData!$T$114),"")</f>
        <v>9.6845712349999999</v>
      </c>
      <c r="U114">
        <f ca="1">IFERROR(IF(0=LEN(ReferenceData!$U$114),"",ReferenceData!$U$114),"")</f>
        <v>4.6622767889999999</v>
      </c>
      <c r="V114">
        <f ca="1">IFERROR(IF(0=LEN(ReferenceData!$V$114),"",ReferenceData!$V$114),"")</f>
        <v>3.6788957440000001</v>
      </c>
      <c r="W114">
        <f ca="1">IFERROR(IF(0=LEN(ReferenceData!$W$114),"",ReferenceData!$W$114),"")</f>
        <v>5.378025686</v>
      </c>
      <c r="X114">
        <f ca="1">IFERROR(IF(0=LEN(ReferenceData!$X$114),"",ReferenceData!$X$114),"")</f>
        <v>16.213952729999999</v>
      </c>
      <c r="Y114">
        <f ca="1">IFERROR(IF(0=LEN(ReferenceData!$Y$114),"",ReferenceData!$Y$114),"")</f>
        <v>10.291986680000001</v>
      </c>
      <c r="Z114">
        <f ca="1">IFERROR(IF(0=LEN(ReferenceData!$Z$114),"",ReferenceData!$Z$114),"")</f>
        <v>12.144739120000001</v>
      </c>
      <c r="AA114">
        <f ca="1">IFERROR(IF(0=LEN(ReferenceData!$AA$114),"",ReferenceData!$AA$114),"")</f>
        <v>9.8088290810000007</v>
      </c>
      <c r="AB114">
        <f ca="1">IFERROR(IF(0=LEN(ReferenceData!$AB$114),"",ReferenceData!$AB$114),"")</f>
        <v>6.0823291309999998</v>
      </c>
      <c r="AC114">
        <f ca="1">IFERROR(IF(0=LEN(ReferenceData!$AC$114),"",ReferenceData!$AC$114),"")</f>
        <v>-4.8524455829999997</v>
      </c>
      <c r="AD114">
        <f ca="1">IFERROR(IF(0=LEN(ReferenceData!$AD$114),"",ReferenceData!$AD$114),"")</f>
        <v>37.658850960000002</v>
      </c>
      <c r="AE114">
        <f ca="1">IFERROR(IF(0=LEN(ReferenceData!$AE$114),"",ReferenceData!$AE$114),"")</f>
        <v>34.406656380000001</v>
      </c>
      <c r="AF114">
        <f ca="1">IFERROR(IF(0=LEN(ReferenceData!$AF$114),"",ReferenceData!$AF$114),"")</f>
        <v>39.167447299999999</v>
      </c>
      <c r="AG114">
        <f ca="1">IFERROR(IF(0=LEN(ReferenceData!$AG$114),"",ReferenceData!$AG$114),"")</f>
        <v>61.696651289999998</v>
      </c>
      <c r="AH114">
        <f ca="1">IFERROR(IF(0=LEN(ReferenceData!$AH$114),"",ReferenceData!$AH$114),"")</f>
        <v>12.315311039999999</v>
      </c>
      <c r="AI114">
        <f ca="1">IFERROR(IF(0=LEN(ReferenceData!$AI$114),"",ReferenceData!$AI$114),"")</f>
        <v>15.79090356</v>
      </c>
      <c r="AJ114">
        <f ca="1">IFERROR(IF(0=LEN(ReferenceData!$AJ$114),"",ReferenceData!$AJ$114),"")</f>
        <v>10.443866959999999</v>
      </c>
      <c r="AK114">
        <f ca="1">IFERROR(IF(0=LEN(ReferenceData!$AK$114),"",ReferenceData!$AK$114),"")</f>
        <v>3.2096933559999998</v>
      </c>
      <c r="AL114">
        <f ca="1">IFERROR(IF(0=LEN(ReferenceData!$AL$114),"",ReferenceData!$AL$114),"")</f>
        <v>6.4293707810000003</v>
      </c>
      <c r="AM114">
        <f ca="1">IFERROR(IF(0=LEN(ReferenceData!$AM$114),"",ReferenceData!$AM$114),"")</f>
        <v>-0.162402609</v>
      </c>
      <c r="AN114">
        <f ca="1">IFERROR(IF(0=LEN(ReferenceData!$AN$114),"",ReferenceData!$AN$114),"")</f>
        <v>7.174111076</v>
      </c>
      <c r="AO114">
        <f ca="1">IFERROR(IF(0=LEN(ReferenceData!$AO$114),"",ReferenceData!$AO$114),"")</f>
        <v>17.571701340000001</v>
      </c>
      <c r="AP114">
        <f ca="1">IFERROR(IF(0=LEN(ReferenceData!$AP$114),"",ReferenceData!$AP$114),"")</f>
        <v>13.16091555</v>
      </c>
      <c r="AQ114">
        <f ca="1">IFERROR(IF(0=LEN(ReferenceData!$AQ$114),"",ReferenceData!$AQ$114),"")</f>
        <v>15.99215042</v>
      </c>
      <c r="AR114">
        <f ca="1">IFERROR(IF(0=LEN(ReferenceData!$AR$114),"",ReferenceData!$AR$114),"")</f>
        <v>9.9651447780000009</v>
      </c>
      <c r="AS114">
        <f ca="1">IFERROR(IF(0=LEN(ReferenceData!$AS$114),"",ReferenceData!$AS$114),"")</f>
        <v>20.27063613</v>
      </c>
      <c r="AT114">
        <f ca="1">IFERROR(IF(0=LEN(ReferenceData!$AT$114),"",ReferenceData!$AT$114),"")</f>
        <v>14.57986183</v>
      </c>
      <c r="AU114">
        <f ca="1">IFERROR(IF(0=LEN(ReferenceData!$AU$114),"",ReferenceData!$AU$114),"")</f>
        <v>42.886603729999997</v>
      </c>
      <c r="AV114">
        <f ca="1">IFERROR(IF(0=LEN(ReferenceData!$AV$114),"",ReferenceData!$AV$114),"")</f>
        <v>103.29591449999999</v>
      </c>
      <c r="AW114">
        <f ca="1">IFERROR(IF(0=LEN(ReferenceData!$AW$114),"",ReferenceData!$AW$114),"")</f>
        <v>77.959598049999997</v>
      </c>
      <c r="AX114">
        <f ca="1">IFERROR(IF(0=LEN(ReferenceData!$AX$114),"",ReferenceData!$AX$114),"")</f>
        <v>76.734720890000006</v>
      </c>
      <c r="AY114">
        <f ca="1">IFERROR(IF(0=LEN(ReferenceData!$AY$114),"",ReferenceData!$AY$114),"")</f>
        <v>122.77859840000001</v>
      </c>
      <c r="AZ114">
        <f ca="1">IFERROR(IF(0=LEN(ReferenceData!$AZ$114),"",ReferenceData!$AZ$114),"")</f>
        <v>5.0102292E-2</v>
      </c>
      <c r="BA114">
        <f ca="1">IFERROR(IF(0=LEN(ReferenceData!$BA$114),"",ReferenceData!$BA$114),"")</f>
        <v>-4.3015559999999998E-3</v>
      </c>
      <c r="BB114">
        <f ca="1">IFERROR(IF(0=LEN(ReferenceData!$BB$114),"",ReferenceData!$BB$114),"")</f>
        <v>12.9377032</v>
      </c>
      <c r="BC114">
        <f ca="1">IFERROR(IF(0=LEN(ReferenceData!$BC$114),"",ReferenceData!$BC$114),"")</f>
        <v>-22.08002497</v>
      </c>
      <c r="BD114">
        <f ca="1">IFERROR(IF(0=LEN(ReferenceData!$BD$114),"",ReferenceData!$BD$114),"")</f>
        <v>7.2256793659999996</v>
      </c>
      <c r="BE114">
        <f ca="1">IFERROR(IF(0=LEN(ReferenceData!$BE$114),"",ReferenceData!$BE$114),"")</f>
        <v>8.444199802</v>
      </c>
      <c r="BF114">
        <f ca="1">IFERROR(IF(0=LEN(ReferenceData!$BF$114),"",ReferenceData!$BF$114),"")</f>
        <v>22.0464989</v>
      </c>
      <c r="BG114">
        <f ca="1">IFERROR(IF(0=LEN(ReferenceData!$BG$114),"",ReferenceData!$BG$114),"")</f>
        <v>-4.864513734</v>
      </c>
      <c r="BH114">
        <f ca="1">IFERROR(IF(0=LEN(ReferenceData!$BH$114),"",ReferenceData!$BH$114),"")</f>
        <v>15.64706857</v>
      </c>
      <c r="BI114">
        <f ca="1">IFERROR(IF(0=LEN(ReferenceData!$BI$114),"",ReferenceData!$BI$114),"")</f>
        <v>15.98082604</v>
      </c>
      <c r="BJ114">
        <f ca="1">IFERROR(IF(0=LEN(ReferenceData!$BJ$114),"",ReferenceData!$BJ$114),"")</f>
        <v>15.75397611</v>
      </c>
      <c r="BK114">
        <f ca="1">IFERROR(IF(0=LEN(ReferenceData!$BK$114),"",ReferenceData!$BK$114),"")</f>
        <v>13.60617849</v>
      </c>
      <c r="BL114">
        <f ca="1">IFERROR(IF(0=LEN(ReferenceData!$BL$114),"",ReferenceData!$BL$114),"")</f>
        <v>7.9919934699999997</v>
      </c>
      <c r="BM114">
        <f ca="1">IFERROR(IF(0=LEN(ReferenceData!$BM$114),"",ReferenceData!$BM$114),"")</f>
        <v>5.488020637</v>
      </c>
    </row>
    <row r="115" spans="1:65">
      <c r="A115" t="str">
        <f>IFERROR(IF(0=LEN(ReferenceData!$A$115),"",ReferenceData!$A$115),"")</f>
        <v xml:space="preserve">    Healthcare Realty Trust Inc</v>
      </c>
      <c r="B115" t="str">
        <f>IFERROR(IF(0=LEN(ReferenceData!$B$115),"",ReferenceData!$B$115),"")</f>
        <v>HR US Equity</v>
      </c>
      <c r="C115" t="str">
        <f>IFERROR(IF(0=LEN(ReferenceData!$C$115),"",ReferenceData!$C$115),"")</f>
        <v>RR033</v>
      </c>
      <c r="D115" t="str">
        <f>IFERROR(IF(0=LEN(ReferenceData!$D$115),"",ReferenceData!$D$115),"")</f>
        <v>SALES_GROWTH</v>
      </c>
      <c r="E115" t="str">
        <f>IFERROR(IF(0=LEN(ReferenceData!$E$115),"",ReferenceData!$E$115),"")</f>
        <v>动态</v>
      </c>
      <c r="F115" t="str">
        <f ca="1">IFERROR(IF(0=LEN(ReferenceData!$F$115),"",ReferenceData!$F$115),"")</f>
        <v/>
      </c>
      <c r="G115">
        <f ca="1">IFERROR(IF(0=LEN(ReferenceData!$G$115),"",ReferenceData!$G$115),"")</f>
        <v>2.299898394</v>
      </c>
      <c r="H115">
        <f ca="1">IFERROR(IF(0=LEN(ReferenceData!$H$115),"",ReferenceData!$H$115),"")</f>
        <v>3.1777269700000002</v>
      </c>
      <c r="I115">
        <f ca="1">IFERROR(IF(0=LEN(ReferenceData!$I$115),"",ReferenceData!$I$115),"")</f>
        <v>2.5359989089999999</v>
      </c>
      <c r="J115">
        <f ca="1">IFERROR(IF(0=LEN(ReferenceData!$J$115),"",ReferenceData!$J$115),"")</f>
        <v>4.547045121</v>
      </c>
      <c r="K115">
        <f ca="1">IFERROR(IF(0=LEN(ReferenceData!$K$115),"",ReferenceData!$K$115),"")</f>
        <v>6.8237609299999997</v>
      </c>
      <c r="L115">
        <f ca="1">IFERROR(IF(0=LEN(ReferenceData!$L$115),"",ReferenceData!$L$115),"")</f>
        <v>7.1687774620000004</v>
      </c>
      <c r="M115">
        <f ca="1">IFERROR(IF(0=LEN(ReferenceData!$M$115),"",ReferenceData!$M$115),"")</f>
        <v>6.1359970219999997</v>
      </c>
      <c r="N115">
        <f ca="1">IFERROR(IF(0=LEN(ReferenceData!$N$115),"",ReferenceData!$N$115),"")</f>
        <v>3.6959857340000002</v>
      </c>
      <c r="O115">
        <f ca="1">IFERROR(IF(0=LEN(ReferenceData!$O$115),"",ReferenceData!$O$115),"")</f>
        <v>3.7705263160000002</v>
      </c>
      <c r="P115">
        <f ca="1">IFERROR(IF(0=LEN(ReferenceData!$P$115),"",ReferenceData!$P$115),"")</f>
        <v>3.3243246129999999</v>
      </c>
      <c r="Q115">
        <f ca="1">IFERROR(IF(0=LEN(ReferenceData!$Q$115),"",ReferenceData!$Q$115),"")</f>
        <v>5.4946493439999999</v>
      </c>
      <c r="R115">
        <f ca="1">IFERROR(IF(0=LEN(ReferenceData!$R$115),"",ReferenceData!$R$115),"")</f>
        <v>6.4976648150000003</v>
      </c>
      <c r="S115">
        <f ca="1">IFERROR(IF(0=LEN(ReferenceData!$S$115),"",ReferenceData!$S$115),"")</f>
        <v>7.1968585679999997</v>
      </c>
      <c r="T115">
        <f ca="1">IFERROR(IF(0=LEN(ReferenceData!$T$115),"",ReferenceData!$T$115),"")</f>
        <v>11.888939349999999</v>
      </c>
      <c r="U115">
        <f ca="1">IFERROR(IF(0=LEN(ReferenceData!$U$115),"",ReferenceData!$U$115),"")</f>
        <v>9.0620315510000005</v>
      </c>
      <c r="V115">
        <f ca="1">IFERROR(IF(0=LEN(ReferenceData!$V$115),"",ReferenceData!$V$115),"")</f>
        <v>12.82872199</v>
      </c>
      <c r="W115">
        <f ca="1">IFERROR(IF(0=LEN(ReferenceData!$W$115),"",ReferenceData!$W$115),"")</f>
        <v>13.254952080000001</v>
      </c>
      <c r="X115">
        <f ca="1">IFERROR(IF(0=LEN(ReferenceData!$X$115),"",ReferenceData!$X$115),"")</f>
        <v>8.7461169529999996</v>
      </c>
      <c r="Y115">
        <f ca="1">IFERROR(IF(0=LEN(ReferenceData!$Y$115),"",ReferenceData!$Y$115),"")</f>
        <v>8.3267820550000007</v>
      </c>
      <c r="Z115">
        <f ca="1">IFERROR(IF(0=LEN(ReferenceData!$Z$115),"",ReferenceData!$Z$115),"")</f>
        <v>5.3935534690000004</v>
      </c>
      <c r="AA115">
        <f ca="1">IFERROR(IF(0=LEN(ReferenceData!$AA$115),"",ReferenceData!$AA$115),"")</f>
        <v>3.9742755019999998</v>
      </c>
      <c r="AB115">
        <f ca="1">IFERROR(IF(0=LEN(ReferenceData!$AB$115),"",ReferenceData!$AB$115),"")</f>
        <v>4.1927926219999998</v>
      </c>
      <c r="AC115">
        <f ca="1">IFERROR(IF(0=LEN(ReferenceData!$AC$115),"",ReferenceData!$AC$115),"")</f>
        <v>8.1782313490000007</v>
      </c>
      <c r="AD115">
        <f ca="1">IFERROR(IF(0=LEN(ReferenceData!$AD$115),"",ReferenceData!$AD$115),"")</f>
        <v>5.7788456200000002</v>
      </c>
      <c r="AE115">
        <f ca="1">IFERROR(IF(0=LEN(ReferenceData!$AE$115),"",ReferenceData!$AE$115),"")</f>
        <v>13.382849220000001</v>
      </c>
      <c r="AF115">
        <f ca="1">IFERROR(IF(0=LEN(ReferenceData!$AF$115),"",ReferenceData!$AF$115),"")</f>
        <v>14.6830882</v>
      </c>
      <c r="AG115">
        <f ca="1">IFERROR(IF(0=LEN(ReferenceData!$AG$115),"",ReferenceData!$AG$115),"")</f>
        <v>12.187377809999999</v>
      </c>
      <c r="AH115">
        <f ca="1">IFERROR(IF(0=LEN(ReferenceData!$AH$115),"",ReferenceData!$AH$115),"")</f>
        <v>14.29750623</v>
      </c>
      <c r="AI115">
        <f ca="1">IFERROR(IF(0=LEN(ReferenceData!$AI$115),"",ReferenceData!$AI$115),"")</f>
        <v>6.8409361620000002</v>
      </c>
      <c r="AJ115">
        <f ca="1">IFERROR(IF(0=LEN(ReferenceData!$AJ$115),"",ReferenceData!$AJ$115),"")</f>
        <v>3.3018338169999999</v>
      </c>
      <c r="AK115">
        <f ca="1">IFERROR(IF(0=LEN(ReferenceData!$AK$115),"",ReferenceData!$AK$115),"")</f>
        <v>-0.44068641200000003</v>
      </c>
      <c r="AL115">
        <f ca="1">IFERROR(IF(0=LEN(ReferenceData!$AL$115),"",ReferenceData!$AL$115),"")</f>
        <v>1.4558806950000001</v>
      </c>
      <c r="AM115">
        <f ca="1">IFERROR(IF(0=LEN(ReferenceData!$AM$115),"",ReferenceData!$AM$115),"")</f>
        <v>14.172823169999999</v>
      </c>
      <c r="AN115">
        <f ca="1">IFERROR(IF(0=LEN(ReferenceData!$AN$115),"",ReferenceData!$AN$115),"")</f>
        <v>14.001170569999999</v>
      </c>
      <c r="AO115">
        <f ca="1">IFERROR(IF(0=LEN(ReferenceData!$AO$115),"",ReferenceData!$AO$115),"")</f>
        <v>21.99236337</v>
      </c>
      <c r="AP115">
        <f ca="1">IFERROR(IF(0=LEN(ReferenceData!$AP$115),"",ReferenceData!$AP$115),"")</f>
        <v>18.947549899999999</v>
      </c>
      <c r="AQ115">
        <f ca="1">IFERROR(IF(0=LEN(ReferenceData!$AQ$115),"",ReferenceData!$AQ$115),"")</f>
        <v>27.299099309999999</v>
      </c>
      <c r="AR115">
        <f ca="1">IFERROR(IF(0=LEN(ReferenceData!$AR$115),"",ReferenceData!$AR$115),"")</f>
        <v>8.3275544369999999</v>
      </c>
      <c r="AS115">
        <f ca="1">IFERROR(IF(0=LEN(ReferenceData!$AS$115),"",ReferenceData!$AS$115),"")</f>
        <v>2.1877547850000001</v>
      </c>
      <c r="AT115">
        <f ca="1">IFERROR(IF(0=LEN(ReferenceData!$AT$115),"",ReferenceData!$AT$115),"")</f>
        <v>-0.83395072299999995</v>
      </c>
      <c r="AU115">
        <f ca="1">IFERROR(IF(0=LEN(ReferenceData!$AU$115),"",ReferenceData!$AU$115),"")</f>
        <v>-18.75273232</v>
      </c>
      <c r="AV115">
        <f ca="1">IFERROR(IF(0=LEN(ReferenceData!$AV$115),"",ReferenceData!$AV$115),"")</f>
        <v>-7.0310197470000002</v>
      </c>
      <c r="AW115">
        <f ca="1">IFERROR(IF(0=LEN(ReferenceData!$AW$115),"",ReferenceData!$AW$115),"")</f>
        <v>-5.760752246</v>
      </c>
      <c r="AX115">
        <f ca="1">IFERROR(IF(0=LEN(ReferenceData!$AX$115),"",ReferenceData!$AX$115),"")</f>
        <v>1.517722837</v>
      </c>
      <c r="AY115">
        <f ca="1">IFERROR(IF(0=LEN(ReferenceData!$AY$115),"",ReferenceData!$AY$115),"")</f>
        <v>-20.553592460000001</v>
      </c>
      <c r="AZ115">
        <f ca="1">IFERROR(IF(0=LEN(ReferenceData!$AZ$115),"",ReferenceData!$AZ$115),"")</f>
        <v>-17.339667460000001</v>
      </c>
      <c r="BA115">
        <f ca="1">IFERROR(IF(0=LEN(ReferenceData!$BA$115),"",ReferenceData!$BA$115),"")</f>
        <v>-8.8387839170000007</v>
      </c>
      <c r="BB115">
        <f ca="1">IFERROR(IF(0=LEN(ReferenceData!$BB$115),"",ReferenceData!$BB$115),"")</f>
        <v>-13.448281619999999</v>
      </c>
      <c r="BC115">
        <f ca="1">IFERROR(IF(0=LEN(ReferenceData!$BC$115),"",ReferenceData!$BC$115),"")</f>
        <v>1.455447972</v>
      </c>
      <c r="BD115">
        <f ca="1">IFERROR(IF(0=LEN(ReferenceData!$BD$115),"",ReferenceData!$BD$115),"")</f>
        <v>9.8554797270000005</v>
      </c>
      <c r="BE115">
        <f ca="1">IFERROR(IF(0=LEN(ReferenceData!$BE$115),"",ReferenceData!$BE$115),"")</f>
        <v>7.183969684</v>
      </c>
      <c r="BF115">
        <f ca="1">IFERROR(IF(0=LEN(ReferenceData!$BF$115),"",ReferenceData!$BF$115),"")</f>
        <v>22.783538960000001</v>
      </c>
      <c r="BG115">
        <f ca="1">IFERROR(IF(0=LEN(ReferenceData!$BG$115),"",ReferenceData!$BG$115),"")</f>
        <v>66.137242920000006</v>
      </c>
      <c r="BH115">
        <f ca="1">IFERROR(IF(0=LEN(ReferenceData!$BH$115),"",ReferenceData!$BH$115),"")</f>
        <v>24.35310703</v>
      </c>
      <c r="BI115">
        <f ca="1">IFERROR(IF(0=LEN(ReferenceData!$BI$115),"",ReferenceData!$BI$115),"")</f>
        <v>19.093138509999999</v>
      </c>
      <c r="BJ115">
        <f ca="1">IFERROR(IF(0=LEN(ReferenceData!$BJ$115),"",ReferenceData!$BJ$115),"")</f>
        <v>3.770655664</v>
      </c>
      <c r="BK115">
        <f ca="1">IFERROR(IF(0=LEN(ReferenceData!$BK$115),"",ReferenceData!$BK$115),"")</f>
        <v>3.4847882050000001</v>
      </c>
      <c r="BL115">
        <f ca="1">IFERROR(IF(0=LEN(ReferenceData!$BL$115),"",ReferenceData!$BL$115),"")</f>
        <v>-3.4967291980000001</v>
      </c>
      <c r="BM115">
        <f ca="1">IFERROR(IF(0=LEN(ReferenceData!$BM$115),"",ReferenceData!$BM$115),"")</f>
        <v>-2.7634089450000001</v>
      </c>
    </row>
    <row r="116" spans="1:65">
      <c r="A116" t="str">
        <f>IFERROR(IF(0=LEN(ReferenceData!$A$116),"",ReferenceData!$A$116),"")</f>
        <v xml:space="preserve">    Healthcare Trust of America In</v>
      </c>
      <c r="B116" t="str">
        <f>IFERROR(IF(0=LEN(ReferenceData!$B$116),"",ReferenceData!$B$116),"")</f>
        <v>HTA US Equity</v>
      </c>
      <c r="C116" t="str">
        <f>IFERROR(IF(0=LEN(ReferenceData!$C$116),"",ReferenceData!$C$116),"")</f>
        <v>RR033</v>
      </c>
      <c r="D116" t="str">
        <f>IFERROR(IF(0=LEN(ReferenceData!$D$116),"",ReferenceData!$D$116),"")</f>
        <v>SALES_GROWTH</v>
      </c>
      <c r="E116" t="str">
        <f>IFERROR(IF(0=LEN(ReferenceData!$E$116),"",ReferenceData!$E$116),"")</f>
        <v>动态</v>
      </c>
      <c r="F116" t="str">
        <f ca="1">IFERROR(IF(0=LEN(ReferenceData!$F$116),"",ReferenceData!$F$116),"")</f>
        <v/>
      </c>
      <c r="G116">
        <f ca="1">IFERROR(IF(0=LEN(ReferenceData!$G$116),"",ReferenceData!$G$116),"")</f>
        <v>42.388908460000003</v>
      </c>
      <c r="H116">
        <f ca="1">IFERROR(IF(0=LEN(ReferenceData!$H$116),"",ReferenceData!$H$116),"")</f>
        <v>48.718945410000003</v>
      </c>
      <c r="I116">
        <f ca="1">IFERROR(IF(0=LEN(ReferenceData!$I$116),"",ReferenceData!$I$116),"")</f>
        <v>23.530918280000002</v>
      </c>
      <c r="J116">
        <f ca="1">IFERROR(IF(0=LEN(ReferenceData!$J$116),"",ReferenceData!$J$116),"")</f>
        <v>15.87103387</v>
      </c>
      <c r="K116">
        <f ca="1">IFERROR(IF(0=LEN(ReferenceData!$K$116),"",ReferenceData!$K$116),"")</f>
        <v>19.58862899</v>
      </c>
      <c r="L116">
        <f ca="1">IFERROR(IF(0=LEN(ReferenceData!$L$116),"",ReferenceData!$L$116),"")</f>
        <v>13.8519559</v>
      </c>
      <c r="M116">
        <f ca="1">IFERROR(IF(0=LEN(ReferenceData!$M$116),"",ReferenceData!$M$116),"")</f>
        <v>14.01959501</v>
      </c>
      <c r="N116">
        <f ca="1">IFERROR(IF(0=LEN(ReferenceData!$N$116),"",ReferenceData!$N$116),"")</f>
        <v>8.9271213970000005</v>
      </c>
      <c r="O116">
        <f ca="1">IFERROR(IF(0=LEN(ReferenceData!$O$116),"",ReferenceData!$O$116),"")</f>
        <v>7.4245231379999996</v>
      </c>
      <c r="P116">
        <f ca="1">IFERROR(IF(0=LEN(ReferenceData!$P$116),"",ReferenceData!$P$116),"")</f>
        <v>8.8010551219999993</v>
      </c>
      <c r="Q116">
        <f ca="1">IFERROR(IF(0=LEN(ReferenceData!$Q$116),"",ReferenceData!$Q$116),"")</f>
        <v>10.750409830000001</v>
      </c>
      <c r="R116">
        <f ca="1">IFERROR(IF(0=LEN(ReferenceData!$R$116),"",ReferenceData!$R$116),"")</f>
        <v>7.9032682029999997</v>
      </c>
      <c r="S116">
        <f ca="1">IFERROR(IF(0=LEN(ReferenceData!$S$116),"",ReferenceData!$S$116),"")</f>
        <v>12.91304141</v>
      </c>
      <c r="T116">
        <f ca="1">IFERROR(IF(0=LEN(ReferenceData!$T$116),"",ReferenceData!$T$116),"")</f>
        <v>15.74126798</v>
      </c>
      <c r="U116">
        <f ca="1">IFERROR(IF(0=LEN(ReferenceData!$U$116),"",ReferenceData!$U$116),"")</f>
        <v>15.51968463</v>
      </c>
      <c r="V116">
        <f ca="1">IFERROR(IF(0=LEN(ReferenceData!$V$116),"",ReferenceData!$V$116),"")</f>
        <v>18.791064389999999</v>
      </c>
      <c r="W116">
        <f ca="1">IFERROR(IF(0=LEN(ReferenceData!$W$116),"",ReferenceData!$W$116),"")</f>
        <v>14.50425315</v>
      </c>
      <c r="X116">
        <f ca="1">IFERROR(IF(0=LEN(ReferenceData!$X$116),"",ReferenceData!$X$116),"")</f>
        <v>6.4605582210000003</v>
      </c>
      <c r="Y116">
        <f ca="1">IFERROR(IF(0=LEN(ReferenceData!$Y$116),"",ReferenceData!$Y$116),"")</f>
        <v>2.5456755219999998</v>
      </c>
      <c r="Z116">
        <f ca="1">IFERROR(IF(0=LEN(ReferenceData!$Z$116),"",ReferenceData!$Z$116),"")</f>
        <v>8.7512026709999997</v>
      </c>
      <c r="AA116">
        <f ca="1">IFERROR(IF(0=LEN(ReferenceData!$AA$116),"",ReferenceData!$AA$116),"")</f>
        <v>12.12079595</v>
      </c>
      <c r="AB116">
        <f ca="1">IFERROR(IF(0=LEN(ReferenceData!$AB$116),"",ReferenceData!$AB$116),"")</f>
        <v>10.85501859</v>
      </c>
      <c r="AC116">
        <f ca="1">IFERROR(IF(0=LEN(ReferenceData!$AC$116),"",ReferenceData!$AC$116),"")</f>
        <v>11.19810794</v>
      </c>
      <c r="AD116">
        <f ca="1">IFERROR(IF(0=LEN(ReferenceData!$AD$116),"",ReferenceData!$AD$116),"")</f>
        <v>-0.30468882200000003</v>
      </c>
      <c r="AE116">
        <f ca="1">IFERROR(IF(0=LEN(ReferenceData!$AE$116),"",ReferenceData!$AE$116),"")</f>
        <v>10.77079108</v>
      </c>
      <c r="AF116">
        <f ca="1">IFERROR(IF(0=LEN(ReferenceData!$AF$116),"",ReferenceData!$AF$116),"")</f>
        <v>33.229198420000003</v>
      </c>
      <c r="AG116">
        <f ca="1">IFERROR(IF(0=LEN(ReferenceData!$AG$116),"",ReferenceData!$AG$116),"")</f>
        <v>46.326469199999998</v>
      </c>
      <c r="AH116">
        <f ca="1">IFERROR(IF(0=LEN(ReferenceData!$AH$116),"",ReferenceData!$AH$116),"")</f>
        <v>57.72003204</v>
      </c>
      <c r="AI116" t="str">
        <f ca="1">IFERROR(IF(0=LEN(ReferenceData!$AI$116),"",ReferenceData!$AI$116),"")</f>
        <v/>
      </c>
      <c r="AJ116" t="str">
        <f ca="1">IFERROR(IF(0=LEN(ReferenceData!$AJ$116),"",ReferenceData!$AJ$116),"")</f>
        <v/>
      </c>
      <c r="AK116" t="str">
        <f ca="1">IFERROR(IF(0=LEN(ReferenceData!$AK$116),"",ReferenceData!$AK$116),"")</f>
        <v/>
      </c>
      <c r="AL116" t="str">
        <f ca="1">IFERROR(IF(0=LEN(ReferenceData!$AL$116),"",ReferenceData!$AL$116),"")</f>
        <v/>
      </c>
      <c r="AM116" t="str">
        <f ca="1">IFERROR(IF(0=LEN(ReferenceData!$AM$116),"",ReferenceData!$AM$116),"")</f>
        <v/>
      </c>
      <c r="AN116" t="str">
        <f ca="1">IFERROR(IF(0=LEN(ReferenceData!$AN$116),"",ReferenceData!$AN$116),"")</f>
        <v/>
      </c>
      <c r="AO116" t="str">
        <f ca="1">IFERROR(IF(0=LEN(ReferenceData!$AO$116),"",ReferenceData!$AO$116),"")</f>
        <v/>
      </c>
      <c r="AP116" t="str">
        <f ca="1">IFERROR(IF(0=LEN(ReferenceData!$AP$116),"",ReferenceData!$AP$116),"")</f>
        <v/>
      </c>
      <c r="AQ116" t="str">
        <f ca="1">IFERROR(IF(0=LEN(ReferenceData!$AQ$116),"",ReferenceData!$AQ$116),"")</f>
        <v/>
      </c>
      <c r="AR116" t="str">
        <f ca="1">IFERROR(IF(0=LEN(ReferenceData!$AR$116),"",ReferenceData!$AR$116),"")</f>
        <v/>
      </c>
      <c r="AS116" t="str">
        <f ca="1">IFERROR(IF(0=LEN(ReferenceData!$AS$116),"",ReferenceData!$AS$116),"")</f>
        <v/>
      </c>
      <c r="AT116" t="str">
        <f ca="1">IFERROR(IF(0=LEN(ReferenceData!$AT$116),"",ReferenceData!$AT$116),"")</f>
        <v/>
      </c>
      <c r="AU116" t="str">
        <f ca="1">IFERROR(IF(0=LEN(ReferenceData!$AU$116),"",ReferenceData!$AU$116),"")</f>
        <v/>
      </c>
      <c r="AV116" t="str">
        <f ca="1">IFERROR(IF(0=LEN(ReferenceData!$AV$116),"",ReferenceData!$AV$116),"")</f>
        <v/>
      </c>
      <c r="AW116" t="str">
        <f ca="1">IFERROR(IF(0=LEN(ReferenceData!$AW$116),"",ReferenceData!$AW$116),"")</f>
        <v/>
      </c>
      <c r="AX116" t="str">
        <f ca="1">IFERROR(IF(0=LEN(ReferenceData!$AX$116),"",ReferenceData!$AX$116),"")</f>
        <v/>
      </c>
      <c r="AY116" t="str">
        <f ca="1">IFERROR(IF(0=LEN(ReferenceData!$AY$116),"",ReferenceData!$AY$116),"")</f>
        <v/>
      </c>
      <c r="AZ116" t="str">
        <f ca="1">IFERROR(IF(0=LEN(ReferenceData!$AZ$116),"",ReferenceData!$AZ$116),"")</f>
        <v/>
      </c>
      <c r="BA116" t="str">
        <f ca="1">IFERROR(IF(0=LEN(ReferenceData!$BA$116),"",ReferenceData!$BA$116),"")</f>
        <v/>
      </c>
      <c r="BB116" t="str">
        <f ca="1">IFERROR(IF(0=LEN(ReferenceData!$BB$116),"",ReferenceData!$BB$116),"")</f>
        <v/>
      </c>
      <c r="BC116" t="str">
        <f ca="1">IFERROR(IF(0=LEN(ReferenceData!$BC$116),"",ReferenceData!$BC$116),"")</f>
        <v/>
      </c>
      <c r="BD116" t="str">
        <f ca="1">IFERROR(IF(0=LEN(ReferenceData!$BD$116),"",ReferenceData!$BD$116),"")</f>
        <v/>
      </c>
      <c r="BE116" t="str">
        <f ca="1">IFERROR(IF(0=LEN(ReferenceData!$BE$116),"",ReferenceData!$BE$116),"")</f>
        <v/>
      </c>
      <c r="BF116" t="str">
        <f ca="1">IFERROR(IF(0=LEN(ReferenceData!$BF$116),"",ReferenceData!$BF$116),"")</f>
        <v/>
      </c>
      <c r="BG116" t="str">
        <f ca="1">IFERROR(IF(0=LEN(ReferenceData!$BG$116),"",ReferenceData!$BG$116),"")</f>
        <v/>
      </c>
      <c r="BH116" t="str">
        <f ca="1">IFERROR(IF(0=LEN(ReferenceData!$BH$116),"",ReferenceData!$BH$116),"")</f>
        <v/>
      </c>
      <c r="BI116" t="str">
        <f ca="1">IFERROR(IF(0=LEN(ReferenceData!$BI$116),"",ReferenceData!$BI$116),"")</f>
        <v/>
      </c>
      <c r="BJ116" t="str">
        <f ca="1">IFERROR(IF(0=LEN(ReferenceData!$BJ$116),"",ReferenceData!$BJ$116),"")</f>
        <v/>
      </c>
      <c r="BK116" t="str">
        <f ca="1">IFERROR(IF(0=LEN(ReferenceData!$BK$116),"",ReferenceData!$BK$116),"")</f>
        <v/>
      </c>
      <c r="BL116" t="str">
        <f ca="1">IFERROR(IF(0=LEN(ReferenceData!$BL$116),"",ReferenceData!$BL$116),"")</f>
        <v/>
      </c>
      <c r="BM116" t="str">
        <f ca="1">IFERROR(IF(0=LEN(ReferenceData!$BM$116),"",ReferenceData!$BM$116),"")</f>
        <v/>
      </c>
    </row>
    <row r="117" spans="1:65">
      <c r="A117" t="str">
        <f>IFERROR(IF(0=LEN(ReferenceData!$A$117),"",ReferenceData!$A$117),"")</f>
        <v xml:space="preserve">    Medical Properties Trust Inc</v>
      </c>
      <c r="B117" t="str">
        <f>IFERROR(IF(0=LEN(ReferenceData!$B$117),"",ReferenceData!$B$117),"")</f>
        <v>MPW US Equity</v>
      </c>
      <c r="C117" t="str">
        <f>IFERROR(IF(0=LEN(ReferenceData!$C$117),"",ReferenceData!$C$117),"")</f>
        <v>RR033</v>
      </c>
      <c r="D117" t="str">
        <f>IFERROR(IF(0=LEN(ReferenceData!$D$117),"",ReferenceData!$D$117),"")</f>
        <v>SALES_GROWTH</v>
      </c>
      <c r="E117" t="str">
        <f>IFERROR(IF(0=LEN(ReferenceData!$E$117),"",ReferenceData!$E$117),"")</f>
        <v>动态</v>
      </c>
      <c r="F117" t="str">
        <f ca="1">IFERROR(IF(0=LEN(ReferenceData!$F$117),"",ReferenceData!$F$117),"")</f>
        <v/>
      </c>
      <c r="G117">
        <f ca="1">IFERROR(IF(0=LEN(ReferenceData!$G$117),"",ReferenceData!$G$117),"")</f>
        <v>33.714110499999997</v>
      </c>
      <c r="H117">
        <f ca="1">IFERROR(IF(0=LEN(ReferenceData!$H$117),"",ReferenceData!$H$117),"")</f>
        <v>39.528268339999997</v>
      </c>
      <c r="I117">
        <f ca="1">IFERROR(IF(0=LEN(ReferenceData!$I$117),"",ReferenceData!$I$117),"")</f>
        <v>32.072050670000003</v>
      </c>
      <c r="J117">
        <f ca="1">IFERROR(IF(0=LEN(ReferenceData!$J$117),"",ReferenceData!$J$117),"")</f>
        <v>15.85048778</v>
      </c>
      <c r="K117">
        <f ca="1">IFERROR(IF(0=LEN(ReferenceData!$K$117),"",ReferenceData!$K$117),"")</f>
        <v>16.524257670000001</v>
      </c>
      <c r="L117">
        <f ca="1">IFERROR(IF(0=LEN(ReferenceData!$L$117),"",ReferenceData!$L$117),"")</f>
        <v>10.460853630000001</v>
      </c>
      <c r="M117">
        <f ca="1">IFERROR(IF(0=LEN(ReferenceData!$M$117),"",ReferenceData!$M$117),"")</f>
        <v>26.551838159999999</v>
      </c>
      <c r="N117">
        <f ca="1">IFERROR(IF(0=LEN(ReferenceData!$N$117),"",ReferenceData!$N$117),"")</f>
        <v>40.681110029999999</v>
      </c>
      <c r="O117">
        <f ca="1">IFERROR(IF(0=LEN(ReferenceData!$O$117),"",ReferenceData!$O$117),"")</f>
        <v>60.216011119999997</v>
      </c>
      <c r="P117">
        <f ca="1">IFERROR(IF(0=LEN(ReferenceData!$P$117),"",ReferenceData!$P$117),"")</f>
        <v>41.834928259999998</v>
      </c>
      <c r="Q117">
        <f ca="1">IFERROR(IF(0=LEN(ReferenceData!$Q$117),"",ReferenceData!$Q$117),"")</f>
        <v>30.356583069999999</v>
      </c>
      <c r="R117">
        <f ca="1">IFERROR(IF(0=LEN(ReferenceData!$R$117),"",ReferenceData!$R$117),"")</f>
        <v>31.29335468</v>
      </c>
      <c r="S117">
        <f ca="1">IFERROR(IF(0=LEN(ReferenceData!$S$117),"",ReferenceData!$S$117),"")</f>
        <v>21.31505138</v>
      </c>
      <c r="T117">
        <f ca="1">IFERROR(IF(0=LEN(ReferenceData!$T$117),"",ReferenceData!$T$117),"")</f>
        <v>34.390909389999997</v>
      </c>
      <c r="U117">
        <f ca="1">IFERROR(IF(0=LEN(ReferenceData!$U$117),"",ReferenceData!$U$117),"")</f>
        <v>34.024228000000001</v>
      </c>
      <c r="V117">
        <f ca="1">IFERROR(IF(0=LEN(ReferenceData!$V$117),"",ReferenceData!$V$117),"")</f>
        <v>26.861992950000001</v>
      </c>
      <c r="W117">
        <f ca="1">IFERROR(IF(0=LEN(ReferenceData!$W$117),"",ReferenceData!$W$117),"")</f>
        <v>19.580700719999999</v>
      </c>
      <c r="X117">
        <f ca="1">IFERROR(IF(0=LEN(ReferenceData!$X$117),"",ReferenceData!$X$117),"")</f>
        <v>13.722967479999999</v>
      </c>
      <c r="Y117">
        <f ca="1">IFERROR(IF(0=LEN(ReferenceData!$Y$117),"",ReferenceData!$Y$117),"")</f>
        <v>16.775011240000001</v>
      </c>
      <c r="Z117">
        <f ca="1">IFERROR(IF(0=LEN(ReferenceData!$Z$117),"",ReferenceData!$Z$117),"")</f>
        <v>39.6103424</v>
      </c>
      <c r="AA117">
        <f ca="1">IFERROR(IF(0=LEN(ReferenceData!$AA$117),"",ReferenceData!$AA$117),"")</f>
        <v>64.443708060000006</v>
      </c>
      <c r="AB117">
        <f ca="1">IFERROR(IF(0=LEN(ReferenceData!$AB$117),"",ReferenceData!$AB$117),"")</f>
        <v>52.613190109999998</v>
      </c>
      <c r="AC117">
        <f ca="1">IFERROR(IF(0=LEN(ReferenceData!$AC$117),"",ReferenceData!$AC$117),"")</f>
        <v>39.941640919999998</v>
      </c>
      <c r="AD117">
        <f ca="1">IFERROR(IF(0=LEN(ReferenceData!$AD$117),"",ReferenceData!$AD$117),"")</f>
        <v>20.147320000000001</v>
      </c>
      <c r="AE117">
        <f ca="1">IFERROR(IF(0=LEN(ReferenceData!$AE$117),"",ReferenceData!$AE$117),"")</f>
        <v>12.194166750000001</v>
      </c>
      <c r="AF117">
        <f ca="1">IFERROR(IF(0=LEN(ReferenceData!$AF$117),"",ReferenceData!$AF$117),"")</f>
        <v>20.904901550000002</v>
      </c>
      <c r="AG117">
        <f ca="1">IFERROR(IF(0=LEN(ReferenceData!$AG$117),"",ReferenceData!$AG$117),"")</f>
        <v>14.26143235</v>
      </c>
      <c r="AH117">
        <f ca="1">IFERROR(IF(0=LEN(ReferenceData!$AH$117),"",ReferenceData!$AH$117),"")</f>
        <v>11.306630370000001</v>
      </c>
      <c r="AI117">
        <f ca="1">IFERROR(IF(0=LEN(ReferenceData!$AI$117),"",ReferenceData!$AI$117),"")</f>
        <v>2.0193060150000002</v>
      </c>
      <c r="AJ117">
        <f ca="1">IFERROR(IF(0=LEN(ReferenceData!$AJ$117),"",ReferenceData!$AJ$117),"")</f>
        <v>-8.5995086000000001</v>
      </c>
      <c r="AK117">
        <f ca="1">IFERROR(IF(0=LEN(ReferenceData!$AK$117),"",ReferenceData!$AK$117),"")</f>
        <v>4.2706203140000003</v>
      </c>
      <c r="AL117">
        <f ca="1">IFERROR(IF(0=LEN(ReferenceData!$AL$117),"",ReferenceData!$AL$117),"")</f>
        <v>-3.487317424</v>
      </c>
      <c r="AM117">
        <f ca="1">IFERROR(IF(0=LEN(ReferenceData!$AM$117),"",ReferenceData!$AM$117),"")</f>
        <v>1.7900216600000001</v>
      </c>
      <c r="AN117">
        <f ca="1">IFERROR(IF(0=LEN(ReferenceData!$AN$117),"",ReferenceData!$AN$117),"")</f>
        <v>-5.3688437960000002</v>
      </c>
      <c r="AO117">
        <f ca="1">IFERROR(IF(0=LEN(ReferenceData!$AO$117),"",ReferenceData!$AO$117),"")</f>
        <v>-5.874049597</v>
      </c>
      <c r="AP117">
        <f ca="1">IFERROR(IF(0=LEN(ReferenceData!$AP$117),"",ReferenceData!$AP$117),"")</f>
        <v>36.982134440000003</v>
      </c>
      <c r="AQ117">
        <f ca="1">IFERROR(IF(0=LEN(ReferenceData!$AQ$117),"",ReferenceData!$AQ$117),"")</f>
        <v>21.375145159999999</v>
      </c>
      <c r="AR117">
        <f ca="1">IFERROR(IF(0=LEN(ReferenceData!$AR$117),"",ReferenceData!$AR$117),"")</f>
        <v>53.949411140000002</v>
      </c>
      <c r="AS117">
        <f ca="1">IFERROR(IF(0=LEN(ReferenceData!$AS$117),"",ReferenceData!$AS$117),"")</f>
        <v>45.761701809999998</v>
      </c>
      <c r="AT117">
        <f ca="1">IFERROR(IF(0=LEN(ReferenceData!$AT$117),"",ReferenceData!$AT$117),"")</f>
        <v>56.528441790000002</v>
      </c>
      <c r="AU117">
        <f ca="1">IFERROR(IF(0=LEN(ReferenceData!$AU$117),"",ReferenceData!$AU$117),"")</f>
        <v>52.435555119999997</v>
      </c>
      <c r="AV117">
        <f ca="1">IFERROR(IF(0=LEN(ReferenceData!$AV$117),"",ReferenceData!$AV$117),"")</f>
        <v>66.554299330000006</v>
      </c>
      <c r="AW117">
        <f ca="1">IFERROR(IF(0=LEN(ReferenceData!$AW$117),"",ReferenceData!$AW$117),"")</f>
        <v>90.399444419999995</v>
      </c>
      <c r="AX117">
        <f ca="1">IFERROR(IF(0=LEN(ReferenceData!$AX$117),"",ReferenceData!$AX$117),"")</f>
        <v>35.438086869999999</v>
      </c>
      <c r="AY117">
        <f ca="1">IFERROR(IF(0=LEN(ReferenceData!$AY$117),"",ReferenceData!$AY$117),"")</f>
        <v>75.303255620000002</v>
      </c>
      <c r="AZ117">
        <f ca="1">IFERROR(IF(0=LEN(ReferenceData!$AZ$117),"",ReferenceData!$AZ$117),"")</f>
        <v>43.94159587</v>
      </c>
      <c r="BA117">
        <f ca="1">IFERROR(IF(0=LEN(ReferenceData!$BA$117),"",ReferenceData!$BA$117),"")</f>
        <v>47.784388550000003</v>
      </c>
      <c r="BB117">
        <f ca="1">IFERROR(IF(0=LEN(ReferenceData!$BB$117),"",ReferenceData!$BB$117),"")</f>
        <v>60.424757900000003</v>
      </c>
      <c r="BC117" t="str">
        <f ca="1">IFERROR(IF(0=LEN(ReferenceData!$BC$117),"",ReferenceData!$BC$117),"")</f>
        <v/>
      </c>
      <c r="BD117" t="str">
        <f ca="1">IFERROR(IF(0=LEN(ReferenceData!$BD$117),"",ReferenceData!$BD$117),"")</f>
        <v/>
      </c>
      <c r="BE117" t="str">
        <f ca="1">IFERROR(IF(0=LEN(ReferenceData!$BE$117),"",ReferenceData!$BE$117),"")</f>
        <v/>
      </c>
      <c r="BF117" t="str">
        <f ca="1">IFERROR(IF(0=LEN(ReferenceData!$BF$117),"",ReferenceData!$BF$117),"")</f>
        <v/>
      </c>
      <c r="BG117" t="str">
        <f ca="1">IFERROR(IF(0=LEN(ReferenceData!$BG$117),"",ReferenceData!$BG$117),"")</f>
        <v/>
      </c>
      <c r="BH117" t="str">
        <f ca="1">IFERROR(IF(0=LEN(ReferenceData!$BH$117),"",ReferenceData!$BH$117),"")</f>
        <v/>
      </c>
      <c r="BI117" t="str">
        <f ca="1">IFERROR(IF(0=LEN(ReferenceData!$BI$117),"",ReferenceData!$BI$117),"")</f>
        <v/>
      </c>
      <c r="BJ117" t="str">
        <f ca="1">IFERROR(IF(0=LEN(ReferenceData!$BJ$117),"",ReferenceData!$BJ$117),"")</f>
        <v/>
      </c>
      <c r="BK117" t="str">
        <f ca="1">IFERROR(IF(0=LEN(ReferenceData!$BK$117),"",ReferenceData!$BK$117),"")</f>
        <v/>
      </c>
      <c r="BL117" t="str">
        <f ca="1">IFERROR(IF(0=LEN(ReferenceData!$BL$117),"",ReferenceData!$BL$117),"")</f>
        <v/>
      </c>
      <c r="BM117" t="str">
        <f ca="1">IFERROR(IF(0=LEN(ReferenceData!$BM$117),"",ReferenceData!$BM$117),"")</f>
        <v/>
      </c>
    </row>
    <row r="118" spans="1:65">
      <c r="A118" t="str">
        <f>IFERROR(IF(0=LEN(ReferenceData!$A$118),"",ReferenceData!$A$118),"")</f>
        <v xml:space="preserve">    Omega Healthcare Investors Inc</v>
      </c>
      <c r="B118" t="str">
        <f>IFERROR(IF(0=LEN(ReferenceData!$B$118),"",ReferenceData!$B$118),"")</f>
        <v>OHI US Equity</v>
      </c>
      <c r="C118" t="str">
        <f>IFERROR(IF(0=LEN(ReferenceData!$C$118),"",ReferenceData!$C$118),"")</f>
        <v>RR033</v>
      </c>
      <c r="D118" t="str">
        <f>IFERROR(IF(0=LEN(ReferenceData!$D$118),"",ReferenceData!$D$118),"")</f>
        <v>SALES_GROWTH</v>
      </c>
      <c r="E118" t="str">
        <f>IFERROR(IF(0=LEN(ReferenceData!$E$118),"",ReferenceData!$E$118),"")</f>
        <v>动态</v>
      </c>
      <c r="F118" t="str">
        <f ca="1">IFERROR(IF(0=LEN(ReferenceData!$F$118),"",ReferenceData!$F$118),"")</f>
        <v/>
      </c>
      <c r="G118">
        <f ca="1">IFERROR(IF(0=LEN(ReferenceData!$G$118),"",ReferenceData!$G$118),"")</f>
        <v>-5.6634511229999998</v>
      </c>
      <c r="H118">
        <f ca="1">IFERROR(IF(0=LEN(ReferenceData!$H$118),"",ReferenceData!$H$118),"")</f>
        <v>-2.2258032920000002</v>
      </c>
      <c r="I118">
        <f ca="1">IFERROR(IF(0=LEN(ReferenceData!$I$118),"",ReferenceData!$I$118),"")</f>
        <v>3.0473202110000002</v>
      </c>
      <c r="J118">
        <f ca="1">IFERROR(IF(0=LEN(ReferenceData!$J$118),"",ReferenceData!$J$118),"")</f>
        <v>8.8618417039999997</v>
      </c>
      <c r="K118">
        <f ca="1">IFERROR(IF(0=LEN(ReferenceData!$K$118),"",ReferenceData!$K$118),"")</f>
        <v>11.388424410000001</v>
      </c>
      <c r="L118">
        <f ca="1">IFERROR(IF(0=LEN(ReferenceData!$L$118),"",ReferenceData!$L$118),"")</f>
        <v>11.221246300000001</v>
      </c>
      <c r="M118">
        <f ca="1">IFERROR(IF(0=LEN(ReferenceData!$M$118),"",ReferenceData!$M$118),"")</f>
        <v>15.736605450000001</v>
      </c>
      <c r="N118">
        <f ca="1">IFERROR(IF(0=LEN(ReferenceData!$N$118),"",ReferenceData!$N$118),"")</f>
        <v>59.555538900000002</v>
      </c>
      <c r="O118">
        <f ca="1">IFERROR(IF(0=LEN(ReferenceData!$O$118),"",ReferenceData!$O$118),"")</f>
        <v>60.303378739999999</v>
      </c>
      <c r="P118">
        <f ca="1">IFERROR(IF(0=LEN(ReferenceData!$P$118),"",ReferenceData!$P$118),"")</f>
        <v>54.573910380000001</v>
      </c>
      <c r="Q118">
        <f ca="1">IFERROR(IF(0=LEN(ReferenceData!$Q$118),"",ReferenceData!$Q$118),"")</f>
        <v>62.32430213</v>
      </c>
      <c r="R118">
        <f ca="1">IFERROR(IF(0=LEN(ReferenceData!$R$118),"",ReferenceData!$R$118),"")</f>
        <v>10.26355154</v>
      </c>
      <c r="S118">
        <f ca="1">IFERROR(IF(0=LEN(ReferenceData!$S$118),"",ReferenceData!$S$118),"")</f>
        <v>18.161368400000001</v>
      </c>
      <c r="T118">
        <f ca="1">IFERROR(IF(0=LEN(ReferenceData!$T$118),"",ReferenceData!$T$118),"")</f>
        <v>26.489578999999999</v>
      </c>
      <c r="U118">
        <f ca="1">IFERROR(IF(0=LEN(ReferenceData!$U$118),"",ReferenceData!$U$118),"")</f>
        <v>18.811881190000001</v>
      </c>
      <c r="V118">
        <f ca="1">IFERROR(IF(0=LEN(ReferenceData!$V$118),"",ReferenceData!$V$118),"")</f>
        <v>18.907046900000001</v>
      </c>
      <c r="W118">
        <f ca="1">IFERROR(IF(0=LEN(ReferenceData!$W$118),"",ReferenceData!$W$118),"")</f>
        <v>16.971540439999998</v>
      </c>
      <c r="X118">
        <f ca="1">IFERROR(IF(0=LEN(ReferenceData!$X$118),"",ReferenceData!$X$118),"")</f>
        <v>18.58956697</v>
      </c>
      <c r="Y118">
        <f ca="1">IFERROR(IF(0=LEN(ReferenceData!$Y$118),"",ReferenceData!$Y$118),"")</f>
        <v>22.29645094</v>
      </c>
      <c r="Z118">
        <f ca="1">IFERROR(IF(0=LEN(ReferenceData!$Z$118),"",ReferenceData!$Z$118),"")</f>
        <v>20.405845119999999</v>
      </c>
      <c r="AA118">
        <f ca="1">IFERROR(IF(0=LEN(ReferenceData!$AA$118),"",ReferenceData!$AA$118),"")</f>
        <v>24.517718599999998</v>
      </c>
      <c r="AB118">
        <f ca="1">IFERROR(IF(0=LEN(ReferenceData!$AB$118),"",ReferenceData!$AB$118),"")</f>
        <v>19.62426872</v>
      </c>
      <c r="AC118">
        <f ca="1">IFERROR(IF(0=LEN(ReferenceData!$AC$118),"",ReferenceData!$AC$118),"")</f>
        <v>15.451891030000001</v>
      </c>
      <c r="AD118">
        <f ca="1">IFERROR(IF(0=LEN(ReferenceData!$AD$118),"",ReferenceData!$AD$118),"")</f>
        <v>19.92025654</v>
      </c>
      <c r="AE118">
        <f ca="1">IFERROR(IF(0=LEN(ReferenceData!$AE$118),"",ReferenceData!$AE$118),"")</f>
        <v>7.2981410130000004</v>
      </c>
      <c r="AF118">
        <f ca="1">IFERROR(IF(0=LEN(ReferenceData!$AF$118),"",ReferenceData!$AF$118),"")</f>
        <v>4.4374964139999999</v>
      </c>
      <c r="AG118">
        <f ca="1">IFERROR(IF(0=LEN(ReferenceData!$AG$118),"",ReferenceData!$AG$118),"")</f>
        <v>23.469092759999999</v>
      </c>
      <c r="AH118">
        <f ca="1">IFERROR(IF(0=LEN(ReferenceData!$AH$118),"",ReferenceData!$AH$118),"")</f>
        <v>20.106343089999999</v>
      </c>
      <c r="AI118">
        <f ca="1">IFERROR(IF(0=LEN(ReferenceData!$AI$118),"",ReferenceData!$AI$118),"")</f>
        <v>44.034188729999997</v>
      </c>
      <c r="AJ118">
        <f ca="1">IFERROR(IF(0=LEN(ReferenceData!$AJ$118),"",ReferenceData!$AJ$118),"")</f>
        <v>40.140293049999997</v>
      </c>
      <c r="AK118">
        <f ca="1">IFERROR(IF(0=LEN(ReferenceData!$AK$118),"",ReferenceData!$AK$118),"")</f>
        <v>19.639078779999998</v>
      </c>
      <c r="AL118">
        <f ca="1">IFERROR(IF(0=LEN(ReferenceData!$AL$118),"",ReferenceData!$AL$118),"")</f>
        <v>19.361269320000002</v>
      </c>
      <c r="AM118">
        <f ca="1">IFERROR(IF(0=LEN(ReferenceData!$AM$118),"",ReferenceData!$AM$118),"")</f>
        <v>0.42919327899999998</v>
      </c>
      <c r="AN118">
        <f ca="1">IFERROR(IF(0=LEN(ReferenceData!$AN$118),"",ReferenceData!$AN$118),"")</f>
        <v>-17.076951279999999</v>
      </c>
      <c r="AO118">
        <f ca="1">IFERROR(IF(0=LEN(ReferenceData!$AO$118),"",ReferenceData!$AO$118),"")</f>
        <v>12.385960900000001</v>
      </c>
      <c r="AP118">
        <f ca="1">IFERROR(IF(0=LEN(ReferenceData!$AP$118),"",ReferenceData!$AP$118),"")</f>
        <v>20.104566219999999</v>
      </c>
      <c r="AQ118">
        <f ca="1">IFERROR(IF(0=LEN(ReferenceData!$AQ$118),"",ReferenceData!$AQ$118),"")</f>
        <v>23.780748800000001</v>
      </c>
      <c r="AR118">
        <f ca="1">IFERROR(IF(0=LEN(ReferenceData!$AR$118),"",ReferenceData!$AR$118),"")</f>
        <v>52.824758019999997</v>
      </c>
      <c r="AS118">
        <f ca="1">IFERROR(IF(0=LEN(ReferenceData!$AS$118),"",ReferenceData!$AS$118),"")</f>
        <v>14.738830439999999</v>
      </c>
      <c r="AT118">
        <f ca="1">IFERROR(IF(0=LEN(ReferenceData!$AT$118),"",ReferenceData!$AT$118),"")</f>
        <v>-4.0597238830000002</v>
      </c>
      <c r="AU118">
        <f ca="1">IFERROR(IF(0=LEN(ReferenceData!$AU$118),"",ReferenceData!$AU$118),"")</f>
        <v>9.8429116650000008</v>
      </c>
      <c r="AV118">
        <f ca="1">IFERROR(IF(0=LEN(ReferenceData!$AV$118),"",ReferenceData!$AV$118),"")</f>
        <v>11.233885819999999</v>
      </c>
      <c r="AW118">
        <f ca="1">IFERROR(IF(0=LEN(ReferenceData!$AW$118),"",ReferenceData!$AW$118),"")</f>
        <v>17.710456430000001</v>
      </c>
      <c r="AX118">
        <f ca="1">IFERROR(IF(0=LEN(ReferenceData!$AX$118),"",ReferenceData!$AX$118),"")</f>
        <v>32.576134240000002</v>
      </c>
      <c r="AY118">
        <f ca="1">IFERROR(IF(0=LEN(ReferenceData!$AY$118),"",ReferenceData!$AY$118),"")</f>
        <v>19.58592406</v>
      </c>
      <c r="AZ118">
        <f ca="1">IFERROR(IF(0=LEN(ReferenceData!$AZ$118),"",ReferenceData!$AZ$118),"")</f>
        <v>30.182207139999999</v>
      </c>
      <c r="BA118">
        <f ca="1">IFERROR(IF(0=LEN(ReferenceData!$BA$118),"",ReferenceData!$BA$118),"")</f>
        <v>27.946580269999998</v>
      </c>
      <c r="BB118">
        <f ca="1">IFERROR(IF(0=LEN(ReferenceData!$BB$118),"",ReferenceData!$BB$118),"")</f>
        <v>18.456894649999999</v>
      </c>
      <c r="BC118">
        <f ca="1">IFERROR(IF(0=LEN(ReferenceData!$BC$118),"",ReferenceData!$BC$118),"")</f>
        <v>65.187937059999996</v>
      </c>
      <c r="BD118">
        <f ca="1">IFERROR(IF(0=LEN(ReferenceData!$BD$118),"",ReferenceData!$BD$118),"")</f>
        <v>19.927454239999999</v>
      </c>
      <c r="BE118">
        <f ca="1">IFERROR(IF(0=LEN(ReferenceData!$BE$118),"",ReferenceData!$BE$118),"")</f>
        <v>13.26471594</v>
      </c>
      <c r="BF118">
        <f ca="1">IFERROR(IF(0=LEN(ReferenceData!$BF$118),"",ReferenceData!$BF$118),"")</f>
        <v>26.14227751</v>
      </c>
      <c r="BG118">
        <f ca="1">IFERROR(IF(0=LEN(ReferenceData!$BG$118),"",ReferenceData!$BG$118),"")</f>
        <v>-15.618657369999999</v>
      </c>
      <c r="BH118">
        <f ca="1">IFERROR(IF(0=LEN(ReferenceData!$BH$118),"",ReferenceData!$BH$118),"")</f>
        <v>8.0330675140000007</v>
      </c>
      <c r="BI118">
        <f ca="1">IFERROR(IF(0=LEN(ReferenceData!$BI$118),"",ReferenceData!$BI$118),"")</f>
        <v>7.4847264850000004</v>
      </c>
      <c r="BJ118">
        <f ca="1">IFERROR(IF(0=LEN(ReferenceData!$BJ$118),"",ReferenceData!$BJ$118),"")</f>
        <v>-12.326982490000001</v>
      </c>
      <c r="BK118">
        <f ca="1">IFERROR(IF(0=LEN(ReferenceData!$BK$118),"",ReferenceData!$BK$118),"")</f>
        <v>-20.84656738</v>
      </c>
      <c r="BL118">
        <f ca="1">IFERROR(IF(0=LEN(ReferenceData!$BL$118),"",ReferenceData!$BL$118),"")</f>
        <v>-32.23884271</v>
      </c>
      <c r="BM118">
        <f ca="1">IFERROR(IF(0=LEN(ReferenceData!$BM$118),"",ReferenceData!$BM$118),"")</f>
        <v>-39.573886860000002</v>
      </c>
    </row>
    <row r="119" spans="1:65">
      <c r="A119" t="str">
        <f>IFERROR(IF(0=LEN(ReferenceData!$A$119),"",ReferenceData!$A$119),"")</f>
        <v xml:space="preserve">    Sabra Health Care REIT Inc</v>
      </c>
      <c r="B119" t="str">
        <f>IFERROR(IF(0=LEN(ReferenceData!$B$119),"",ReferenceData!$B$119),"")</f>
        <v>SBRA US Equity</v>
      </c>
      <c r="C119" t="str">
        <f>IFERROR(IF(0=LEN(ReferenceData!$C$119),"",ReferenceData!$C$119),"")</f>
        <v>RR033</v>
      </c>
      <c r="D119" t="str">
        <f>IFERROR(IF(0=LEN(ReferenceData!$D$119),"",ReferenceData!$D$119),"")</f>
        <v>SALES_GROWTH</v>
      </c>
      <c r="E119" t="str">
        <f>IFERROR(IF(0=LEN(ReferenceData!$E$119),"",ReferenceData!$E$119),"")</f>
        <v>动态</v>
      </c>
      <c r="F119" t="str">
        <f ca="1">IFERROR(IF(0=LEN(ReferenceData!$F$119),"",ReferenceData!$F$119),"")</f>
        <v/>
      </c>
      <c r="G119">
        <f ca="1">IFERROR(IF(0=LEN(ReferenceData!$G$119),"",ReferenceData!$G$119),"")</f>
        <v>169.41140300000001</v>
      </c>
      <c r="H119">
        <f ca="1">IFERROR(IF(0=LEN(ReferenceData!$H$119),"",ReferenceData!$H$119),"")</f>
        <v>80.517383370000005</v>
      </c>
      <c r="I119">
        <f ca="1">IFERROR(IF(0=LEN(ReferenceData!$I$119),"",ReferenceData!$I$119),"")</f>
        <v>-12.81229377</v>
      </c>
      <c r="J119">
        <f ca="1">IFERROR(IF(0=LEN(ReferenceData!$J$119),"",ReferenceData!$J$119),"")</f>
        <v>0.14546268300000001</v>
      </c>
      <c r="K119">
        <f ca="1">IFERROR(IF(0=LEN(ReferenceData!$K$119),"",ReferenceData!$K$119),"")</f>
        <v>-7.4597136519999996</v>
      </c>
      <c r="L119">
        <f ca="1">IFERROR(IF(0=LEN(ReferenceData!$L$119),"",ReferenceData!$L$119),"")</f>
        <v>3.325324524</v>
      </c>
      <c r="M119">
        <f ca="1">IFERROR(IF(0=LEN(ReferenceData!$M$119),"",ReferenceData!$M$119),"")</f>
        <v>31.214434669999999</v>
      </c>
      <c r="N119">
        <f ca="1">IFERROR(IF(0=LEN(ReferenceData!$N$119),"",ReferenceData!$N$119),"")</f>
        <v>12.572878429999999</v>
      </c>
      <c r="O119">
        <f ca="1">IFERROR(IF(0=LEN(ReferenceData!$O$119),"",ReferenceData!$O$119),"")</f>
        <v>19.85424781</v>
      </c>
      <c r="P119">
        <f ca="1">IFERROR(IF(0=LEN(ReferenceData!$P$119),"",ReferenceData!$P$119),"")</f>
        <v>36.263186609999998</v>
      </c>
      <c r="Q119">
        <f ca="1">IFERROR(IF(0=LEN(ReferenceData!$Q$119),"",ReferenceData!$Q$119),"")</f>
        <v>31.67803039</v>
      </c>
      <c r="R119">
        <f ca="1">IFERROR(IF(0=LEN(ReferenceData!$R$119),"",ReferenceData!$R$119),"")</f>
        <v>36.039167689999999</v>
      </c>
      <c r="S119">
        <f ca="1">IFERROR(IF(0=LEN(ReferenceData!$S$119),"",ReferenceData!$S$119),"")</f>
        <v>48.33719413</v>
      </c>
      <c r="T119">
        <f ca="1">IFERROR(IF(0=LEN(ReferenceData!$T$119),"",ReferenceData!$T$119),"")</f>
        <v>33.584401380000003</v>
      </c>
      <c r="U119">
        <f ca="1">IFERROR(IF(0=LEN(ReferenceData!$U$119),"",ReferenceData!$U$119),"")</f>
        <v>33.146398140000002</v>
      </c>
      <c r="V119">
        <f ca="1">IFERROR(IF(0=LEN(ReferenceData!$V$119),"",ReferenceData!$V$119),"")</f>
        <v>27.568546619999999</v>
      </c>
      <c r="W119">
        <f ca="1">IFERROR(IF(0=LEN(ReferenceData!$W$119),"",ReferenceData!$W$119),"")</f>
        <v>32.766544119999999</v>
      </c>
      <c r="X119">
        <f ca="1">IFERROR(IF(0=LEN(ReferenceData!$X$119),"",ReferenceData!$X$119),"")</f>
        <v>26.453644669999999</v>
      </c>
      <c r="Y119">
        <f ca="1">IFERROR(IF(0=LEN(ReferenceData!$Y$119),"",ReferenceData!$Y$119),"")</f>
        <v>28.498626430000002</v>
      </c>
      <c r="Z119">
        <f ca="1">IFERROR(IF(0=LEN(ReferenceData!$Z$119),"",ReferenceData!$Z$119),"")</f>
        <v>34.960171959999997</v>
      </c>
      <c r="AA119">
        <f ca="1">IFERROR(IF(0=LEN(ReferenceData!$AA$119),"",ReferenceData!$AA$119),"")</f>
        <v>7.3589130520000001</v>
      </c>
      <c r="AB119">
        <f ca="1">IFERROR(IF(0=LEN(ReferenceData!$AB$119),"",ReferenceData!$AB$119),"")</f>
        <v>21.276199349999999</v>
      </c>
      <c r="AC119">
        <f ca="1">IFERROR(IF(0=LEN(ReferenceData!$AC$119),"",ReferenceData!$AC$119),"")</f>
        <v>33.565541080000003</v>
      </c>
      <c r="AD119">
        <f ca="1">IFERROR(IF(0=LEN(ReferenceData!$AD$119),"",ReferenceData!$AD$119),"")</f>
        <v>34.804840630000001</v>
      </c>
      <c r="AE119" t="str">
        <f ca="1">IFERROR(IF(0=LEN(ReferenceData!$AE$119),"",ReferenceData!$AE$119),"")</f>
        <v/>
      </c>
      <c r="AF119">
        <f ca="1">IFERROR(IF(0=LEN(ReferenceData!$AF$119),"",ReferenceData!$AF$119),"")</f>
        <v>-95.48946737</v>
      </c>
      <c r="AG119">
        <f ca="1">IFERROR(IF(0=LEN(ReferenceData!$AG$119),"",ReferenceData!$AG$119),"")</f>
        <v>-96.03786624</v>
      </c>
      <c r="AH119">
        <f ca="1">IFERROR(IF(0=LEN(ReferenceData!$AH$119),"",ReferenceData!$AH$119),"")</f>
        <v>-96.28086338</v>
      </c>
      <c r="AI119" t="str">
        <f ca="1">IFERROR(IF(0=LEN(ReferenceData!$AI$119),"",ReferenceData!$AI$119),"")</f>
        <v/>
      </c>
      <c r="AJ119">
        <f ca="1">IFERROR(IF(0=LEN(ReferenceData!$AJ$119),"",ReferenceData!$AJ$119),"")</f>
        <v>1.0838980410000001</v>
      </c>
      <c r="AK119">
        <f ca="1">IFERROR(IF(0=LEN(ReferenceData!$AK$119),"",ReferenceData!$AK$119),"")</f>
        <v>1.2229037460000001</v>
      </c>
      <c r="AL119">
        <f ca="1">IFERROR(IF(0=LEN(ReferenceData!$AL$119),"",ReferenceData!$AL$119),"")</f>
        <v>1.0589456239999999</v>
      </c>
      <c r="AM119">
        <f ca="1">IFERROR(IF(0=LEN(ReferenceData!$AM$119),"",ReferenceData!$AM$119),"")</f>
        <v>1.519590207</v>
      </c>
      <c r="AN119">
        <f ca="1">IFERROR(IF(0=LEN(ReferenceData!$AN$119),"",ReferenceData!$AN$119),"")</f>
        <v>3.1027627309999999</v>
      </c>
      <c r="AO119">
        <f ca="1">IFERROR(IF(0=LEN(ReferenceData!$AO$119),"",ReferenceData!$AO$119),"")</f>
        <v>3.234755346</v>
      </c>
      <c r="AP119">
        <f ca="1">IFERROR(IF(0=LEN(ReferenceData!$AP$119),"",ReferenceData!$AP$119),"")</f>
        <v>2.194037212</v>
      </c>
      <c r="AQ119">
        <f ca="1">IFERROR(IF(0=LEN(ReferenceData!$AQ$119),"",ReferenceData!$AQ$119),"")</f>
        <v>3.6442207170000001</v>
      </c>
      <c r="AR119">
        <f ca="1">IFERROR(IF(0=LEN(ReferenceData!$AR$119),"",ReferenceData!$AR$119),"")</f>
        <v>3.9019951320000001</v>
      </c>
      <c r="AS119">
        <f ca="1">IFERROR(IF(0=LEN(ReferenceData!$AS$119),"",ReferenceData!$AS$119),"")</f>
        <v>1.685155542</v>
      </c>
      <c r="AT119">
        <f ca="1">IFERROR(IF(0=LEN(ReferenceData!$AT$119),"",ReferenceData!$AT$119),"")</f>
        <v>67.505090120000006</v>
      </c>
      <c r="AU119">
        <f ca="1">IFERROR(IF(0=LEN(ReferenceData!$AU$119),"",ReferenceData!$AU$119),"")</f>
        <v>67.924816629999995</v>
      </c>
      <c r="AV119" t="str">
        <f ca="1">IFERROR(IF(0=LEN(ReferenceData!$AV$119),"",ReferenceData!$AV$119),"")</f>
        <v/>
      </c>
      <c r="AW119" t="str">
        <f ca="1">IFERROR(IF(0=LEN(ReferenceData!$AW$119),"",ReferenceData!$AW$119),"")</f>
        <v/>
      </c>
      <c r="AX119" t="str">
        <f ca="1">IFERROR(IF(0=LEN(ReferenceData!$AX$119),"",ReferenceData!$AX$119),"")</f>
        <v/>
      </c>
      <c r="AY119" t="str">
        <f ca="1">IFERROR(IF(0=LEN(ReferenceData!$AY$119),"",ReferenceData!$AY$119),"")</f>
        <v/>
      </c>
      <c r="AZ119" t="str">
        <f ca="1">IFERROR(IF(0=LEN(ReferenceData!$AZ$119),"",ReferenceData!$AZ$119),"")</f>
        <v/>
      </c>
      <c r="BA119" t="str">
        <f ca="1">IFERROR(IF(0=LEN(ReferenceData!$BA$119),"",ReferenceData!$BA$119),"")</f>
        <v/>
      </c>
      <c r="BB119" t="str">
        <f ca="1">IFERROR(IF(0=LEN(ReferenceData!$BB$119),"",ReferenceData!$BB$119),"")</f>
        <v/>
      </c>
      <c r="BC119" t="str">
        <f ca="1">IFERROR(IF(0=LEN(ReferenceData!$BC$119),"",ReferenceData!$BC$119),"")</f>
        <v/>
      </c>
      <c r="BD119" t="str">
        <f ca="1">IFERROR(IF(0=LEN(ReferenceData!$BD$119),"",ReferenceData!$BD$119),"")</f>
        <v/>
      </c>
      <c r="BE119" t="str">
        <f ca="1">IFERROR(IF(0=LEN(ReferenceData!$BE$119),"",ReferenceData!$BE$119),"")</f>
        <v/>
      </c>
      <c r="BF119" t="str">
        <f ca="1">IFERROR(IF(0=LEN(ReferenceData!$BF$119),"",ReferenceData!$BF$119),"")</f>
        <v/>
      </c>
      <c r="BG119" t="str">
        <f ca="1">IFERROR(IF(0=LEN(ReferenceData!$BG$119),"",ReferenceData!$BG$119),"")</f>
        <v/>
      </c>
      <c r="BH119" t="str">
        <f ca="1">IFERROR(IF(0=LEN(ReferenceData!$BH$119),"",ReferenceData!$BH$119),"")</f>
        <v/>
      </c>
      <c r="BI119" t="str">
        <f ca="1">IFERROR(IF(0=LEN(ReferenceData!$BI$119),"",ReferenceData!$BI$119),"")</f>
        <v/>
      </c>
      <c r="BJ119" t="str">
        <f ca="1">IFERROR(IF(0=LEN(ReferenceData!$BJ$119),"",ReferenceData!$BJ$119),"")</f>
        <v/>
      </c>
      <c r="BK119" t="str">
        <f ca="1">IFERROR(IF(0=LEN(ReferenceData!$BK$119),"",ReferenceData!$BK$119),"")</f>
        <v/>
      </c>
      <c r="BL119" t="str">
        <f ca="1">IFERROR(IF(0=LEN(ReferenceData!$BL$119),"",ReferenceData!$BL$119),"")</f>
        <v/>
      </c>
      <c r="BM119" t="str">
        <f ca="1">IFERROR(IF(0=LEN(ReferenceData!$BM$119),"",ReferenceData!$BM$119),"")</f>
        <v/>
      </c>
    </row>
    <row r="120" spans="1:65">
      <c r="A120" t="str">
        <f>IFERROR(IF(0=LEN(ReferenceData!$A$120),"",ReferenceData!$A$120),"")</f>
        <v xml:space="preserve">    Senior Housing Properties Trus</v>
      </c>
      <c r="B120" t="str">
        <f>IFERROR(IF(0=LEN(ReferenceData!$B$120),"",ReferenceData!$B$120),"")</f>
        <v>SNH US Equity</v>
      </c>
      <c r="C120" t="str">
        <f>IFERROR(IF(0=LEN(ReferenceData!$C$120),"",ReferenceData!$C$120),"")</f>
        <v>RR033</v>
      </c>
      <c r="D120" t="str">
        <f>IFERROR(IF(0=LEN(ReferenceData!$D$120),"",ReferenceData!$D$120),"")</f>
        <v>SALES_GROWTH</v>
      </c>
      <c r="E120" t="str">
        <f>IFERROR(IF(0=LEN(ReferenceData!$E$120),"",ReferenceData!$E$120),"")</f>
        <v>动态</v>
      </c>
      <c r="F120" t="str">
        <f ca="1">IFERROR(IF(0=LEN(ReferenceData!$F$120),"",ReferenceData!$F$120),"")</f>
        <v/>
      </c>
      <c r="G120">
        <f ca="1">IFERROR(IF(0=LEN(ReferenceData!$G$120),"",ReferenceData!$G$120),"")</f>
        <v>1.5567124569999999</v>
      </c>
      <c r="H120">
        <f ca="1">IFERROR(IF(0=LEN(ReferenceData!$H$120),"",ReferenceData!$H$120),"")</f>
        <v>1.0212778849999999</v>
      </c>
      <c r="I120">
        <f ca="1">IFERROR(IF(0=LEN(ReferenceData!$I$120),"",ReferenceData!$I$120),"")</f>
        <v>1.3949733520000001</v>
      </c>
      <c r="J120">
        <f ca="1">IFERROR(IF(0=LEN(ReferenceData!$J$120),"",ReferenceData!$J$120),"")</f>
        <v>2.3941944849999999</v>
      </c>
      <c r="K120">
        <f ca="1">IFERROR(IF(0=LEN(ReferenceData!$K$120),"",ReferenceData!$K$120),"")</f>
        <v>2.5332780100000001</v>
      </c>
      <c r="L120">
        <f ca="1">IFERROR(IF(0=LEN(ReferenceData!$L$120),"",ReferenceData!$L$120),"")</f>
        <v>3.4112231909999999</v>
      </c>
      <c r="M120">
        <f ca="1">IFERROR(IF(0=LEN(ReferenceData!$M$120),"",ReferenceData!$M$120),"")</f>
        <v>5.6446592989999997</v>
      </c>
      <c r="N120">
        <f ca="1">IFERROR(IF(0=LEN(ReferenceData!$N$120),"",ReferenceData!$N$120),"")</f>
        <v>13.036307239999999</v>
      </c>
      <c r="O120">
        <f ca="1">IFERROR(IF(0=LEN(ReferenceData!$O$120),"",ReferenceData!$O$120),"")</f>
        <v>16.409279009999999</v>
      </c>
      <c r="P120">
        <f ca="1">IFERROR(IF(0=LEN(ReferenceData!$P$120),"",ReferenceData!$P$120),"")</f>
        <v>17.707137360000001</v>
      </c>
      <c r="Q120">
        <f ca="1">IFERROR(IF(0=LEN(ReferenceData!$Q$120),"",ReferenceData!$Q$120),"")</f>
        <v>19.686707819999999</v>
      </c>
      <c r="R120">
        <f ca="1">IFERROR(IF(0=LEN(ReferenceData!$R$120),"",ReferenceData!$R$120),"")</f>
        <v>19.36322762</v>
      </c>
      <c r="S120">
        <f ca="1">IFERROR(IF(0=LEN(ReferenceData!$S$120),"",ReferenceData!$S$120),"")</f>
        <v>14.7117842</v>
      </c>
      <c r="T120">
        <f ca="1">IFERROR(IF(0=LEN(ReferenceData!$T$120),"",ReferenceData!$T$120),"")</f>
        <v>15.810749469999999</v>
      </c>
      <c r="U120">
        <f ca="1">IFERROR(IF(0=LEN(ReferenceData!$U$120),"",ReferenceData!$U$120),"")</f>
        <v>10.581614310000001</v>
      </c>
      <c r="V120">
        <f ca="1">IFERROR(IF(0=LEN(ReferenceData!$V$120),"",ReferenceData!$V$120),"")</f>
        <v>2.4552186100000002</v>
      </c>
      <c r="W120">
        <f ca="1">IFERROR(IF(0=LEN(ReferenceData!$W$120),"",ReferenceData!$W$120),"")</f>
        <v>3.178756103</v>
      </c>
      <c r="X120">
        <f ca="1">IFERROR(IF(0=LEN(ReferenceData!$X$120),"",ReferenceData!$X$120),"")</f>
        <v>19.958618390000002</v>
      </c>
      <c r="Y120">
        <f ca="1">IFERROR(IF(0=LEN(ReferenceData!$Y$120),"",ReferenceData!$Y$120),"")</f>
        <v>29.4577992</v>
      </c>
      <c r="Z120">
        <f ca="1">IFERROR(IF(0=LEN(ReferenceData!$Z$120),"",ReferenceData!$Z$120),"")</f>
        <v>28.8372061</v>
      </c>
      <c r="AA120">
        <f ca="1">IFERROR(IF(0=LEN(ReferenceData!$AA$120),"",ReferenceData!$AA$120),"")</f>
        <v>42.137434759999998</v>
      </c>
      <c r="AB120">
        <f ca="1">IFERROR(IF(0=LEN(ReferenceData!$AB$120),"",ReferenceData!$AB$120),"")</f>
        <v>37.298153030000002</v>
      </c>
      <c r="AC120">
        <f ca="1">IFERROR(IF(0=LEN(ReferenceData!$AC$120),"",ReferenceData!$AC$120),"")</f>
        <v>42.734425969999997</v>
      </c>
      <c r="AD120">
        <f ca="1">IFERROR(IF(0=LEN(ReferenceData!$AD$120),"",ReferenceData!$AD$120),"")</f>
        <v>47.204521470000003</v>
      </c>
      <c r="AE120">
        <f ca="1">IFERROR(IF(0=LEN(ReferenceData!$AE$120),"",ReferenceData!$AE$120),"")</f>
        <v>40.302784430000003</v>
      </c>
      <c r="AF120">
        <f ca="1">IFERROR(IF(0=LEN(ReferenceData!$AF$120),"",ReferenceData!$AF$120),"")</f>
        <v>40.437988660000002</v>
      </c>
      <c r="AG120">
        <f ca="1">IFERROR(IF(0=LEN(ReferenceData!$AG$120),"",ReferenceData!$AG$120),"")</f>
        <v>25.25475144</v>
      </c>
      <c r="AH120">
        <f ca="1">IFERROR(IF(0=LEN(ReferenceData!$AH$120),"",ReferenceData!$AH$120),"")</f>
        <v>22.505500519999998</v>
      </c>
      <c r="AI120">
        <f ca="1">IFERROR(IF(0=LEN(ReferenceData!$AI$120),"",ReferenceData!$AI$120),"")</f>
        <v>11.921785910000001</v>
      </c>
      <c r="AJ120">
        <f ca="1">IFERROR(IF(0=LEN(ReferenceData!$AJ$120),"",ReferenceData!$AJ$120),"")</f>
        <v>12.430218030000001</v>
      </c>
      <c r="AK120">
        <f ca="1">IFERROR(IF(0=LEN(ReferenceData!$AK$120),"",ReferenceData!$AK$120),"")</f>
        <v>16.377757599999999</v>
      </c>
      <c r="AL120">
        <f ca="1">IFERROR(IF(0=LEN(ReferenceData!$AL$120),"",ReferenceData!$AL$120),"")</f>
        <v>17.652134490000002</v>
      </c>
      <c r="AM120">
        <f ca="1">IFERROR(IF(0=LEN(ReferenceData!$AM$120),"",ReferenceData!$AM$120),"")</f>
        <v>19.296224680000002</v>
      </c>
      <c r="AN120">
        <f ca="1">IFERROR(IF(0=LEN(ReferenceData!$AN$120),"",ReferenceData!$AN$120),"")</f>
        <v>20.674341829999999</v>
      </c>
      <c r="AO120">
        <f ca="1">IFERROR(IF(0=LEN(ReferenceData!$AO$120),"",ReferenceData!$AO$120),"")</f>
        <v>29.985015919999999</v>
      </c>
      <c r="AP120">
        <f ca="1">IFERROR(IF(0=LEN(ReferenceData!$AP$120),"",ReferenceData!$AP$120),"")</f>
        <v>37.987609229999997</v>
      </c>
      <c r="AQ120">
        <f ca="1">IFERROR(IF(0=LEN(ReferenceData!$AQ$120),"",ReferenceData!$AQ$120),"")</f>
        <v>37.369075430000002</v>
      </c>
      <c r="AR120">
        <f ca="1">IFERROR(IF(0=LEN(ReferenceData!$AR$120),"",ReferenceData!$AR$120),"")</f>
        <v>31.94984964</v>
      </c>
      <c r="AS120">
        <f ca="1">IFERROR(IF(0=LEN(ReferenceData!$AS$120),"",ReferenceData!$AS$120),"")</f>
        <v>18.74471776</v>
      </c>
      <c r="AT120">
        <f ca="1">IFERROR(IF(0=LEN(ReferenceData!$AT$120),"",ReferenceData!$AT$120),"")</f>
        <v>10.72801216</v>
      </c>
      <c r="AU120">
        <f ca="1">IFERROR(IF(0=LEN(ReferenceData!$AU$120),"",ReferenceData!$AU$120),"")</f>
        <v>-3.5607877330000002</v>
      </c>
      <c r="AV120">
        <f ca="1">IFERROR(IF(0=LEN(ReferenceData!$AV$120),"",ReferenceData!$AV$120),"")</f>
        <v>6.869579602</v>
      </c>
      <c r="AW120">
        <f ca="1">IFERROR(IF(0=LEN(ReferenceData!$AW$120),"",ReferenceData!$AW$120),"")</f>
        <v>8.9301288880000005</v>
      </c>
      <c r="AX120">
        <f ca="1">IFERROR(IF(0=LEN(ReferenceData!$AX$120),"",ReferenceData!$AX$120),"")</f>
        <v>8.7031504290000008</v>
      </c>
      <c r="AY120">
        <f ca="1">IFERROR(IF(0=LEN(ReferenceData!$AY$120),"",ReferenceData!$AY$120),"")</f>
        <v>24.785200970000002</v>
      </c>
      <c r="AZ120">
        <f ca="1">IFERROR(IF(0=LEN(ReferenceData!$AZ$120),"",ReferenceData!$AZ$120),"")</f>
        <v>5.1510797769999996</v>
      </c>
      <c r="BA120">
        <f ca="1">IFERROR(IF(0=LEN(ReferenceData!$BA$120),"",ReferenceData!$BA$120),"")</f>
        <v>4.2191654520000004</v>
      </c>
      <c r="BB120">
        <f ca="1">IFERROR(IF(0=LEN(ReferenceData!$BB$120),"",ReferenceData!$BB$120),"")</f>
        <v>4.9506685470000003</v>
      </c>
      <c r="BC120">
        <f ca="1">IFERROR(IF(0=LEN(ReferenceData!$BC$120),"",ReferenceData!$BC$120),"")</f>
        <v>8.3010066289999997</v>
      </c>
      <c r="BD120">
        <f ca="1">IFERROR(IF(0=LEN(ReferenceData!$BD$120),"",ReferenceData!$BD$120),"")</f>
        <v>12.589525699999999</v>
      </c>
      <c r="BE120">
        <f ca="1">IFERROR(IF(0=LEN(ReferenceData!$BE$120),"",ReferenceData!$BE$120),"")</f>
        <v>11.544524770000001</v>
      </c>
      <c r="BF120">
        <f ca="1">IFERROR(IF(0=LEN(ReferenceData!$BF$120),"",ReferenceData!$BF$120),"")</f>
        <v>7.3447773209999996</v>
      </c>
      <c r="BG120">
        <f ca="1">IFERROR(IF(0=LEN(ReferenceData!$BG$120),"",ReferenceData!$BG$120),"")</f>
        <v>13.596431519999999</v>
      </c>
      <c r="BH120">
        <f ca="1">IFERROR(IF(0=LEN(ReferenceData!$BH$120),"",ReferenceData!$BH$120),"")</f>
        <v>11.348554500000001</v>
      </c>
      <c r="BI120">
        <f ca="1">IFERROR(IF(0=LEN(ReferenceData!$BI$120),"",ReferenceData!$BI$120),"")</f>
        <v>11.50681653</v>
      </c>
      <c r="BJ120">
        <f ca="1">IFERROR(IF(0=LEN(ReferenceData!$BJ$120),"",ReferenceData!$BJ$120),"")</f>
        <v>16.564590970000001</v>
      </c>
      <c r="BK120">
        <f ca="1">IFERROR(IF(0=LEN(ReferenceData!$BK$120),"",ReferenceData!$BK$120),"")</f>
        <v>9.1975043149999998</v>
      </c>
      <c r="BL120">
        <f ca="1">IFERROR(IF(0=LEN(ReferenceData!$BL$120),"",ReferenceData!$BL$120),"")</f>
        <v>5.6753464789999999</v>
      </c>
      <c r="BM120">
        <f ca="1">IFERROR(IF(0=LEN(ReferenceData!$BM$120),"",ReferenceData!$BM$120),"")</f>
        <v>4.8192771079999996</v>
      </c>
    </row>
    <row r="121" spans="1:65">
      <c r="A121" t="str">
        <f>IFERROR(IF(0=LEN(ReferenceData!$A$121),"",ReferenceData!$A$121),"")</f>
        <v xml:space="preserve">    Ventas Inc</v>
      </c>
      <c r="B121" t="str">
        <f>IFERROR(IF(0=LEN(ReferenceData!$B$121),"",ReferenceData!$B$121),"")</f>
        <v>VTR US Equity</v>
      </c>
      <c r="C121" t="str">
        <f>IFERROR(IF(0=LEN(ReferenceData!$C$121),"",ReferenceData!$C$121),"")</f>
        <v>RR033</v>
      </c>
      <c r="D121" t="str">
        <f>IFERROR(IF(0=LEN(ReferenceData!$D$121),"",ReferenceData!$D$121),"")</f>
        <v>SALES_GROWTH</v>
      </c>
      <c r="E121" t="str">
        <f>IFERROR(IF(0=LEN(ReferenceData!$E$121),"",ReferenceData!$E$121),"")</f>
        <v>动态</v>
      </c>
      <c r="F121" t="str">
        <f ca="1">IFERROR(IF(0=LEN(ReferenceData!$F$121),"",ReferenceData!$F$121),"")</f>
        <v/>
      </c>
      <c r="G121">
        <f ca="1">IFERROR(IF(0=LEN(ReferenceData!$G$121),"",ReferenceData!$G$121),"")</f>
        <v>2.2353213900000002</v>
      </c>
      <c r="H121">
        <f ca="1">IFERROR(IF(0=LEN(ReferenceData!$H$121),"",ReferenceData!$H$121),"")</f>
        <v>3.7840381220000001</v>
      </c>
      <c r="I121">
        <f ca="1">IFERROR(IF(0=LEN(ReferenceData!$I$121),"",ReferenceData!$I$121),"")</f>
        <v>5.5499502600000001</v>
      </c>
      <c r="J121">
        <f ca="1">IFERROR(IF(0=LEN(ReferenceData!$J$121),"",ReferenceData!$J$121),"")</f>
        <v>3.655332874</v>
      </c>
      <c r="K121">
        <f ca="1">IFERROR(IF(0=LEN(ReferenceData!$K$121),"",ReferenceData!$K$121),"")</f>
        <v>4.0936722159999999</v>
      </c>
      <c r="L121">
        <f ca="1">IFERROR(IF(0=LEN(ReferenceData!$L$121),"",ReferenceData!$L$121),"")</f>
        <v>4.7740108220000002</v>
      </c>
      <c r="M121">
        <f ca="1">IFERROR(IF(0=LEN(ReferenceData!$M$121),"",ReferenceData!$M$121),"")</f>
        <v>4.4935461620000003</v>
      </c>
      <c r="N121">
        <f ca="1">IFERROR(IF(0=LEN(ReferenceData!$N$121),"",ReferenceData!$N$121),"")</f>
        <v>5.7958187580000002</v>
      </c>
      <c r="O121">
        <f ca="1">IFERROR(IF(0=LEN(ReferenceData!$O$121),"",ReferenceData!$O$121),"")</f>
        <v>14.914013300000001</v>
      </c>
      <c r="P121">
        <f ca="1">IFERROR(IF(0=LEN(ReferenceData!$P$121),"",ReferenceData!$P$121),"")</f>
        <v>17.40224589</v>
      </c>
      <c r="Q121">
        <f ca="1">IFERROR(IF(0=LEN(ReferenceData!$Q$121),"",ReferenceData!$Q$121),"")</f>
        <v>8.0752981019999996</v>
      </c>
      <c r="R121">
        <f ca="1">IFERROR(IF(0=LEN(ReferenceData!$R$121),"",ReferenceData!$R$121),"")</f>
        <v>8.6487652910000001</v>
      </c>
      <c r="S121">
        <f ca="1">IFERROR(IF(0=LEN(ReferenceData!$S$121),"",ReferenceData!$S$121),"")</f>
        <v>-0.149348391</v>
      </c>
      <c r="T121">
        <f ca="1">IFERROR(IF(0=LEN(ReferenceData!$T$121),"",ReferenceData!$T$121),"")</f>
        <v>-0.88815590600000005</v>
      </c>
      <c r="U121">
        <f ca="1">IFERROR(IF(0=LEN(ReferenceData!$U$121),"",ReferenceData!$U$121),"")</f>
        <v>9.8149563890000007</v>
      </c>
      <c r="V121">
        <f ca="1">IFERROR(IF(0=LEN(ReferenceData!$V$121),"",ReferenceData!$V$121),"")</f>
        <v>8.5752274459999995</v>
      </c>
      <c r="W121">
        <f ca="1">IFERROR(IF(0=LEN(ReferenceData!$W$121),"",ReferenceData!$W$121),"")</f>
        <v>11.81202629</v>
      </c>
      <c r="X121">
        <f ca="1">IFERROR(IF(0=LEN(ReferenceData!$X$121),"",ReferenceData!$X$121),"")</f>
        <v>11.36670033</v>
      </c>
      <c r="Y121">
        <f ca="1">IFERROR(IF(0=LEN(ReferenceData!$Y$121),"",ReferenceData!$Y$121),"")</f>
        <v>11.78909217</v>
      </c>
      <c r="Z121">
        <f ca="1">IFERROR(IF(0=LEN(ReferenceData!$Z$121),"",ReferenceData!$Z$121),"")</f>
        <v>20.564983120000001</v>
      </c>
      <c r="AA121">
        <f ca="1">IFERROR(IF(0=LEN(ReferenceData!$AA$121),"",ReferenceData!$AA$121),"")</f>
        <v>16.440703549999999</v>
      </c>
      <c r="AB121">
        <f ca="1">IFERROR(IF(0=LEN(ReferenceData!$AB$121),"",ReferenceData!$AB$121),"")</f>
        <v>14.994652289999999</v>
      </c>
      <c r="AC121">
        <f ca="1">IFERROR(IF(0=LEN(ReferenceData!$AC$121),"",ReferenceData!$AC$121),"")</f>
        <v>70.223584590000002</v>
      </c>
      <c r="AD121">
        <f ca="1">IFERROR(IF(0=LEN(ReferenceData!$AD$121),"",ReferenceData!$AD$121),"")</f>
        <v>111.0120999</v>
      </c>
      <c r="AE121">
        <f ca="1">IFERROR(IF(0=LEN(ReferenceData!$AE$121),"",ReferenceData!$AE$121),"")</f>
        <v>111.73650670000001</v>
      </c>
      <c r="AF121">
        <f ca="1">IFERROR(IF(0=LEN(ReferenceData!$AF$121),"",ReferenceData!$AF$121),"")</f>
        <v>109.84187559999999</v>
      </c>
      <c r="AG121">
        <f ca="1">IFERROR(IF(0=LEN(ReferenceData!$AG$121),"",ReferenceData!$AG$121),"")</f>
        <v>47.75028769</v>
      </c>
      <c r="AH121">
        <f ca="1">IFERROR(IF(0=LEN(ReferenceData!$AH$121),"",ReferenceData!$AH$121),"")</f>
        <v>11.434359540000001</v>
      </c>
      <c r="AI121">
        <f ca="1">IFERROR(IF(0=LEN(ReferenceData!$AI$121),"",ReferenceData!$AI$121),"")</f>
        <v>11.798853279999999</v>
      </c>
      <c r="AJ121">
        <f ca="1">IFERROR(IF(0=LEN(ReferenceData!$AJ$121),"",ReferenceData!$AJ$121),"")</f>
        <v>12.79764061</v>
      </c>
      <c r="AK121">
        <f ca="1">IFERROR(IF(0=LEN(ReferenceData!$AK$121),"",ReferenceData!$AK$121),"")</f>
        <v>5.1276290549999999</v>
      </c>
      <c r="AL121">
        <f ca="1">IFERROR(IF(0=LEN(ReferenceData!$AL$121),"",ReferenceData!$AL$121),"")</f>
        <v>5.2353825179999998</v>
      </c>
      <c r="AM121">
        <f ca="1">IFERROR(IF(0=LEN(ReferenceData!$AM$121),"",ReferenceData!$AM$121),"")</f>
        <v>2.3415486140000001</v>
      </c>
      <c r="AN121">
        <f ca="1">IFERROR(IF(0=LEN(ReferenceData!$AN$121),"",ReferenceData!$AN$121),"")</f>
        <v>-0.20585145499999999</v>
      </c>
      <c r="AO121">
        <f ca="1">IFERROR(IF(0=LEN(ReferenceData!$AO$121),"",ReferenceData!$AO$121),"")</f>
        <v>1.0570621440000001</v>
      </c>
      <c r="AP121">
        <f ca="1">IFERROR(IF(0=LEN(ReferenceData!$AP$121),"",ReferenceData!$AP$121),"")</f>
        <v>0.10145535999999999</v>
      </c>
      <c r="AQ121">
        <f ca="1">IFERROR(IF(0=LEN(ReferenceData!$AQ$121),"",ReferenceData!$AQ$121),"")</f>
        <v>2.0690169969999999</v>
      </c>
      <c r="AR121">
        <f ca="1">IFERROR(IF(0=LEN(ReferenceData!$AR$121),"",ReferenceData!$AR$121),"")</f>
        <v>5.2033182399999998</v>
      </c>
      <c r="AS121">
        <f ca="1">IFERROR(IF(0=LEN(ReferenceData!$AS$121),"",ReferenceData!$AS$121),"")</f>
        <v>19.338568240000001</v>
      </c>
      <c r="AT121">
        <f ca="1">IFERROR(IF(0=LEN(ReferenceData!$AT$121),"",ReferenceData!$AT$121),"")</f>
        <v>94.752037610000002</v>
      </c>
      <c r="AU121">
        <f ca="1">IFERROR(IF(0=LEN(ReferenceData!$AU$121),"",ReferenceData!$AU$121),"")</f>
        <v>98.992546770000004</v>
      </c>
      <c r="AV121">
        <f ca="1">IFERROR(IF(0=LEN(ReferenceData!$AV$121),"",ReferenceData!$AV$121),"")</f>
        <v>109.1540115</v>
      </c>
      <c r="AW121">
        <f ca="1">IFERROR(IF(0=LEN(ReferenceData!$AW$121),"",ReferenceData!$AW$121),"")</f>
        <v>98.392532250000002</v>
      </c>
      <c r="AX121">
        <f ca="1">IFERROR(IF(0=LEN(ReferenceData!$AX$121),"",ReferenceData!$AX$121),"")</f>
        <v>20.04109841</v>
      </c>
      <c r="AY121">
        <f ca="1">IFERROR(IF(0=LEN(ReferenceData!$AY$121),"",ReferenceData!$AY$121),"")</f>
        <v>16.4226931</v>
      </c>
      <c r="AZ121">
        <f ca="1">IFERROR(IF(0=LEN(ReferenceData!$AZ$121),"",ReferenceData!$AZ$121),"")</f>
        <v>11.385268890000001</v>
      </c>
      <c r="BA121">
        <f ca="1">IFERROR(IF(0=LEN(ReferenceData!$BA$121),"",ReferenceData!$BA$121),"")</f>
        <v>29.063934249999999</v>
      </c>
      <c r="BB121">
        <f ca="1">IFERROR(IF(0=LEN(ReferenceData!$BB$121),"",ReferenceData!$BB$121),"")</f>
        <v>52.827211220000002</v>
      </c>
      <c r="BC121">
        <f ca="1">IFERROR(IF(0=LEN(ReferenceData!$BC$121),"",ReferenceData!$BC$121),"")</f>
        <v>57.977372799999998</v>
      </c>
      <c r="BD121">
        <f ca="1">IFERROR(IF(0=LEN(ReferenceData!$BD$121),"",ReferenceData!$BD$121),"")</f>
        <v>56.594626359999999</v>
      </c>
      <c r="BE121">
        <f ca="1">IFERROR(IF(0=LEN(ReferenceData!$BE$121),"",ReferenceData!$BE$121),"")</f>
        <v>25.40699717</v>
      </c>
      <c r="BF121">
        <f ca="1">IFERROR(IF(0=LEN(ReferenceData!$BF$121),"",ReferenceData!$BF$121),"")</f>
        <v>17.919192290000002</v>
      </c>
      <c r="BG121">
        <f ca="1">IFERROR(IF(0=LEN(ReferenceData!$BG$121),"",ReferenceData!$BG$121),"")</f>
        <v>23.931490010000001</v>
      </c>
      <c r="BH121">
        <f ca="1">IFERROR(IF(0=LEN(ReferenceData!$BH$121),"",ReferenceData!$BH$121),"")</f>
        <v>21.54917326</v>
      </c>
      <c r="BI121">
        <f ca="1">IFERROR(IF(0=LEN(ReferenceData!$BI$121),"",ReferenceData!$BI$121),"")</f>
        <v>24.473092300000001</v>
      </c>
      <c r="BJ121">
        <f ca="1">IFERROR(IF(0=LEN(ReferenceData!$BJ$121),"",ReferenceData!$BJ$121),"")</f>
        <v>15.47560794</v>
      </c>
      <c r="BK121">
        <f ca="1">IFERROR(IF(0=LEN(ReferenceData!$BK$121),"",ReferenceData!$BK$121),"")</f>
        <v>8.1995483359999994</v>
      </c>
      <c r="BL121">
        <f ca="1">IFERROR(IF(0=LEN(ReferenceData!$BL$121),"",ReferenceData!$BL$121),"")</f>
        <v>10.320450409999999</v>
      </c>
      <c r="BM121">
        <f ca="1">IFERROR(IF(0=LEN(ReferenceData!$BM$121),"",ReferenceData!$BM$121),"")</f>
        <v>5.8857256270000002</v>
      </c>
    </row>
    <row r="122" spans="1:65">
      <c r="A122" t="str">
        <f>IFERROR(IF(0=LEN(ReferenceData!$A$122),"",ReferenceData!$A$122),"")</f>
        <v xml:space="preserve">    Welltower Inc</v>
      </c>
      <c r="B122" t="str">
        <f>IFERROR(IF(0=LEN(ReferenceData!$B$122),"",ReferenceData!$B$122),"")</f>
        <v>HCN US Equity</v>
      </c>
      <c r="C122" t="str">
        <f>IFERROR(IF(0=LEN(ReferenceData!$C$122),"",ReferenceData!$C$122),"")</f>
        <v>RR033</v>
      </c>
      <c r="D122" t="str">
        <f>IFERROR(IF(0=LEN(ReferenceData!$D$122),"",ReferenceData!$D$122),"")</f>
        <v>SALES_GROWTH</v>
      </c>
      <c r="E122" t="str">
        <f>IFERROR(IF(0=LEN(ReferenceData!$E$122),"",ReferenceData!$E$122),"")</f>
        <v>动态</v>
      </c>
      <c r="F122" t="str">
        <f ca="1">IFERROR(IF(0=LEN(ReferenceData!$F$122),"",ReferenceData!$F$122),"")</f>
        <v/>
      </c>
      <c r="G122">
        <f ca="1">IFERROR(IF(0=LEN(ReferenceData!$G$122),"",ReferenceData!$G$122),"")</f>
        <v>2.405220709</v>
      </c>
      <c r="H122">
        <f ca="1">IFERROR(IF(0=LEN(ReferenceData!$H$122),"",ReferenceData!$H$122),"")</f>
        <v>1.1444372469999999</v>
      </c>
      <c r="I122">
        <f ca="1">IFERROR(IF(0=LEN(ReferenceData!$I$122),"",ReferenceData!$I$122),"")</f>
        <v>-1.676950041</v>
      </c>
      <c r="J122">
        <f ca="1">IFERROR(IF(0=LEN(ReferenceData!$J$122),"",ReferenceData!$J$122),"")</f>
        <v>1.456281935</v>
      </c>
      <c r="K122">
        <f ca="1">IFERROR(IF(0=LEN(ReferenceData!$K$122),"",ReferenceData!$K$122),"")</f>
        <v>4.7438328329999999</v>
      </c>
      <c r="L122">
        <f ca="1">IFERROR(IF(0=LEN(ReferenceData!$L$122),"",ReferenceData!$L$122),"")</f>
        <v>10.22842767</v>
      </c>
      <c r="M122">
        <f ca="1">IFERROR(IF(0=LEN(ReferenceData!$M$122),"",ReferenceData!$M$122),"")</f>
        <v>12.48347993</v>
      </c>
      <c r="N122">
        <f ca="1">IFERROR(IF(0=LEN(ReferenceData!$N$122),"",ReferenceData!$N$122),"")</f>
        <v>17.096503269999999</v>
      </c>
      <c r="O122">
        <f ca="1">IFERROR(IF(0=LEN(ReferenceData!$O$122),"",ReferenceData!$O$122),"")</f>
        <v>18.635719869999999</v>
      </c>
      <c r="P122">
        <f ca="1">IFERROR(IF(0=LEN(ReferenceData!$P$122),"",ReferenceData!$P$122),"")</f>
        <v>15.51273535</v>
      </c>
      <c r="Q122">
        <f ca="1">IFERROR(IF(0=LEN(ReferenceData!$Q$122),"",ReferenceData!$Q$122),"")</f>
        <v>15.81748838</v>
      </c>
      <c r="R122">
        <f ca="1">IFERROR(IF(0=LEN(ReferenceData!$R$122),"",ReferenceData!$R$122),"")</f>
        <v>11.520228680000001</v>
      </c>
      <c r="S122">
        <f ca="1">IFERROR(IF(0=LEN(ReferenceData!$S$122),"",ReferenceData!$S$122),"")</f>
        <v>10.04239282</v>
      </c>
      <c r="T122">
        <f ca="1">IFERROR(IF(0=LEN(ReferenceData!$T$122),"",ReferenceData!$T$122),"")</f>
        <v>8.1422871440000009</v>
      </c>
      <c r="U122">
        <f ca="1">IFERROR(IF(0=LEN(ReferenceData!$U$122),"",ReferenceData!$U$122),"")</f>
        <v>21.79893977</v>
      </c>
      <c r="V122">
        <f ca="1">IFERROR(IF(0=LEN(ReferenceData!$V$122),"",ReferenceData!$V$122),"")</f>
        <v>27.326733619999999</v>
      </c>
      <c r="W122">
        <f ca="1">IFERROR(IF(0=LEN(ReferenceData!$W$122),"",ReferenceData!$W$122),"")</f>
        <v>58.678898269999998</v>
      </c>
      <c r="X122">
        <f ca="1">IFERROR(IF(0=LEN(ReferenceData!$X$122),"",ReferenceData!$X$122),"")</f>
        <v>69.695755829999996</v>
      </c>
      <c r="Y122">
        <f ca="1">IFERROR(IF(0=LEN(ReferenceData!$Y$122),"",ReferenceData!$Y$122),"")</f>
        <v>54.662323720000003</v>
      </c>
      <c r="Z122">
        <f ca="1">IFERROR(IF(0=LEN(ReferenceData!$Z$122),"",ReferenceData!$Z$122),"")</f>
        <v>50.653116300000001</v>
      </c>
      <c r="AA122">
        <f ca="1">IFERROR(IF(0=LEN(ReferenceData!$AA$122),"",ReferenceData!$AA$122),"")</f>
        <v>29.227568810000001</v>
      </c>
      <c r="AB122">
        <f ca="1">IFERROR(IF(0=LEN(ReferenceData!$AB$122),"",ReferenceData!$AB$122),"")</f>
        <v>24.573948699999999</v>
      </c>
      <c r="AC122">
        <f ca="1">IFERROR(IF(0=LEN(ReferenceData!$AC$122),"",ReferenceData!$AC$122),"")</f>
        <v>18.700385820000001</v>
      </c>
      <c r="AD122">
        <f ca="1">IFERROR(IF(0=LEN(ReferenceData!$AD$122),"",ReferenceData!$AD$122),"")</f>
        <v>70.085776139999993</v>
      </c>
      <c r="AE122">
        <f ca="1">IFERROR(IF(0=LEN(ReferenceData!$AE$122),"",ReferenceData!$AE$122),"")</f>
        <v>95.784098599999993</v>
      </c>
      <c r="AF122">
        <f ca="1">IFERROR(IF(0=LEN(ReferenceData!$AF$122),"",ReferenceData!$AF$122),"")</f>
        <v>119.4408765</v>
      </c>
      <c r="AG122">
        <f ca="1">IFERROR(IF(0=LEN(ReferenceData!$AG$122),"",ReferenceData!$AG$122),"")</f>
        <v>140.3931082</v>
      </c>
      <c r="AH122">
        <f ca="1">IFERROR(IF(0=LEN(ReferenceData!$AH$122),"",ReferenceData!$AH$122),"")</f>
        <v>69.047373379999996</v>
      </c>
      <c r="AI122">
        <f ca="1">IFERROR(IF(0=LEN(ReferenceData!$AI$122),"",ReferenceData!$AI$122),"")</f>
        <v>38.91006556</v>
      </c>
      <c r="AJ122">
        <f ca="1">IFERROR(IF(0=LEN(ReferenceData!$AJ$122),"",ReferenceData!$AJ$122),"")</f>
        <v>20.549577580000001</v>
      </c>
      <c r="AK122">
        <f ca="1">IFERROR(IF(0=LEN(ReferenceData!$AK$122),"",ReferenceData!$AK$122),"")</f>
        <v>10.57976539</v>
      </c>
      <c r="AL122">
        <f ca="1">IFERROR(IF(0=LEN(ReferenceData!$AL$122),"",ReferenceData!$AL$122),"")</f>
        <v>4.7037725249999998</v>
      </c>
      <c r="AM122">
        <f ca="1">IFERROR(IF(0=LEN(ReferenceData!$AM$122),"",ReferenceData!$AM$122),"")</f>
        <v>7.7446490749999999</v>
      </c>
      <c r="AN122">
        <f ca="1">IFERROR(IF(0=LEN(ReferenceData!$AN$122),"",ReferenceData!$AN$122),"")</f>
        <v>0.57051001400000001</v>
      </c>
      <c r="AO122">
        <f ca="1">IFERROR(IF(0=LEN(ReferenceData!$AO$122),"",ReferenceData!$AO$122),"")</f>
        <v>7.6278205669999997</v>
      </c>
      <c r="AP122">
        <f ca="1">IFERROR(IF(0=LEN(ReferenceData!$AP$122),"",ReferenceData!$AP$122),"")</f>
        <v>9.6444054870000002</v>
      </c>
      <c r="AQ122">
        <f ca="1">IFERROR(IF(0=LEN(ReferenceData!$AQ$122),"",ReferenceData!$AQ$122),"")</f>
        <v>4.7515285030000003</v>
      </c>
      <c r="AR122">
        <f ca="1">IFERROR(IF(0=LEN(ReferenceData!$AR$122),"",ReferenceData!$AR$122),"")</f>
        <v>17.35146743</v>
      </c>
      <c r="AS122">
        <f ca="1">IFERROR(IF(0=LEN(ReferenceData!$AS$122),"",ReferenceData!$AS$122),"")</f>
        <v>14.58361051</v>
      </c>
      <c r="AT122">
        <f ca="1">IFERROR(IF(0=LEN(ReferenceData!$AT$122),"",ReferenceData!$AT$122),"")</f>
        <v>14.873409110000001</v>
      </c>
      <c r="AU122">
        <f ca="1">IFERROR(IF(0=LEN(ReferenceData!$AU$122),"",ReferenceData!$AU$122),"")</f>
        <v>42.71589187</v>
      </c>
      <c r="AV122">
        <f ca="1">IFERROR(IF(0=LEN(ReferenceData!$AV$122),"",ReferenceData!$AV$122),"")</f>
        <v>50.724140990000002</v>
      </c>
      <c r="AW122">
        <f ca="1">IFERROR(IF(0=LEN(ReferenceData!$AW$122),"",ReferenceData!$AW$122),"")</f>
        <v>44.724140589999998</v>
      </c>
      <c r="AX122">
        <f ca="1">IFERROR(IF(0=LEN(ReferenceData!$AX$122),"",ReferenceData!$AX$122),"")</f>
        <v>45.033417530000001</v>
      </c>
      <c r="AY122">
        <f ca="1">IFERROR(IF(0=LEN(ReferenceData!$AY$122),"",ReferenceData!$AY$122),"")</f>
        <v>15.48793643</v>
      </c>
      <c r="AZ122">
        <f ca="1">IFERROR(IF(0=LEN(ReferenceData!$AZ$122),"",ReferenceData!$AZ$122),"")</f>
        <v>12.089178499999999</v>
      </c>
      <c r="BA122">
        <f ca="1">IFERROR(IF(0=LEN(ReferenceData!$BA$122),"",ReferenceData!$BA$122),"")</f>
        <v>19.12895876</v>
      </c>
      <c r="BB122">
        <f ca="1">IFERROR(IF(0=LEN(ReferenceData!$BB$122),"",ReferenceData!$BB$122),"")</f>
        <v>16.580263200000001</v>
      </c>
      <c r="BC122">
        <f ca="1">IFERROR(IF(0=LEN(ReferenceData!$BC$122),"",ReferenceData!$BC$122),"")</f>
        <v>37.878870329999998</v>
      </c>
      <c r="BD122">
        <f ca="1">IFERROR(IF(0=LEN(ReferenceData!$BD$122),"",ReferenceData!$BD$122),"")</f>
        <v>10.46221063</v>
      </c>
      <c r="BE122">
        <f ca="1">IFERROR(IF(0=LEN(ReferenceData!$BE$122),"",ReferenceData!$BE$122),"")</f>
        <v>10.21168301</v>
      </c>
      <c r="BF122">
        <f ca="1">IFERROR(IF(0=LEN(ReferenceData!$BF$122),"",ReferenceData!$BF$122),"")</f>
        <v>6.9503453029999998</v>
      </c>
      <c r="BG122">
        <f ca="1">IFERROR(IF(0=LEN(ReferenceData!$BG$122),"",ReferenceData!$BG$122),"")</f>
        <v>-9.9755091450000002</v>
      </c>
      <c r="BH122">
        <f ca="1">IFERROR(IF(0=LEN(ReferenceData!$BH$122),"",ReferenceData!$BH$122),"")</f>
        <v>29.62759239</v>
      </c>
      <c r="BI122">
        <f ca="1">IFERROR(IF(0=LEN(ReferenceData!$BI$122),"",ReferenceData!$BI$122),"")</f>
        <v>32.376957740000002</v>
      </c>
      <c r="BJ122">
        <f ca="1">IFERROR(IF(0=LEN(ReferenceData!$BJ$122),"",ReferenceData!$BJ$122),"")</f>
        <v>38.117679039999999</v>
      </c>
      <c r="BK122">
        <f ca="1">IFERROR(IF(0=LEN(ReferenceData!$BK$122),"",ReferenceData!$BK$122),"")</f>
        <v>41.171047919999999</v>
      </c>
      <c r="BL122">
        <f ca="1">IFERROR(IF(0=LEN(ReferenceData!$BL$122),"",ReferenceData!$BL$122),"")</f>
        <v>22.262628280000001</v>
      </c>
      <c r="BM122">
        <f ca="1">IFERROR(IF(0=LEN(ReferenceData!$BM$122),"",ReferenceData!$BM$122),"")</f>
        <v>13.80763762</v>
      </c>
    </row>
    <row r="123" spans="1:65">
      <c r="A123" t="str">
        <f>IFERROR(IF(0=LEN(ReferenceData!$A$123),"",ReferenceData!$A$123),"")</f>
        <v>NOI增长(%)</v>
      </c>
      <c r="B123" t="str">
        <f>IFERROR(IF(0=LEN(ReferenceData!$B$123),"",ReferenceData!$B$123),"")</f>
        <v/>
      </c>
      <c r="C123" t="str">
        <f>IFERROR(IF(0=LEN(ReferenceData!$C$123),"",ReferenceData!$C$123),"")</f>
        <v/>
      </c>
      <c r="D123" t="str">
        <f>IFERROR(IF(0=LEN(ReferenceData!$D$123),"",ReferenceData!$D$123),"")</f>
        <v/>
      </c>
      <c r="E123" t="str">
        <f>IFERROR(IF(0=LEN(ReferenceData!$E$123),"",ReferenceData!$E$123),"")</f>
        <v>Median</v>
      </c>
      <c r="F123" t="str">
        <f ca="1">IFERROR(IF(0=LEN(ReferenceData!$F$123),"",ReferenceData!$F$123),"")</f>
        <v/>
      </c>
      <c r="G123">
        <f ca="1">IFERROR(IF(0=LEN(ReferenceData!$G$123),"",ReferenceData!$G$123),"")</f>
        <v>-0.11742258750000001</v>
      </c>
      <c r="H123">
        <f ca="1">IFERROR(IF(0=LEN(ReferenceData!$H$123),"",ReferenceData!$H$123),"")</f>
        <v>2.9503937935</v>
      </c>
      <c r="I123">
        <f ca="1">IFERROR(IF(0=LEN(ReferenceData!$I$123),"",ReferenceData!$I$123),"")</f>
        <v>4.4891320974999998</v>
      </c>
      <c r="J123">
        <f ca="1">IFERROR(IF(0=LEN(ReferenceData!$J$123),"",ReferenceData!$J$123),"")</f>
        <v>5.344014295</v>
      </c>
      <c r="K123">
        <f ca="1">IFERROR(IF(0=LEN(ReferenceData!$K$123),"",ReferenceData!$K$123),"")</f>
        <v>6.9354838709999997</v>
      </c>
      <c r="L123">
        <f ca="1">IFERROR(IF(0=LEN(ReferenceData!$L$123),"",ReferenceData!$L$123),"")</f>
        <v>7.4945295400000003</v>
      </c>
      <c r="M123">
        <f ca="1">IFERROR(IF(0=LEN(ReferenceData!$M$123),"",ReferenceData!$M$123),"")</f>
        <v>7.7955627600000001</v>
      </c>
      <c r="N123">
        <f ca="1">IFERROR(IF(0=LEN(ReferenceData!$N$123),"",ReferenceData!$N$123),"")</f>
        <v>9.9833055010000002</v>
      </c>
      <c r="O123">
        <f ca="1">IFERROR(IF(0=LEN(ReferenceData!$O$123),"",ReferenceData!$O$123),"")</f>
        <v>12.80900424</v>
      </c>
      <c r="P123">
        <f ca="1">IFERROR(IF(0=LEN(ReferenceData!$P$123),"",ReferenceData!$P$123),"")</f>
        <v>13.33357307</v>
      </c>
      <c r="Q123">
        <f ca="1">IFERROR(IF(0=LEN(ReferenceData!$Q$123),"",ReferenceData!$Q$123),"")</f>
        <v>13.145491074999999</v>
      </c>
      <c r="R123">
        <f ca="1">IFERROR(IF(0=LEN(ReferenceData!$R$123),"",ReferenceData!$R$123),"")</f>
        <v>10.575266758</v>
      </c>
      <c r="S123">
        <f ca="1">IFERROR(IF(0=LEN(ReferenceData!$S$123),"",ReferenceData!$S$123),"")</f>
        <v>12.54720219</v>
      </c>
      <c r="T123">
        <f ca="1">IFERROR(IF(0=LEN(ReferenceData!$T$123),"",ReferenceData!$T$123),"")</f>
        <v>19.002097855000002</v>
      </c>
      <c r="U123">
        <f ca="1">IFERROR(IF(0=LEN(ReferenceData!$U$123),"",ReferenceData!$U$123),"")</f>
        <v>18.670770314999999</v>
      </c>
      <c r="V123">
        <f ca="1">IFERROR(IF(0=LEN(ReferenceData!$V$123),"",ReferenceData!$V$123),"")</f>
        <v>16.017842444999999</v>
      </c>
      <c r="W123">
        <f ca="1">IFERROR(IF(0=LEN(ReferenceData!$W$123),"",ReferenceData!$W$123),"")</f>
        <v>16.616838715</v>
      </c>
      <c r="X123">
        <f ca="1">IFERROR(IF(0=LEN(ReferenceData!$X$123),"",ReferenceData!$X$123),"")</f>
        <v>11.46743043</v>
      </c>
      <c r="Y123">
        <f ca="1">IFERROR(IF(0=LEN(ReferenceData!$Y$123),"",ReferenceData!$Y$123),"")</f>
        <v>11.921258590000001</v>
      </c>
      <c r="Z123">
        <f ca="1">IFERROR(IF(0=LEN(ReferenceData!$Z$123),"",ReferenceData!$Z$123),"")</f>
        <v>16.78912287</v>
      </c>
      <c r="AA123">
        <f ca="1">IFERROR(IF(0=LEN(ReferenceData!$AA$123),"",ReferenceData!$AA$123),"")</f>
        <v>8.7843696774999991</v>
      </c>
      <c r="AB123">
        <f ca="1">IFERROR(IF(0=LEN(ReferenceData!$AB$123),"",ReferenceData!$AB$123),"")</f>
        <v>12.784108245000001</v>
      </c>
      <c r="AC123">
        <f ca="1">IFERROR(IF(0=LEN(ReferenceData!$AC$123),"",ReferenceData!$AC$123),"")</f>
        <v>11.653559945000001</v>
      </c>
      <c r="AD123">
        <f ca="1">IFERROR(IF(0=LEN(ReferenceData!$AD$123),"",ReferenceData!$AD$123),"")</f>
        <v>14.35236686</v>
      </c>
      <c r="AE123">
        <f ca="1">IFERROR(IF(0=LEN(ReferenceData!$AE$123),"",ReferenceData!$AE$123),"")</f>
        <v>23.111343130000002</v>
      </c>
      <c r="AF123">
        <f ca="1">IFERROR(IF(0=LEN(ReferenceData!$AF$123),"",ReferenceData!$AF$123),"")</f>
        <v>29.351711600000002</v>
      </c>
      <c r="AG123">
        <f ca="1">IFERROR(IF(0=LEN(ReferenceData!$AG$123),"",ReferenceData!$AG$123),"")</f>
        <v>27.228385200000002</v>
      </c>
      <c r="AH123">
        <f ca="1">IFERROR(IF(0=LEN(ReferenceData!$AH$123),"",ReferenceData!$AH$123),"")</f>
        <v>16.9410895</v>
      </c>
      <c r="AI123">
        <f ca="1">IFERROR(IF(0=LEN(ReferenceData!$AI$123),"",ReferenceData!$AI$123),"")</f>
        <v>10.015466914000001</v>
      </c>
      <c r="AJ123">
        <f ca="1">IFERROR(IF(0=LEN(ReferenceData!$AJ$123),"",ReferenceData!$AJ$123),"")</f>
        <v>9.3927578379999996</v>
      </c>
      <c r="AK123">
        <f ca="1">IFERROR(IF(0=LEN(ReferenceData!$AK$123),"",ReferenceData!$AK$123),"")</f>
        <v>8.0208432724999987</v>
      </c>
      <c r="AL123">
        <f ca="1">IFERROR(IF(0=LEN(ReferenceData!$AL$123),"",ReferenceData!$AL$123),"")</f>
        <v>5.5194013640000001</v>
      </c>
      <c r="AM123">
        <f ca="1">IFERROR(IF(0=LEN(ReferenceData!$AM$123),"",ReferenceData!$AM$123),"")</f>
        <v>7.3212279965000002</v>
      </c>
      <c r="AN123">
        <f ca="1">IFERROR(IF(0=LEN(ReferenceData!$AN$123),"",ReferenceData!$AN$123),"")</f>
        <v>3.9368125819999999</v>
      </c>
      <c r="AO123">
        <f ca="1">IFERROR(IF(0=LEN(ReferenceData!$AO$123),"",ReferenceData!$AO$123),"")</f>
        <v>8.3553635919999998</v>
      </c>
      <c r="AP123">
        <f ca="1">IFERROR(IF(0=LEN(ReferenceData!$AP$123),"",ReferenceData!$AP$123),"")</f>
        <v>14.074936430000001</v>
      </c>
      <c r="AQ123">
        <f ca="1">IFERROR(IF(0=LEN(ReferenceData!$AQ$123),"",ReferenceData!$AQ$123),"")</f>
        <v>11.562422720000001</v>
      </c>
      <c r="AR123">
        <f ca="1">IFERROR(IF(0=LEN(ReferenceData!$AR$123),"",ReferenceData!$AR$123),"")</f>
        <v>11.505418799999999</v>
      </c>
      <c r="AS123">
        <f ca="1">IFERROR(IF(0=LEN(ReferenceData!$AS$123),"",ReferenceData!$AS$123),"")</f>
        <v>13.467468755000001</v>
      </c>
      <c r="AT123">
        <f ca="1">IFERROR(IF(0=LEN(ReferenceData!$AT$123),"",ReferenceData!$AT$123),"")</f>
        <v>12.618665109999998</v>
      </c>
      <c r="AU123">
        <f ca="1">IFERROR(IF(0=LEN(ReferenceData!$AU$123),"",ReferenceData!$AU$123),"")</f>
        <v>18.153647580000001</v>
      </c>
      <c r="AV123">
        <f ca="1">IFERROR(IF(0=LEN(ReferenceData!$AV$123),"",ReferenceData!$AV$123),"")</f>
        <v>28.736983430000002</v>
      </c>
      <c r="AW123">
        <f ca="1">IFERROR(IF(0=LEN(ReferenceData!$AW$123),"",ReferenceData!$AW$123),"")</f>
        <v>27.530947309999998</v>
      </c>
      <c r="AX123">
        <f ca="1">IFERROR(IF(0=LEN(ReferenceData!$AX$123),"",ReferenceData!$AX$123),"")</f>
        <v>26.694787034999997</v>
      </c>
      <c r="AY123">
        <f ca="1">IFERROR(IF(0=LEN(ReferenceData!$AY$123),"",ReferenceData!$AY$123),"")</f>
        <v>27.476173169999999</v>
      </c>
      <c r="AZ123">
        <f ca="1">IFERROR(IF(0=LEN(ReferenceData!$AZ$123),"",ReferenceData!$AZ$123),"")</f>
        <v>11.17989708</v>
      </c>
      <c r="BA123">
        <f ca="1">IFERROR(IF(0=LEN(ReferenceData!$BA$123),"",ReferenceData!$BA$123),"")</f>
        <v>22.310911879999999</v>
      </c>
      <c r="BB123">
        <f ca="1">IFERROR(IF(0=LEN(ReferenceData!$BB$123),"",ReferenceData!$BB$123),"")</f>
        <v>21.489042040000001</v>
      </c>
      <c r="BC123">
        <f ca="1">IFERROR(IF(0=LEN(ReferenceData!$BC$123),"",ReferenceData!$BC$123),"")</f>
        <v>31.053964539999999</v>
      </c>
      <c r="BD123">
        <f ca="1">IFERROR(IF(0=LEN(ReferenceData!$BD$123),"",ReferenceData!$BD$123),"")</f>
        <v>21.948246439999998</v>
      </c>
      <c r="BE123">
        <f ca="1">IFERROR(IF(0=LEN(ReferenceData!$BE$123),"",ReferenceData!$BE$123),"")</f>
        <v>17.585066810000001</v>
      </c>
      <c r="BF123">
        <f ca="1">IFERROR(IF(0=LEN(ReferenceData!$BF$123),"",ReferenceData!$BF$123),"")</f>
        <v>17.927164189999999</v>
      </c>
      <c r="BG123">
        <f ca="1">IFERROR(IF(0=LEN(ReferenceData!$BG$123),"",ReferenceData!$BG$123),"")</f>
        <v>13.350776809999999</v>
      </c>
      <c r="BH123">
        <f ca="1">IFERROR(IF(0=LEN(ReferenceData!$BH$123),"",ReferenceData!$BH$123),"")</f>
        <v>13.583265219999999</v>
      </c>
      <c r="BI123">
        <f ca="1">IFERROR(IF(0=LEN(ReferenceData!$BI$123),"",ReferenceData!$BI$123),"")</f>
        <v>13.07811815</v>
      </c>
      <c r="BJ123">
        <f ca="1">IFERROR(IF(0=LEN(ReferenceData!$BJ$123),"",ReferenceData!$BJ$123),"")</f>
        <v>12.777445139999999</v>
      </c>
      <c r="BK123">
        <f ca="1">IFERROR(IF(0=LEN(ReferenceData!$BK$123),"",ReferenceData!$BK$123),"")</f>
        <v>8.6092496619999999</v>
      </c>
      <c r="BL123">
        <f ca="1">IFERROR(IF(0=LEN(ReferenceData!$BL$123),"",ReferenceData!$BL$123),"")</f>
        <v>4.1126691404999995</v>
      </c>
      <c r="BM123">
        <f ca="1">IFERROR(IF(0=LEN(ReferenceData!$BM$123),"",ReferenceData!$BM$123),"")</f>
        <v>4.4620554979999998</v>
      </c>
    </row>
    <row r="124" spans="1:65">
      <c r="A124" t="str">
        <f>IFERROR(IF(0=LEN(ReferenceData!$A$124),"",ReferenceData!$A$124),"")</f>
        <v xml:space="preserve">    Alexandria Real Estate Equitie</v>
      </c>
      <c r="B124" t="str">
        <f>IFERROR(IF(0=LEN(ReferenceData!$B$124),"",ReferenceData!$B$124),"")</f>
        <v>ARE US Equity</v>
      </c>
      <c r="C124" t="str">
        <f>IFERROR(IF(0=LEN(ReferenceData!$C$124),"",ReferenceData!$C$124),"")</f>
        <v>RR551</v>
      </c>
      <c r="D124" t="str">
        <f>IFERROR(IF(0=LEN(ReferenceData!$D$124),"",ReferenceData!$D$124),"")</f>
        <v>NOI_GROWTH</v>
      </c>
      <c r="E124" t="str">
        <f>IFERROR(IF(0=LEN(ReferenceData!$E$124),"",ReferenceData!$E$124),"")</f>
        <v>动态</v>
      </c>
      <c r="F124" t="str">
        <f ca="1">IFERROR(IF(0=LEN(ReferenceData!$F$124),"",ReferenceData!$F$124),"")</f>
        <v/>
      </c>
      <c r="G124">
        <f ca="1">IFERROR(IF(0=LEN(ReferenceData!$G$124),"",ReferenceData!$G$124),"")</f>
        <v>21.98026007</v>
      </c>
      <c r="H124">
        <f ca="1">IFERROR(IF(0=LEN(ReferenceData!$H$124),"",ReferenceData!$H$124),"")</f>
        <v>30.234227180000001</v>
      </c>
      <c r="I124">
        <f ca="1">IFERROR(IF(0=LEN(ReferenceData!$I$124),"",ReferenceData!$I$124),"")</f>
        <v>31.67497642</v>
      </c>
      <c r="J124">
        <f ca="1">IFERROR(IF(0=LEN(ReferenceData!$J$124),"",ReferenceData!$J$124),"")</f>
        <v>32.003088890000001</v>
      </c>
      <c r="K124">
        <f ca="1">IFERROR(IF(0=LEN(ReferenceData!$K$124),"",ReferenceData!$K$124),"")</f>
        <v>19.56251778</v>
      </c>
      <c r="L124">
        <f ca="1">IFERROR(IF(0=LEN(ReferenceData!$L$124),"",ReferenceData!$L$124),"")</f>
        <v>7.4945295400000003</v>
      </c>
      <c r="M124">
        <f ca="1">IFERROR(IF(0=LEN(ReferenceData!$M$124),"",ReferenceData!$M$124),"")</f>
        <v>6.662642204</v>
      </c>
      <c r="N124">
        <f ca="1">IFERROR(IF(0=LEN(ReferenceData!$N$124),"",ReferenceData!$N$124),"")</f>
        <v>10.901597349999999</v>
      </c>
      <c r="O124">
        <f ca="1">IFERROR(IF(0=LEN(ReferenceData!$O$124),"",ReferenceData!$O$124),"")</f>
        <v>11.50192614</v>
      </c>
      <c r="P124">
        <f ca="1">IFERROR(IF(0=LEN(ReferenceData!$P$124),"",ReferenceData!$P$124),"")</f>
        <v>13.28147966</v>
      </c>
      <c r="Q124">
        <f ca="1">IFERROR(IF(0=LEN(ReferenceData!$Q$124),"",ReferenceData!$Q$124),"")</f>
        <v>12.595583530000001</v>
      </c>
      <c r="R124">
        <f ca="1">IFERROR(IF(0=LEN(ReferenceData!$R$124),"",ReferenceData!$R$124),"")</f>
        <v>9.2145809849999996</v>
      </c>
      <c r="S124">
        <f ca="1">IFERROR(IF(0=LEN(ReferenceData!$S$124),"",ReferenceData!$S$124),"")</f>
        <v>11.663542680000001</v>
      </c>
      <c r="T124">
        <f ca="1">IFERROR(IF(0=LEN(ReferenceData!$T$124),"",ReferenceData!$T$124),"")</f>
        <v>17.567883129999998</v>
      </c>
      <c r="U124">
        <f ca="1">IFERROR(IF(0=LEN(ReferenceData!$U$124),"",ReferenceData!$U$124),"")</f>
        <v>18.732766489999999</v>
      </c>
      <c r="V124">
        <f ca="1">IFERROR(IF(0=LEN(ReferenceData!$V$124),"",ReferenceData!$V$124),"")</f>
        <v>17.506501149999998</v>
      </c>
      <c r="W124">
        <f ca="1">IFERROR(IF(0=LEN(ReferenceData!$W$124),"",ReferenceData!$W$124),"")</f>
        <v>14.24356356</v>
      </c>
      <c r="X124">
        <f ca="1">IFERROR(IF(0=LEN(ReferenceData!$X$124),"",ReferenceData!$X$124),"")</f>
        <v>11.49772441</v>
      </c>
      <c r="Y124">
        <f ca="1">IFERROR(IF(0=LEN(ReferenceData!$Y$124),"",ReferenceData!$Y$124),"")</f>
        <v>10.60164917</v>
      </c>
      <c r="Z124">
        <f ca="1">IFERROR(IF(0=LEN(ReferenceData!$Z$124),"",ReferenceData!$Z$124),"")</f>
        <v>10.01295477</v>
      </c>
      <c r="AA124">
        <f ca="1">IFERROR(IF(0=LEN(ReferenceData!$AA$124),"",ReferenceData!$AA$124),"")</f>
        <v>5.4363659059999998</v>
      </c>
      <c r="AB124">
        <f ca="1">IFERROR(IF(0=LEN(ReferenceData!$AB$124),"",ReferenceData!$AB$124),"")</f>
        <v>1.3714104730000001</v>
      </c>
      <c r="AC124">
        <f ca="1">IFERROR(IF(0=LEN(ReferenceData!$AC$124),"",ReferenceData!$AC$124),"")</f>
        <v>-7.5559921409999999</v>
      </c>
      <c r="AD124">
        <f ca="1">IFERROR(IF(0=LEN(ReferenceData!$AD$124),"",ReferenceData!$AD$124),"")</f>
        <v>-5.558614221</v>
      </c>
      <c r="AE124">
        <f ca="1">IFERROR(IF(0=LEN(ReferenceData!$AE$124),"",ReferenceData!$AE$124),"")</f>
        <v>2.8408786930000001</v>
      </c>
      <c r="AF124">
        <f ca="1">IFERROR(IF(0=LEN(ReferenceData!$AF$124),"",ReferenceData!$AF$124),"")</f>
        <v>10.66454809</v>
      </c>
      <c r="AG124">
        <f ca="1">IFERROR(IF(0=LEN(ReferenceData!$AG$124),"",ReferenceData!$AG$124),"")</f>
        <v>18.713047939999999</v>
      </c>
      <c r="AH124">
        <f ca="1">IFERROR(IF(0=LEN(ReferenceData!$AH$124),"",ReferenceData!$AH$124),"")</f>
        <v>16.9410895</v>
      </c>
      <c r="AI124">
        <f ca="1">IFERROR(IF(0=LEN(ReferenceData!$AI$124),"",ReferenceData!$AI$124),"")</f>
        <v>10.44837856</v>
      </c>
      <c r="AJ124">
        <f ca="1">IFERROR(IF(0=LEN(ReferenceData!$AJ$124),"",ReferenceData!$AJ$124),"")</f>
        <v>2.5901643270000001</v>
      </c>
      <c r="AK124">
        <f ca="1">IFERROR(IF(0=LEN(ReferenceData!$AK$124),"",ReferenceData!$AK$124),"")</f>
        <v>3.4352572220000002</v>
      </c>
      <c r="AL124">
        <f ca="1">IFERROR(IF(0=LEN(ReferenceData!$AL$124),"",ReferenceData!$AL$124),"")</f>
        <v>-14.73981682</v>
      </c>
      <c r="AM124">
        <f ca="1">IFERROR(IF(0=LEN(ReferenceData!$AM$124),"",ReferenceData!$AM$124),"")</f>
        <v>-9.6069822350000003</v>
      </c>
      <c r="AN124">
        <f ca="1">IFERROR(IF(0=LEN(ReferenceData!$AN$124),"",ReferenceData!$AN$124),"")</f>
        <v>3.2127570080000001</v>
      </c>
      <c r="AO124">
        <f ca="1">IFERROR(IF(0=LEN(ReferenceData!$AO$124),"",ReferenceData!$AO$124),"")</f>
        <v>5.2868862869999997</v>
      </c>
      <c r="AP124">
        <f ca="1">IFERROR(IF(0=LEN(ReferenceData!$AP$124),"",ReferenceData!$AP$124),"")</f>
        <v>26.03682208</v>
      </c>
      <c r="AQ124">
        <f ca="1">IFERROR(IF(0=LEN(ReferenceData!$AQ$124),"",ReferenceData!$AQ$124),"")</f>
        <v>22.032903999999998</v>
      </c>
      <c r="AR124">
        <f ca="1">IFERROR(IF(0=LEN(ReferenceData!$AR$124),"",ReferenceData!$AR$124),"")</f>
        <v>10.059091029999999</v>
      </c>
      <c r="AS124">
        <f ca="1">IFERROR(IF(0=LEN(ReferenceData!$AS$124),"",ReferenceData!$AS$124),"")</f>
        <v>15.455785110000001</v>
      </c>
      <c r="AT124">
        <f ca="1">IFERROR(IF(0=LEN(ReferenceData!$AT$124),"",ReferenceData!$AT$124),"")</f>
        <v>15.168729989999999</v>
      </c>
      <c r="AU124">
        <f ca="1">IFERROR(IF(0=LEN(ReferenceData!$AU$124),"",ReferenceData!$AU$124),"")</f>
        <v>15.58676391</v>
      </c>
      <c r="AV124">
        <f ca="1">IFERROR(IF(0=LEN(ReferenceData!$AV$124),"",ReferenceData!$AV$124),"")</f>
        <v>19.373923220000002</v>
      </c>
      <c r="AW124">
        <f ca="1">IFERROR(IF(0=LEN(ReferenceData!$AW$124),"",ReferenceData!$AW$124),"")</f>
        <v>27.530947309999998</v>
      </c>
      <c r="AX124">
        <f ca="1">IFERROR(IF(0=LEN(ReferenceData!$AX$124),"",ReferenceData!$AX$124),"")</f>
        <v>33.030386309999997</v>
      </c>
      <c r="AY124">
        <f ca="1">IFERROR(IF(0=LEN(ReferenceData!$AY$124),"",ReferenceData!$AY$124),"")</f>
        <v>38.68884663</v>
      </c>
      <c r="AZ124">
        <f ca="1">IFERROR(IF(0=LEN(ReferenceData!$AZ$124),"",ReferenceData!$AZ$124),"")</f>
        <v>31.674014469999999</v>
      </c>
      <c r="BA124">
        <f ca="1">IFERROR(IF(0=LEN(ReferenceData!$BA$124),"",ReferenceData!$BA$124),"")</f>
        <v>22.310911879999999</v>
      </c>
      <c r="BB124">
        <f ca="1">IFERROR(IF(0=LEN(ReferenceData!$BB$124),"",ReferenceData!$BB$124),"")</f>
        <v>21.489042040000001</v>
      </c>
      <c r="BC124">
        <f ca="1">IFERROR(IF(0=LEN(ReferenceData!$BC$124),"",ReferenceData!$BC$124),"")</f>
        <v>24.210881530000002</v>
      </c>
      <c r="BD124">
        <f ca="1">IFERROR(IF(0=LEN(ReferenceData!$BD$124),"",ReferenceData!$BD$124),"")</f>
        <v>32.379522340000001</v>
      </c>
      <c r="BE124">
        <f ca="1">IFERROR(IF(0=LEN(ReferenceData!$BE$124),"",ReferenceData!$BE$124),"")</f>
        <v>28.19362594</v>
      </c>
      <c r="BF124">
        <f ca="1">IFERROR(IF(0=LEN(ReferenceData!$BF$124),"",ReferenceData!$BF$124),"")</f>
        <v>25.72482235</v>
      </c>
      <c r="BG124">
        <f ca="1">IFERROR(IF(0=LEN(ReferenceData!$BG$124),"",ReferenceData!$BG$124),"")</f>
        <v>22.997350019999999</v>
      </c>
      <c r="BH124">
        <f ca="1">IFERROR(IF(0=LEN(ReferenceData!$BH$124),"",ReferenceData!$BH$124),"")</f>
        <v>13.09878561</v>
      </c>
      <c r="BI124">
        <f ca="1">IFERROR(IF(0=LEN(ReferenceData!$BI$124),"",ReferenceData!$BI$124),"")</f>
        <v>10.2288152</v>
      </c>
      <c r="BJ124">
        <f ca="1">IFERROR(IF(0=LEN(ReferenceData!$BJ$124),"",ReferenceData!$BJ$124),"")</f>
        <v>7.1582329319999998</v>
      </c>
      <c r="BK124">
        <f ca="1">IFERROR(IF(0=LEN(ReferenceData!$BK$124),"",ReferenceData!$BK$124),"")</f>
        <v>7.6286038280000001</v>
      </c>
      <c r="BL124">
        <f ca="1">IFERROR(IF(0=LEN(ReferenceData!$BL$124),"",ReferenceData!$BL$124),"")</f>
        <v>10.24409198</v>
      </c>
      <c r="BM124">
        <f ca="1">IFERROR(IF(0=LEN(ReferenceData!$BM$124),"",ReferenceData!$BM$124),"")</f>
        <v>11.954555320000001</v>
      </c>
    </row>
    <row r="125" spans="1:65">
      <c r="A125" t="str">
        <f>IFERROR(IF(0=LEN(ReferenceData!$A$125),"",ReferenceData!$A$125),"")</f>
        <v xml:space="preserve">    Care Capital Properties Inc</v>
      </c>
      <c r="B125" t="str">
        <f>IFERROR(IF(0=LEN(ReferenceData!$B$125),"",ReferenceData!$B$125),"")</f>
        <v>CCP US Equity</v>
      </c>
      <c r="C125" t="str">
        <f>IFERROR(IF(0=LEN(ReferenceData!$C$125),"",ReferenceData!$C$125),"")</f>
        <v>RR551</v>
      </c>
      <c r="D125" t="str">
        <f>IFERROR(IF(0=LEN(ReferenceData!$D$125),"",ReferenceData!$D$125),"")</f>
        <v>NOI_GROWTH</v>
      </c>
      <c r="E125" t="str">
        <f>IFERROR(IF(0=LEN(ReferenceData!$E$125),"",ReferenceData!$E$125),"")</f>
        <v>动态</v>
      </c>
      <c r="F125" t="str">
        <f ca="1">IFERROR(IF(0=LEN(ReferenceData!$F$125),"",ReferenceData!$F$125),"")</f>
        <v/>
      </c>
      <c r="G125" t="str">
        <f ca="1">IFERROR(IF(0=LEN(ReferenceData!$G$125),"",ReferenceData!$G$125),"")</f>
        <v/>
      </c>
      <c r="H125" t="str">
        <f ca="1">IFERROR(IF(0=LEN(ReferenceData!$H$125),"",ReferenceData!$H$125),"")</f>
        <v/>
      </c>
      <c r="I125" t="str">
        <f ca="1">IFERROR(IF(0=LEN(ReferenceData!$I$125),"",ReferenceData!$I$125),"")</f>
        <v/>
      </c>
      <c r="J125" t="str">
        <f ca="1">IFERROR(IF(0=LEN(ReferenceData!$J$125),"",ReferenceData!$J$125),"")</f>
        <v/>
      </c>
      <c r="K125">
        <f ca="1">IFERROR(IF(0=LEN(ReferenceData!$K$125),"",ReferenceData!$K$125),"")</f>
        <v>-5.4603473410000003</v>
      </c>
      <c r="L125">
        <f ca="1">IFERROR(IF(0=LEN(ReferenceData!$L$125),"",ReferenceData!$L$125),"")</f>
        <v>0.44184772700000002</v>
      </c>
      <c r="M125">
        <f ca="1">IFERROR(IF(0=LEN(ReferenceData!$M$125),"",ReferenceData!$M$125),"")</f>
        <v>7.7955627600000001</v>
      </c>
      <c r="N125" t="str">
        <f ca="1">IFERROR(IF(0=LEN(ReferenceData!$N$125),"",ReferenceData!$N$125),"")</f>
        <v/>
      </c>
      <c r="O125" t="str">
        <f ca="1">IFERROR(IF(0=LEN(ReferenceData!$O$125),"",ReferenceData!$O$125),"")</f>
        <v/>
      </c>
      <c r="P125" t="str">
        <f ca="1">IFERROR(IF(0=LEN(ReferenceData!$P$125),"",ReferenceData!$P$125),"")</f>
        <v/>
      </c>
      <c r="Q125" t="str">
        <f ca="1">IFERROR(IF(0=LEN(ReferenceData!$Q$125),"",ReferenceData!$Q$125),"")</f>
        <v/>
      </c>
      <c r="R125" t="str">
        <f ca="1">IFERROR(IF(0=LEN(ReferenceData!$R$125),"",ReferenceData!$R$125),"")</f>
        <v/>
      </c>
      <c r="S125" t="str">
        <f ca="1">IFERROR(IF(0=LEN(ReferenceData!$S$125),"",ReferenceData!$S$125),"")</f>
        <v/>
      </c>
      <c r="T125" t="str">
        <f ca="1">IFERROR(IF(0=LEN(ReferenceData!$T$125),"",ReferenceData!$T$125),"")</f>
        <v/>
      </c>
      <c r="U125" t="str">
        <f ca="1">IFERROR(IF(0=LEN(ReferenceData!$U$125),"",ReferenceData!$U$125),"")</f>
        <v/>
      </c>
      <c r="V125" t="str">
        <f ca="1">IFERROR(IF(0=LEN(ReferenceData!$V$125),"",ReferenceData!$V$125),"")</f>
        <v/>
      </c>
      <c r="W125" t="str">
        <f ca="1">IFERROR(IF(0=LEN(ReferenceData!$W$125),"",ReferenceData!$W$125),"")</f>
        <v/>
      </c>
      <c r="X125" t="str">
        <f ca="1">IFERROR(IF(0=LEN(ReferenceData!$X$125),"",ReferenceData!$X$125),"")</f>
        <v/>
      </c>
      <c r="Y125" t="str">
        <f ca="1">IFERROR(IF(0=LEN(ReferenceData!$Y$125),"",ReferenceData!$Y$125),"")</f>
        <v/>
      </c>
      <c r="Z125" t="str">
        <f ca="1">IFERROR(IF(0=LEN(ReferenceData!$Z$125),"",ReferenceData!$Z$125),"")</f>
        <v/>
      </c>
      <c r="AA125" t="str">
        <f ca="1">IFERROR(IF(0=LEN(ReferenceData!$AA$125),"",ReferenceData!$AA$125),"")</f>
        <v/>
      </c>
      <c r="AB125" t="str">
        <f ca="1">IFERROR(IF(0=LEN(ReferenceData!$AB$125),"",ReferenceData!$AB$125),"")</f>
        <v/>
      </c>
      <c r="AC125" t="str">
        <f ca="1">IFERROR(IF(0=LEN(ReferenceData!$AC$125),"",ReferenceData!$AC$125),"")</f>
        <v/>
      </c>
      <c r="AD125" t="str">
        <f ca="1">IFERROR(IF(0=LEN(ReferenceData!$AD$125),"",ReferenceData!$AD$125),"")</f>
        <v/>
      </c>
      <c r="AE125" t="str">
        <f ca="1">IFERROR(IF(0=LEN(ReferenceData!$AE$125),"",ReferenceData!$AE$125),"")</f>
        <v/>
      </c>
      <c r="AF125" t="str">
        <f ca="1">IFERROR(IF(0=LEN(ReferenceData!$AF$125),"",ReferenceData!$AF$125),"")</f>
        <v/>
      </c>
      <c r="AG125" t="str">
        <f ca="1">IFERROR(IF(0=LEN(ReferenceData!$AG$125),"",ReferenceData!$AG$125),"")</f>
        <v/>
      </c>
      <c r="AH125" t="str">
        <f ca="1">IFERROR(IF(0=LEN(ReferenceData!$AH$125),"",ReferenceData!$AH$125),"")</f>
        <v/>
      </c>
      <c r="AI125" t="str">
        <f ca="1">IFERROR(IF(0=LEN(ReferenceData!$AI$125),"",ReferenceData!$AI$125),"")</f>
        <v/>
      </c>
      <c r="AJ125" t="str">
        <f ca="1">IFERROR(IF(0=LEN(ReferenceData!$AJ$125),"",ReferenceData!$AJ$125),"")</f>
        <v/>
      </c>
      <c r="AK125" t="str">
        <f ca="1">IFERROR(IF(0=LEN(ReferenceData!$AK$125),"",ReferenceData!$AK$125),"")</f>
        <v/>
      </c>
      <c r="AL125" t="str">
        <f ca="1">IFERROR(IF(0=LEN(ReferenceData!$AL$125),"",ReferenceData!$AL$125),"")</f>
        <v/>
      </c>
      <c r="AM125" t="str">
        <f ca="1">IFERROR(IF(0=LEN(ReferenceData!$AM$125),"",ReferenceData!$AM$125),"")</f>
        <v/>
      </c>
      <c r="AN125" t="str">
        <f ca="1">IFERROR(IF(0=LEN(ReferenceData!$AN$125),"",ReferenceData!$AN$125),"")</f>
        <v/>
      </c>
      <c r="AO125" t="str">
        <f ca="1">IFERROR(IF(0=LEN(ReferenceData!$AO$125),"",ReferenceData!$AO$125),"")</f>
        <v/>
      </c>
      <c r="AP125" t="str">
        <f ca="1">IFERROR(IF(0=LEN(ReferenceData!$AP$125),"",ReferenceData!$AP$125),"")</f>
        <v/>
      </c>
      <c r="AQ125" t="str">
        <f ca="1">IFERROR(IF(0=LEN(ReferenceData!$AQ$125),"",ReferenceData!$AQ$125),"")</f>
        <v/>
      </c>
      <c r="AR125" t="str">
        <f ca="1">IFERROR(IF(0=LEN(ReferenceData!$AR$125),"",ReferenceData!$AR$125),"")</f>
        <v/>
      </c>
      <c r="AS125" t="str">
        <f ca="1">IFERROR(IF(0=LEN(ReferenceData!$AS$125),"",ReferenceData!$AS$125),"")</f>
        <v/>
      </c>
      <c r="AT125" t="str">
        <f ca="1">IFERROR(IF(0=LEN(ReferenceData!$AT$125),"",ReferenceData!$AT$125),"")</f>
        <v/>
      </c>
      <c r="AU125" t="str">
        <f ca="1">IFERROR(IF(0=LEN(ReferenceData!$AU$125),"",ReferenceData!$AU$125),"")</f>
        <v/>
      </c>
      <c r="AV125" t="str">
        <f ca="1">IFERROR(IF(0=LEN(ReferenceData!$AV$125),"",ReferenceData!$AV$125),"")</f>
        <v/>
      </c>
      <c r="AW125" t="str">
        <f ca="1">IFERROR(IF(0=LEN(ReferenceData!$AW$125),"",ReferenceData!$AW$125),"")</f>
        <v/>
      </c>
      <c r="AX125" t="str">
        <f ca="1">IFERROR(IF(0=LEN(ReferenceData!$AX$125),"",ReferenceData!$AX$125),"")</f>
        <v/>
      </c>
      <c r="AY125" t="str">
        <f ca="1">IFERROR(IF(0=LEN(ReferenceData!$AY$125),"",ReferenceData!$AY$125),"")</f>
        <v/>
      </c>
      <c r="AZ125" t="str">
        <f ca="1">IFERROR(IF(0=LEN(ReferenceData!$AZ$125),"",ReferenceData!$AZ$125),"")</f>
        <v/>
      </c>
      <c r="BA125" t="str">
        <f ca="1">IFERROR(IF(0=LEN(ReferenceData!$BA$125),"",ReferenceData!$BA$125),"")</f>
        <v/>
      </c>
      <c r="BB125" t="str">
        <f ca="1">IFERROR(IF(0=LEN(ReferenceData!$BB$125),"",ReferenceData!$BB$125),"")</f>
        <v/>
      </c>
      <c r="BC125" t="str">
        <f ca="1">IFERROR(IF(0=LEN(ReferenceData!$BC$125),"",ReferenceData!$BC$125),"")</f>
        <v/>
      </c>
      <c r="BD125" t="str">
        <f ca="1">IFERROR(IF(0=LEN(ReferenceData!$BD$125),"",ReferenceData!$BD$125),"")</f>
        <v/>
      </c>
      <c r="BE125" t="str">
        <f ca="1">IFERROR(IF(0=LEN(ReferenceData!$BE$125),"",ReferenceData!$BE$125),"")</f>
        <v/>
      </c>
      <c r="BF125" t="str">
        <f ca="1">IFERROR(IF(0=LEN(ReferenceData!$BF$125),"",ReferenceData!$BF$125),"")</f>
        <v/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>
      <c r="A126" t="str">
        <f>IFERROR(IF(0=LEN(ReferenceData!$A$126),"",ReferenceData!$A$126),"")</f>
        <v xml:space="preserve">    HCP Inc</v>
      </c>
      <c r="B126" t="str">
        <f>IFERROR(IF(0=LEN(ReferenceData!$B$126),"",ReferenceData!$B$126),"")</f>
        <v>HCP US Equity</v>
      </c>
      <c r="C126" t="str">
        <f>IFERROR(IF(0=LEN(ReferenceData!$C$126),"",ReferenceData!$C$126),"")</f>
        <v>RR551</v>
      </c>
      <c r="D126" t="str">
        <f>IFERROR(IF(0=LEN(ReferenceData!$D$126),"",ReferenceData!$D$126),"")</f>
        <v>NOI_GROWTH</v>
      </c>
      <c r="E126" t="str">
        <f>IFERROR(IF(0=LEN(ReferenceData!$E$126),"",ReferenceData!$E$126),"")</f>
        <v>动态</v>
      </c>
      <c r="F126" t="str">
        <f ca="1">IFERROR(IF(0=LEN(ReferenceData!$F$126),"",ReferenceData!$F$126),"")</f>
        <v/>
      </c>
      <c r="G126">
        <f ca="1">IFERROR(IF(0=LEN(ReferenceData!$G$126),"",ReferenceData!$G$126),"")</f>
        <v>-26.764731080000001</v>
      </c>
      <c r="H126">
        <f ca="1">IFERROR(IF(0=LEN(ReferenceData!$H$126),"",ReferenceData!$H$126),"")</f>
        <v>-10.99698785</v>
      </c>
      <c r="I126">
        <f ca="1">IFERROR(IF(0=LEN(ReferenceData!$I$126),"",ReferenceData!$I$126),"")</f>
        <v>-12.73386672</v>
      </c>
      <c r="J126">
        <f ca="1">IFERROR(IF(0=LEN(ReferenceData!$J$126),"",ReferenceData!$J$126),"")</f>
        <v>-29.394927750000001</v>
      </c>
      <c r="K126">
        <f ca="1">IFERROR(IF(0=LEN(ReferenceData!$K$126),"",ReferenceData!$K$126),"")</f>
        <v>0.38921741799999998</v>
      </c>
      <c r="L126">
        <f ca="1">IFERROR(IF(0=LEN(ReferenceData!$L$126),"",ReferenceData!$L$126),"")</f>
        <v>-4.1153353929999996</v>
      </c>
      <c r="M126">
        <f ca="1">IFERROR(IF(0=LEN(ReferenceData!$M$126),"",ReferenceData!$M$126),"")</f>
        <v>3.2209445250000002</v>
      </c>
      <c r="N126">
        <f ca="1">IFERROR(IF(0=LEN(ReferenceData!$N$126),"",ReferenceData!$N$126),"")</f>
        <v>6.7340369999999997E-2</v>
      </c>
      <c r="O126">
        <f ca="1">IFERROR(IF(0=LEN(ReferenceData!$O$126),"",ReferenceData!$O$126),"")</f>
        <v>-27.62202701</v>
      </c>
      <c r="P126">
        <f ca="1">IFERROR(IF(0=LEN(ReferenceData!$P$126),"",ReferenceData!$P$126),"")</f>
        <v>-3.2073606629999998</v>
      </c>
      <c r="Q126">
        <f ca="1">IFERROR(IF(0=LEN(ReferenceData!$Q$126),"",ReferenceData!$Q$126),"")</f>
        <v>-1.1518973830000001</v>
      </c>
      <c r="R126">
        <f ca="1">IFERROR(IF(0=LEN(ReferenceData!$R$126),"",ReferenceData!$R$126),"")</f>
        <v>1.8074037510000001</v>
      </c>
      <c r="S126">
        <f ca="1">IFERROR(IF(0=LEN(ReferenceData!$S$126),"",ReferenceData!$S$126),"")</f>
        <v>3.047264679</v>
      </c>
      <c r="T126">
        <f ca="1">IFERROR(IF(0=LEN(ReferenceData!$T$126),"",ReferenceData!$T$126),"")</f>
        <v>12.74620219</v>
      </c>
      <c r="U126">
        <f ca="1">IFERROR(IF(0=LEN(ReferenceData!$U$126),"",ReferenceData!$U$126),"")</f>
        <v>3.7981636239999998</v>
      </c>
      <c r="V126">
        <f ca="1">IFERROR(IF(0=LEN(ReferenceData!$V$126),"",ReferenceData!$V$126),"")</f>
        <v>2.6929413260000001</v>
      </c>
      <c r="W126">
        <f ca="1">IFERROR(IF(0=LEN(ReferenceData!$W$126),"",ReferenceData!$W$126),"")</f>
        <v>4.4845400309999999</v>
      </c>
      <c r="X126">
        <f ca="1">IFERROR(IF(0=LEN(ReferenceData!$X$126),"",ReferenceData!$X$126),"")</f>
        <v>10.43166682</v>
      </c>
      <c r="Y126">
        <f ca="1">IFERROR(IF(0=LEN(ReferenceData!$Y$126),"",ReferenceData!$Y$126),"")</f>
        <v>7.9028631310000002</v>
      </c>
      <c r="Z126">
        <f ca="1">IFERROR(IF(0=LEN(ReferenceData!$Z$126),"",ReferenceData!$Z$126),"")</f>
        <v>9.9152640739999995</v>
      </c>
      <c r="AA126">
        <f ca="1">IFERROR(IF(0=LEN(ReferenceData!$AA$126),"",ReferenceData!$AA$126),"")</f>
        <v>7.5053852550000002</v>
      </c>
      <c r="AB126">
        <f ca="1">IFERROR(IF(0=LEN(ReferenceData!$AB$126),"",ReferenceData!$AB$126),"")</f>
        <v>0.56006684299999998</v>
      </c>
      <c r="AC126">
        <f ca="1">IFERROR(IF(0=LEN(ReferenceData!$AC$126),"",ReferenceData!$AC$126),"")</f>
        <v>3.1896352600000002</v>
      </c>
      <c r="AD126">
        <f ca="1">IFERROR(IF(0=LEN(ReferenceData!$AD$126),"",ReferenceData!$AD$126),"")</f>
        <v>57.47175927</v>
      </c>
      <c r="AE126">
        <f ca="1">IFERROR(IF(0=LEN(ReferenceData!$AE$126),"",ReferenceData!$AE$126),"")</f>
        <v>68.59797107</v>
      </c>
      <c r="AF126">
        <f ca="1">IFERROR(IF(0=LEN(ReferenceData!$AF$126),"",ReferenceData!$AF$126),"")</f>
        <v>74.053926309999994</v>
      </c>
      <c r="AG126">
        <f ca="1">IFERROR(IF(0=LEN(ReferenceData!$AG$126),"",ReferenceData!$AG$126),"")</f>
        <v>72.934794940000003</v>
      </c>
      <c r="AH126">
        <f ca="1">IFERROR(IF(0=LEN(ReferenceData!$AH$126),"",ReferenceData!$AH$126),"")</f>
        <v>15.32789612</v>
      </c>
      <c r="AI126">
        <f ca="1">IFERROR(IF(0=LEN(ReferenceData!$AI$126),"",ReferenceData!$AI$126),"")</f>
        <v>8.6709072650000003</v>
      </c>
      <c r="AJ126">
        <f ca="1">IFERROR(IF(0=LEN(ReferenceData!$AJ$126),"",ReferenceData!$AJ$126),"")</f>
        <v>6.3138670259999996</v>
      </c>
      <c r="AK126">
        <f ca="1">IFERROR(IF(0=LEN(ReferenceData!$AK$126),"",ReferenceData!$AK$126),"")</f>
        <v>0.26624795200000001</v>
      </c>
      <c r="AL126">
        <f ca="1">IFERROR(IF(0=LEN(ReferenceData!$AL$126),"",ReferenceData!$AL$126),"")</f>
        <v>5.5273227020000002</v>
      </c>
      <c r="AM126">
        <f ca="1">IFERROR(IF(0=LEN(ReferenceData!$AM$126),"",ReferenceData!$AM$126),"")</f>
        <v>-0.50806905599999996</v>
      </c>
      <c r="AN126">
        <f ca="1">IFERROR(IF(0=LEN(ReferenceData!$AN$126),"",ReferenceData!$AN$126),"")</f>
        <v>-5.3829063579999996</v>
      </c>
      <c r="AO126">
        <f ca="1">IFERROR(IF(0=LEN(ReferenceData!$AO$126),"",ReferenceData!$AO$126),"")</f>
        <v>8.5986269479999997</v>
      </c>
      <c r="AP126">
        <f ca="1">IFERROR(IF(0=LEN(ReferenceData!$AP$126),"",ReferenceData!$AP$126),"")</f>
        <v>2.906822945</v>
      </c>
      <c r="AQ126">
        <f ca="1">IFERROR(IF(0=LEN(ReferenceData!$AQ$126),"",ReferenceData!$AQ$126),"")</f>
        <v>12.53002508</v>
      </c>
      <c r="AR126">
        <f ca="1">IFERROR(IF(0=LEN(ReferenceData!$AR$126),"",ReferenceData!$AR$126),"")</f>
        <v>12.951746569999999</v>
      </c>
      <c r="AS126">
        <f ca="1">IFERROR(IF(0=LEN(ReferenceData!$AS$126),"",ReferenceData!$AS$126),"")</f>
        <v>19.270311379999999</v>
      </c>
      <c r="AT126">
        <f ca="1">IFERROR(IF(0=LEN(ReferenceData!$AT$126),"",ReferenceData!$AT$126),"")</f>
        <v>14.668720029999999</v>
      </c>
      <c r="AU126">
        <f ca="1">IFERROR(IF(0=LEN(ReferenceData!$AU$126),"",ReferenceData!$AU$126),"")</f>
        <v>20.720531250000001</v>
      </c>
      <c r="AV126">
        <f ca="1">IFERROR(IF(0=LEN(ReferenceData!$AV$126),"",ReferenceData!$AV$126),"")</f>
        <v>108.2195463</v>
      </c>
      <c r="AW126">
        <f ca="1">IFERROR(IF(0=LEN(ReferenceData!$AW$126),"",ReferenceData!$AW$126),"")</f>
        <v>85.00010906</v>
      </c>
      <c r="AX126">
        <f ca="1">IFERROR(IF(0=LEN(ReferenceData!$AX$126),"",ReferenceData!$AX$126),"")</f>
        <v>91.012412810000001</v>
      </c>
      <c r="AY126">
        <f ca="1">IFERROR(IF(0=LEN(ReferenceData!$AY$126),"",ReferenceData!$AY$126),"")</f>
        <v>166.89345489999999</v>
      </c>
      <c r="AZ126">
        <f ca="1">IFERROR(IF(0=LEN(ReferenceData!$AZ$126),"",ReferenceData!$AZ$126),"")</f>
        <v>-5.6454476290000004</v>
      </c>
      <c r="BA126">
        <f ca="1">IFERROR(IF(0=LEN(ReferenceData!$BA$126),"",ReferenceData!$BA$126),"")</f>
        <v>-3.2243084359999998</v>
      </c>
      <c r="BB126">
        <f ca="1">IFERROR(IF(0=LEN(ReferenceData!$BB$126),"",ReferenceData!$BB$126),"")</f>
        <v>1.3437824650000001</v>
      </c>
      <c r="BC126">
        <f ca="1">IFERROR(IF(0=LEN(ReferenceData!$BC$126),"",ReferenceData!$BC$126),"")</f>
        <v>-31.089935180000001</v>
      </c>
      <c r="BD126">
        <f ca="1">IFERROR(IF(0=LEN(ReferenceData!$BD$126),"",ReferenceData!$BD$126),"")</f>
        <v>9.8659206669999993</v>
      </c>
      <c r="BE126">
        <f ca="1">IFERROR(IF(0=LEN(ReferenceData!$BE$126),"",ReferenceData!$BE$126),"")</f>
        <v>11.26259424</v>
      </c>
      <c r="BF126">
        <f ca="1">IFERROR(IF(0=LEN(ReferenceData!$BF$126),"",ReferenceData!$BF$126),"")</f>
        <v>12.592178199999999</v>
      </c>
      <c r="BG126">
        <f ca="1">IFERROR(IF(0=LEN(ReferenceData!$BG$126),"",ReferenceData!$BG$126),"")</f>
        <v>5.0494976359999999</v>
      </c>
      <c r="BH126">
        <f ca="1">IFERROR(IF(0=LEN(ReferenceData!$BH$126),"",ReferenceData!$BH$126),"")</f>
        <v>20.402850279999999</v>
      </c>
      <c r="BI126">
        <f ca="1">IFERROR(IF(0=LEN(ReferenceData!$BI$126),"",ReferenceData!$BI$126),"")</f>
        <v>13.07811815</v>
      </c>
      <c r="BJ126">
        <f ca="1">IFERROR(IF(0=LEN(ReferenceData!$BJ$126),"",ReferenceData!$BJ$126),"")</f>
        <v>14.912703629999999</v>
      </c>
      <c r="BK126">
        <f ca="1">IFERROR(IF(0=LEN(ReferenceData!$BK$126),"",ReferenceData!$BK$126),"")</f>
        <v>7.0504976739999998</v>
      </c>
      <c r="BL126">
        <f ca="1">IFERROR(IF(0=LEN(ReferenceData!$BL$126),"",ReferenceData!$BL$126),"")</f>
        <v>-1.6289783900000001</v>
      </c>
      <c r="BM126">
        <f ca="1">IFERROR(IF(0=LEN(ReferenceData!$BM$126),"",ReferenceData!$BM$126),"")</f>
        <v>-1.9913971999999999E-2</v>
      </c>
    </row>
    <row r="127" spans="1:65">
      <c r="A127" t="str">
        <f>IFERROR(IF(0=LEN(ReferenceData!$A$127),"",ReferenceData!$A$127),"")</f>
        <v xml:space="preserve">    Healthcare Realty Trust Inc</v>
      </c>
      <c r="B127" t="str">
        <f>IFERROR(IF(0=LEN(ReferenceData!$B$127),"",ReferenceData!$B$127),"")</f>
        <v>HR US Equity</v>
      </c>
      <c r="C127" t="str">
        <f>IFERROR(IF(0=LEN(ReferenceData!$C$127),"",ReferenceData!$C$127),"")</f>
        <v>RR551</v>
      </c>
      <c r="D127" t="str">
        <f>IFERROR(IF(0=LEN(ReferenceData!$D$127),"",ReferenceData!$D$127),"")</f>
        <v>NOI_GROWTH</v>
      </c>
      <c r="E127" t="str">
        <f>IFERROR(IF(0=LEN(ReferenceData!$E$127),"",ReferenceData!$E$127),"")</f>
        <v>动态</v>
      </c>
      <c r="F127" t="str">
        <f ca="1">IFERROR(IF(0=LEN(ReferenceData!$F$127),"",ReferenceData!$F$127),"")</f>
        <v/>
      </c>
      <c r="G127">
        <f ca="1">IFERROR(IF(0=LEN(ReferenceData!$G$127),"",ReferenceData!$G$127),"")</f>
        <v>-1.0496508579999999</v>
      </c>
      <c r="H127">
        <f ca="1">IFERROR(IF(0=LEN(ReferenceData!$H$127),"",ReferenceData!$H$127),"")</f>
        <v>1.391665385</v>
      </c>
      <c r="I127">
        <f ca="1">IFERROR(IF(0=LEN(ReferenceData!$I$127),"",ReferenceData!$I$127),"")</f>
        <v>2.2634912360000001</v>
      </c>
      <c r="J127">
        <f ca="1">IFERROR(IF(0=LEN(ReferenceData!$J$127),"",ReferenceData!$J$127),"")</f>
        <v>4.6104777840000004</v>
      </c>
      <c r="K127">
        <f ca="1">IFERROR(IF(0=LEN(ReferenceData!$K$127),"",ReferenceData!$K$127),"")</f>
        <v>11.10726758</v>
      </c>
      <c r="L127">
        <f ca="1">IFERROR(IF(0=LEN(ReferenceData!$L$127),"",ReferenceData!$L$127),"")</f>
        <v>8.1382200349999998</v>
      </c>
      <c r="M127">
        <f ca="1">IFERROR(IF(0=LEN(ReferenceData!$M$127),"",ReferenceData!$M$127),"")</f>
        <v>5.991255303</v>
      </c>
      <c r="N127">
        <f ca="1">IFERROR(IF(0=LEN(ReferenceData!$N$127),"",ReferenceData!$N$127),"")</f>
        <v>4.2174721499999999</v>
      </c>
      <c r="O127">
        <f ca="1">IFERROR(IF(0=LEN(ReferenceData!$O$127),"",ReferenceData!$O$127),"")</f>
        <v>0.74010155600000005</v>
      </c>
      <c r="P127">
        <f ca="1">IFERROR(IF(0=LEN(ReferenceData!$P$127),"",ReferenceData!$P$127),"")</f>
        <v>3.877977579</v>
      </c>
      <c r="Q127">
        <f ca="1">IFERROR(IF(0=LEN(ReferenceData!$Q$127),"",ReferenceData!$Q$127),"")</f>
        <v>10.56537992</v>
      </c>
      <c r="R127">
        <f ca="1">IFERROR(IF(0=LEN(ReferenceData!$R$127),"",ReferenceData!$R$127),"")</f>
        <v>13.22874551</v>
      </c>
      <c r="S127">
        <f ca="1">IFERROR(IF(0=LEN(ReferenceData!$S$127),"",ReferenceData!$S$127),"")</f>
        <v>12.43329975</v>
      </c>
      <c r="T127">
        <f ca="1">IFERROR(IF(0=LEN(ReferenceData!$T$127),"",ReferenceData!$T$127),"")</f>
        <v>26.077487640000001</v>
      </c>
      <c r="U127">
        <f ca="1">IFERROR(IF(0=LEN(ReferenceData!$U$127),"",ReferenceData!$U$127),"")</f>
        <v>17.424610130000001</v>
      </c>
      <c r="V127">
        <f ca="1">IFERROR(IF(0=LEN(ReferenceData!$V$127),"",ReferenceData!$V$127),"")</f>
        <v>15.6004997</v>
      </c>
      <c r="W127">
        <f ca="1">IFERROR(IF(0=LEN(ReferenceData!$W$127),"",ReferenceData!$W$127),"")</f>
        <v>20.835963570000001</v>
      </c>
      <c r="X127">
        <f ca="1">IFERROR(IF(0=LEN(ReferenceData!$X$127),"",ReferenceData!$X$127),"")</f>
        <v>5.7094182379999996</v>
      </c>
      <c r="Y127">
        <f ca="1">IFERROR(IF(0=LEN(ReferenceData!$Y$127),"",ReferenceData!$Y$127),"")</f>
        <v>5.2249411559999999</v>
      </c>
      <c r="Z127">
        <f ca="1">IFERROR(IF(0=LEN(ReferenceData!$Z$127),"",ReferenceData!$Z$127),"")</f>
        <v>5.9661295479999996</v>
      </c>
      <c r="AA127">
        <f ca="1">IFERROR(IF(0=LEN(ReferenceData!$AA$127),"",ReferenceData!$AA$127),"")</f>
        <v>1.248601885</v>
      </c>
      <c r="AB127">
        <f ca="1">IFERROR(IF(0=LEN(ReferenceData!$AB$127),"",ReferenceData!$AB$127),"")</f>
        <v>8.7719737569999996</v>
      </c>
      <c r="AC127">
        <f ca="1">IFERROR(IF(0=LEN(ReferenceData!$AC$127),"",ReferenceData!$AC$127),"")</f>
        <v>12.354672920000001</v>
      </c>
      <c r="AD127">
        <f ca="1">IFERROR(IF(0=LEN(ReferenceData!$AD$127),"",ReferenceData!$AD$127),"")</f>
        <v>8.9548156070000005</v>
      </c>
      <c r="AE127">
        <f ca="1">IFERROR(IF(0=LEN(ReferenceData!$AE$127),"",ReferenceData!$AE$127),"")</f>
        <v>17.04873357</v>
      </c>
      <c r="AF127">
        <f ca="1">IFERROR(IF(0=LEN(ReferenceData!$AF$127),"",ReferenceData!$AF$127),"")</f>
        <v>14.17217028</v>
      </c>
      <c r="AG127">
        <f ca="1">IFERROR(IF(0=LEN(ReferenceData!$AG$127),"",ReferenceData!$AG$127),"")</f>
        <v>7.9591671829999999</v>
      </c>
      <c r="AH127">
        <f ca="1">IFERROR(IF(0=LEN(ReferenceData!$AH$127),"",ReferenceData!$AH$127),"")</f>
        <v>11.730710459999999</v>
      </c>
      <c r="AI127">
        <f ca="1">IFERROR(IF(0=LEN(ReferenceData!$AI$127),"",ReferenceData!$AI$127),"")</f>
        <v>5.2975101980000003</v>
      </c>
      <c r="AJ127">
        <f ca="1">IFERROR(IF(0=LEN(ReferenceData!$AJ$127),"",ReferenceData!$AJ$127),"")</f>
        <v>-2.9063957359999999</v>
      </c>
      <c r="AK127">
        <f ca="1">IFERROR(IF(0=LEN(ReferenceData!$AK$127),"",ReferenceData!$AK$127),"")</f>
        <v>1.2517726629999999</v>
      </c>
      <c r="AL127">
        <f ca="1">IFERROR(IF(0=LEN(ReferenceData!$AL$127),"",ReferenceData!$AL$127),"")</f>
        <v>3.6099835910000002</v>
      </c>
      <c r="AM127">
        <f ca="1">IFERROR(IF(0=LEN(ReferenceData!$AM$127),"",ReferenceData!$AM$127),"")</f>
        <v>32.749477140000003</v>
      </c>
      <c r="AN127">
        <f ca="1">IFERROR(IF(0=LEN(ReferenceData!$AN$127),"",ReferenceData!$AN$127),"")</f>
        <v>26.907630520000001</v>
      </c>
      <c r="AO127">
        <f ca="1">IFERROR(IF(0=LEN(ReferenceData!$AO$127),"",ReferenceData!$AO$127),"")</f>
        <v>28.62354427</v>
      </c>
      <c r="AP127">
        <f ca="1">IFERROR(IF(0=LEN(ReferenceData!$AP$127),"",ReferenceData!$AP$127),"")</f>
        <v>17.44995943</v>
      </c>
      <c r="AQ127">
        <f ca="1">IFERROR(IF(0=LEN(ReferenceData!$AQ$127),"",ReferenceData!$AQ$127),"")</f>
        <v>16.604973220000002</v>
      </c>
      <c r="AR127">
        <f ca="1">IFERROR(IF(0=LEN(ReferenceData!$AR$127),"",ReferenceData!$AR$127),"")</f>
        <v>5.3322943340000002</v>
      </c>
      <c r="AS127">
        <f ca="1">IFERROR(IF(0=LEN(ReferenceData!$AS$127),"",ReferenceData!$AS$127),"")</f>
        <v>1.491687137</v>
      </c>
      <c r="AT127">
        <f ca="1">IFERROR(IF(0=LEN(ReferenceData!$AT$127),"",ReferenceData!$AT$127),"")</f>
        <v>0.91786945099999995</v>
      </c>
      <c r="AU127">
        <f ca="1">IFERROR(IF(0=LEN(ReferenceData!$AU$127),"",ReferenceData!$AU$127),"")</f>
        <v>-25.27011195</v>
      </c>
      <c r="AV127">
        <f ca="1">IFERROR(IF(0=LEN(ReferenceData!$AV$127),"",ReferenceData!$AV$127),"")</f>
        <v>-8.8698769110000004</v>
      </c>
      <c r="AW127">
        <f ca="1">IFERROR(IF(0=LEN(ReferenceData!$AW$127),"",ReferenceData!$AW$127),"")</f>
        <v>-4.1167434719999996</v>
      </c>
      <c r="AX127">
        <f ca="1">IFERROR(IF(0=LEN(ReferenceData!$AX$127),"",ReferenceData!$AX$127),"")</f>
        <v>4.7426733380000003</v>
      </c>
      <c r="AY127">
        <f ca="1">IFERROR(IF(0=LEN(ReferenceData!$AY$127),"",ReferenceData!$AY$127),"")</f>
        <v>-11.039055039999999</v>
      </c>
      <c r="AZ127">
        <f ca="1">IFERROR(IF(0=LEN(ReferenceData!$AZ$127),"",ReferenceData!$AZ$127),"")</f>
        <v>-14.531791910000001</v>
      </c>
      <c r="BA127">
        <f ca="1">IFERROR(IF(0=LEN(ReferenceData!$BA$127),"",ReferenceData!$BA$127),"")</f>
        <v>-5.548749033</v>
      </c>
      <c r="BB127">
        <f ca="1">IFERROR(IF(0=LEN(ReferenceData!$BB$127),"",ReferenceData!$BB$127),"")</f>
        <v>-16.425221780000001</v>
      </c>
      <c r="BC127">
        <f ca="1">IFERROR(IF(0=LEN(ReferenceData!$BC$127),"",ReferenceData!$BC$127),"")</f>
        <v>88.779581350000001</v>
      </c>
      <c r="BD127">
        <f ca="1">IFERROR(IF(0=LEN(ReferenceData!$BD$127),"",ReferenceData!$BD$127),"")</f>
        <v>4.9725433089999997</v>
      </c>
      <c r="BE127">
        <f ca="1">IFERROR(IF(0=LEN(ReferenceData!$BE$127),"",ReferenceData!$BE$127),"")</f>
        <v>-0.474906944</v>
      </c>
      <c r="BF127">
        <f ca="1">IFERROR(IF(0=LEN(ReferenceData!$BF$127),"",ReferenceData!$BF$127),"")</f>
        <v>17.235704030000001</v>
      </c>
      <c r="BG127">
        <f ca="1">IFERROR(IF(0=LEN(ReferenceData!$BG$127),"",ReferenceData!$BG$127),"")</f>
        <v>127.7162414</v>
      </c>
      <c r="BH127">
        <f ca="1">IFERROR(IF(0=LEN(ReferenceData!$BH$127),"",ReferenceData!$BH$127),"")</f>
        <v>2.5512622170000001</v>
      </c>
      <c r="BI127">
        <f ca="1">IFERROR(IF(0=LEN(ReferenceData!$BI$127),"",ReferenceData!$BI$127),"")</f>
        <v>-11.6916925</v>
      </c>
      <c r="BJ127">
        <f ca="1">IFERROR(IF(0=LEN(ReferenceData!$BJ$127),"",ReferenceData!$BJ$127),"")</f>
        <v>-18.638707660000001</v>
      </c>
      <c r="BK127">
        <f ca="1">IFERROR(IF(0=LEN(ReferenceData!$BK$127),"",ReferenceData!$BK$127),"")</f>
        <v>-70.52241429</v>
      </c>
      <c r="BL127">
        <f ca="1">IFERROR(IF(0=LEN(ReferenceData!$BL$127),"",ReferenceData!$BL$127),"")</f>
        <v>-16.926854599999999</v>
      </c>
      <c r="BM127">
        <f ca="1">IFERROR(IF(0=LEN(ReferenceData!$BM$127),"",ReferenceData!$BM$127),"")</f>
        <v>-3.3706638080000002</v>
      </c>
    </row>
    <row r="128" spans="1:65">
      <c r="A128" t="str">
        <f>IFERROR(IF(0=LEN(ReferenceData!$A$128),"",ReferenceData!$A$128),"")</f>
        <v xml:space="preserve">    Healthcare Trust of America In</v>
      </c>
      <c r="B128" t="str">
        <f>IFERROR(IF(0=LEN(ReferenceData!$B$128),"",ReferenceData!$B$128),"")</f>
        <v>HTA US Equity</v>
      </c>
      <c r="C128" t="str">
        <f>IFERROR(IF(0=LEN(ReferenceData!$C$128),"",ReferenceData!$C$128),"")</f>
        <v>RR551</v>
      </c>
      <c r="D128" t="str">
        <f>IFERROR(IF(0=LEN(ReferenceData!$D$128),"",ReferenceData!$D$128),"")</f>
        <v>NOI_GROWTH</v>
      </c>
      <c r="E128" t="str">
        <f>IFERROR(IF(0=LEN(ReferenceData!$E$128),"",ReferenceData!$E$128),"")</f>
        <v>动态</v>
      </c>
      <c r="F128" t="str">
        <f ca="1">IFERROR(IF(0=LEN(ReferenceData!$F$128),"",ReferenceData!$F$128),"")</f>
        <v/>
      </c>
      <c r="G128">
        <f ca="1">IFERROR(IF(0=LEN(ReferenceData!$G$128),"",ReferenceData!$G$128),"")</f>
        <v>44.173006649999998</v>
      </c>
      <c r="H128">
        <f ca="1">IFERROR(IF(0=LEN(ReferenceData!$H$128),"",ReferenceData!$H$128),"")</f>
        <v>46.37383706</v>
      </c>
      <c r="I128">
        <f ca="1">IFERROR(IF(0=LEN(ReferenceData!$I$128),"",ReferenceData!$I$128),"")</f>
        <v>22.9486572</v>
      </c>
      <c r="J128">
        <f ca="1">IFERROR(IF(0=LEN(ReferenceData!$J$128),"",ReferenceData!$J$128),"")</f>
        <v>14.98842984</v>
      </c>
      <c r="K128">
        <f ca="1">IFERROR(IF(0=LEN(ReferenceData!$K$128),"",ReferenceData!$K$128),"")</f>
        <v>16.819225169999999</v>
      </c>
      <c r="L128">
        <f ca="1">IFERROR(IF(0=LEN(ReferenceData!$L$128),"",ReferenceData!$L$128),"")</f>
        <v>14.675705389999999</v>
      </c>
      <c r="M128">
        <f ca="1">IFERROR(IF(0=LEN(ReferenceData!$M$128),"",ReferenceData!$M$128),"")</f>
        <v>11.53758249</v>
      </c>
      <c r="N128">
        <f ca="1">IFERROR(IF(0=LEN(ReferenceData!$N$128),"",ReferenceData!$N$128),"")</f>
        <v>9.0650136519999993</v>
      </c>
      <c r="O128">
        <f ca="1">IFERROR(IF(0=LEN(ReferenceData!$O$128),"",ReferenceData!$O$128),"")</f>
        <v>7.3324620310000004</v>
      </c>
      <c r="P128">
        <f ca="1">IFERROR(IF(0=LEN(ReferenceData!$P$128),"",ReferenceData!$P$128),"")</f>
        <v>6.2965348829999996</v>
      </c>
      <c r="Q128">
        <f ca="1">IFERROR(IF(0=LEN(ReferenceData!$Q$128),"",ReferenceData!$Q$128),"")</f>
        <v>13.128211759999999</v>
      </c>
      <c r="R128">
        <f ca="1">IFERROR(IF(0=LEN(ReferenceData!$R$128),"",ReferenceData!$R$128),"")</f>
        <v>11.32379278</v>
      </c>
      <c r="S128">
        <f ca="1">IFERROR(IF(0=LEN(ReferenceData!$S$128),"",ReferenceData!$S$128),"")</f>
        <v>13.659569380000001</v>
      </c>
      <c r="T128">
        <f ca="1">IFERROR(IF(0=LEN(ReferenceData!$T$128),"",ReferenceData!$T$128),"")</f>
        <v>18.917907790000001</v>
      </c>
      <c r="U128">
        <f ca="1">IFERROR(IF(0=LEN(ReferenceData!$U$128),"",ReferenceData!$U$128),"")</f>
        <v>13.803884070000001</v>
      </c>
      <c r="V128">
        <f ca="1">IFERROR(IF(0=LEN(ReferenceData!$V$128),"",ReferenceData!$V$128),"")</f>
        <v>16.435185189999999</v>
      </c>
      <c r="W128">
        <f ca="1">IFERROR(IF(0=LEN(ReferenceData!$W$128),"",ReferenceData!$W$128),"")</f>
        <v>15.50993038</v>
      </c>
      <c r="X128">
        <f ca="1">IFERROR(IF(0=LEN(ReferenceData!$X$128),"",ReferenceData!$X$128),"")</f>
        <v>11.437136450000001</v>
      </c>
      <c r="Y128">
        <f ca="1">IFERROR(IF(0=LEN(ReferenceData!$Y$128),"",ReferenceData!$Y$128),"")</f>
        <v>13.24086801</v>
      </c>
      <c r="Z128">
        <f ca="1">IFERROR(IF(0=LEN(ReferenceData!$Z$128),"",ReferenceData!$Z$128),"")</f>
        <v>17.20967778</v>
      </c>
      <c r="AA128">
        <f ca="1">IFERROR(IF(0=LEN(ReferenceData!$AA$128),"",ReferenceData!$AA$128),"")</f>
        <v>2.380663921</v>
      </c>
      <c r="AB128">
        <f ca="1">IFERROR(IF(0=LEN(ReferenceData!$AB$128),"",ReferenceData!$AB$128),"")</f>
        <v>17.967633899999999</v>
      </c>
      <c r="AC128">
        <f ca="1">IFERROR(IF(0=LEN(ReferenceData!$AC$128),"",ReferenceData!$AC$128),"")</f>
        <v>10.95244697</v>
      </c>
      <c r="AD128">
        <f ca="1">IFERROR(IF(0=LEN(ReferenceData!$AD$128),"",ReferenceData!$AD$128),"")</f>
        <v>-1.736256472</v>
      </c>
      <c r="AE128">
        <f ca="1">IFERROR(IF(0=LEN(ReferenceData!$AE$128),"",ReferenceData!$AE$128),"")</f>
        <v>23.111343130000002</v>
      </c>
      <c r="AF128">
        <f ca="1">IFERROR(IF(0=LEN(ReferenceData!$AF$128),"",ReferenceData!$AF$128),"")</f>
        <v>29.351711600000002</v>
      </c>
      <c r="AG128">
        <f ca="1">IFERROR(IF(0=LEN(ReferenceData!$AG$128),"",ReferenceData!$AG$128),"")</f>
        <v>49.890901530000001</v>
      </c>
      <c r="AH128">
        <f ca="1">IFERROR(IF(0=LEN(ReferenceData!$AH$128),"",ReferenceData!$AH$128),"")</f>
        <v>63.702928870000001</v>
      </c>
      <c r="AI128" t="str">
        <f ca="1">IFERROR(IF(0=LEN(ReferenceData!$AI$128),"",ReferenceData!$AI$128),"")</f>
        <v/>
      </c>
      <c r="AJ128" t="str">
        <f ca="1">IFERROR(IF(0=LEN(ReferenceData!$AJ$128),"",ReferenceData!$AJ$128),"")</f>
        <v/>
      </c>
      <c r="AK128" t="str">
        <f ca="1">IFERROR(IF(0=LEN(ReferenceData!$AK$128),"",ReferenceData!$AK$128),"")</f>
        <v/>
      </c>
      <c r="AL128" t="str">
        <f ca="1">IFERROR(IF(0=LEN(ReferenceData!$AL$128),"",ReferenceData!$AL$128),"")</f>
        <v/>
      </c>
      <c r="AM128" t="str">
        <f ca="1">IFERROR(IF(0=LEN(ReferenceData!$AM$128),"",ReferenceData!$AM$128),"")</f>
        <v/>
      </c>
      <c r="AN128" t="str">
        <f ca="1">IFERROR(IF(0=LEN(ReferenceData!$AN$128),"",ReferenceData!$AN$128),"")</f>
        <v/>
      </c>
      <c r="AO128" t="str">
        <f ca="1">IFERROR(IF(0=LEN(ReferenceData!$AO$128),"",ReferenceData!$AO$128),"")</f>
        <v/>
      </c>
      <c r="AP128" t="str">
        <f ca="1">IFERROR(IF(0=LEN(ReferenceData!$AP$128),"",ReferenceData!$AP$128),"")</f>
        <v/>
      </c>
      <c r="AQ128" t="str">
        <f ca="1">IFERROR(IF(0=LEN(ReferenceData!$AQ$128),"",ReferenceData!$AQ$128),"")</f>
        <v/>
      </c>
      <c r="AR128" t="str">
        <f ca="1">IFERROR(IF(0=LEN(ReferenceData!$AR$128),"",ReferenceData!$AR$128),"")</f>
        <v/>
      </c>
      <c r="AS128" t="str">
        <f ca="1">IFERROR(IF(0=LEN(ReferenceData!$AS$128),"",ReferenceData!$AS$128),"")</f>
        <v/>
      </c>
      <c r="AT128" t="str">
        <f ca="1">IFERROR(IF(0=LEN(ReferenceData!$AT$128),"",ReferenceData!$AT$128),"")</f>
        <v/>
      </c>
      <c r="AU128" t="str">
        <f ca="1">IFERROR(IF(0=LEN(ReferenceData!$AU$128),"",ReferenceData!$AU$128),"")</f>
        <v/>
      </c>
      <c r="AV128" t="str">
        <f ca="1">IFERROR(IF(0=LEN(ReferenceData!$AV$128),"",ReferenceData!$AV$128),"")</f>
        <v/>
      </c>
      <c r="AW128" t="str">
        <f ca="1">IFERROR(IF(0=LEN(ReferenceData!$AW$128),"",ReferenceData!$AW$128),"")</f>
        <v/>
      </c>
      <c r="AX128" t="str">
        <f ca="1">IFERROR(IF(0=LEN(ReferenceData!$AX$128),"",ReferenceData!$AX$128),"")</f>
        <v/>
      </c>
      <c r="AY128" t="str">
        <f ca="1">IFERROR(IF(0=LEN(ReferenceData!$AY$128),"",ReferenceData!$AY$128),"")</f>
        <v/>
      </c>
      <c r="AZ128" t="str">
        <f ca="1">IFERROR(IF(0=LEN(ReferenceData!$AZ$128),"",ReferenceData!$AZ$128),"")</f>
        <v/>
      </c>
      <c r="BA128" t="str">
        <f ca="1">IFERROR(IF(0=LEN(ReferenceData!$BA$128),"",ReferenceData!$BA$128),"")</f>
        <v/>
      </c>
      <c r="BB128" t="str">
        <f ca="1">IFERROR(IF(0=LEN(ReferenceData!$BB$128),"",ReferenceData!$BB$128),"")</f>
        <v/>
      </c>
      <c r="BC128" t="str">
        <f ca="1">IFERROR(IF(0=LEN(ReferenceData!$BC$128),"",ReferenceData!$BC$128),"")</f>
        <v/>
      </c>
      <c r="BD128" t="str">
        <f ca="1">IFERROR(IF(0=LEN(ReferenceData!$BD$128),"",ReferenceData!$BD$128),"")</f>
        <v/>
      </c>
      <c r="BE128" t="str">
        <f ca="1">IFERROR(IF(0=LEN(ReferenceData!$BE$128),"",ReferenceData!$BE$128),"")</f>
        <v/>
      </c>
      <c r="BF128" t="str">
        <f ca="1">IFERROR(IF(0=LEN(ReferenceData!$BF$128),"",ReferenceData!$BF$128),"")</f>
        <v/>
      </c>
      <c r="BG128" t="str">
        <f ca="1">IFERROR(IF(0=LEN(ReferenceData!$BG$128),"",ReferenceData!$BG$128),"")</f>
        <v/>
      </c>
      <c r="BH128" t="str">
        <f ca="1">IFERROR(IF(0=LEN(ReferenceData!$BH$128),"",ReferenceData!$BH$128),"")</f>
        <v/>
      </c>
      <c r="BI128" t="str">
        <f ca="1">IFERROR(IF(0=LEN(ReferenceData!$BI$128),"",ReferenceData!$BI$128),"")</f>
        <v/>
      </c>
      <c r="BJ128" t="str">
        <f ca="1">IFERROR(IF(0=LEN(ReferenceData!$BJ$128),"",ReferenceData!$BJ$128),"")</f>
        <v/>
      </c>
      <c r="BK128" t="str">
        <f ca="1">IFERROR(IF(0=LEN(ReferenceData!$BK$128),"",ReferenceData!$BK$128),"")</f>
        <v/>
      </c>
      <c r="BL128" t="str">
        <f ca="1">IFERROR(IF(0=LEN(ReferenceData!$BL$128),"",ReferenceData!$BL$128),"")</f>
        <v/>
      </c>
      <c r="BM128" t="str">
        <f ca="1">IFERROR(IF(0=LEN(ReferenceData!$BM$128),"",ReferenceData!$BM$128),"")</f>
        <v/>
      </c>
    </row>
    <row r="129" spans="1:65">
      <c r="A129" t="str">
        <f>IFERROR(IF(0=LEN(ReferenceData!$A$129),"",ReferenceData!$A$129),"")</f>
        <v xml:space="preserve">    Medical Properties Trust Inc</v>
      </c>
      <c r="B129" t="str">
        <f>IFERROR(IF(0=LEN(ReferenceData!$B$129),"",ReferenceData!$B$129),"")</f>
        <v>MPW US Equity</v>
      </c>
      <c r="C129" t="str">
        <f>IFERROR(IF(0=LEN(ReferenceData!$C$129),"",ReferenceData!$C$129),"")</f>
        <v>RR551</v>
      </c>
      <c r="D129" t="str">
        <f>IFERROR(IF(0=LEN(ReferenceData!$D$129),"",ReferenceData!$D$129),"")</f>
        <v>NOI_GROWTH</v>
      </c>
      <c r="E129" t="str">
        <f>IFERROR(IF(0=LEN(ReferenceData!$E$129),"",ReferenceData!$E$129),"")</f>
        <v>动态</v>
      </c>
      <c r="F129" t="str">
        <f ca="1">IFERROR(IF(0=LEN(ReferenceData!$F$129),"",ReferenceData!$F$129),"")</f>
        <v/>
      </c>
      <c r="G129">
        <f ca="1">IFERROR(IF(0=LEN(ReferenceData!$G$129),"",ReferenceData!$G$129),"")</f>
        <v>30.383633790000001</v>
      </c>
      <c r="H129">
        <f ca="1">IFERROR(IF(0=LEN(ReferenceData!$H$129),"",ReferenceData!$H$129),"")</f>
        <v>36.606516429999999</v>
      </c>
      <c r="I129">
        <f ca="1">IFERROR(IF(0=LEN(ReferenceData!$I$129),"",ReferenceData!$I$129),"")</f>
        <v>37.877093850000001</v>
      </c>
      <c r="J129">
        <f ca="1">IFERROR(IF(0=LEN(ReferenceData!$J$129),"",ReferenceData!$J$129),"")</f>
        <v>25.68176381</v>
      </c>
      <c r="K129">
        <f ca="1">IFERROR(IF(0=LEN(ReferenceData!$K$129),"",ReferenceData!$K$129),"")</f>
        <v>28.43258655</v>
      </c>
      <c r="L129">
        <f ca="1">IFERROR(IF(0=LEN(ReferenceData!$L$129),"",ReferenceData!$L$129),"")</f>
        <v>21.00038485</v>
      </c>
      <c r="M129">
        <f ca="1">IFERROR(IF(0=LEN(ReferenceData!$M$129),"",ReferenceData!$M$129),"")</f>
        <v>39.001442109999999</v>
      </c>
      <c r="N129">
        <f ca="1">IFERROR(IF(0=LEN(ReferenceData!$N$129),"",ReferenceData!$N$129),"")</f>
        <v>43.2602239</v>
      </c>
      <c r="O129">
        <f ca="1">IFERROR(IF(0=LEN(ReferenceData!$O$129),"",ReferenceData!$O$129),"")</f>
        <v>48.207057939999999</v>
      </c>
      <c r="P129">
        <f ca="1">IFERROR(IF(0=LEN(ReferenceData!$P$129),"",ReferenceData!$P$129),"")</f>
        <v>36.015272580000001</v>
      </c>
      <c r="Q129">
        <f ca="1">IFERROR(IF(0=LEN(ReferenceData!$Q$129),"",ReferenceData!$Q$129),"")</f>
        <v>16.382864309999999</v>
      </c>
      <c r="R129">
        <f ca="1">IFERROR(IF(0=LEN(ReferenceData!$R$129),"",ReferenceData!$R$129),"")</f>
        <v>23.77081051</v>
      </c>
      <c r="S129">
        <f ca="1">IFERROR(IF(0=LEN(ReferenceData!$S$129),"",ReferenceData!$S$129),"")</f>
        <v>25.648877240000001</v>
      </c>
      <c r="T129">
        <f ca="1">IFERROR(IF(0=LEN(ReferenceData!$T$129),"",ReferenceData!$T$129),"")</f>
        <v>43.485464350000001</v>
      </c>
      <c r="U129">
        <f ca="1">IFERROR(IF(0=LEN(ReferenceData!$U$129),"",ReferenceData!$U$129),"")</f>
        <v>44.79967911</v>
      </c>
      <c r="V129">
        <f ca="1">IFERROR(IF(0=LEN(ReferenceData!$V$129),"",ReferenceData!$V$129),"")</f>
        <v>33.143516009999999</v>
      </c>
      <c r="W129">
        <f ca="1">IFERROR(IF(0=LEN(ReferenceData!$W$129),"",ReferenceData!$W$129),"")</f>
        <v>25.797692170000001</v>
      </c>
      <c r="X129">
        <f ca="1">IFERROR(IF(0=LEN(ReferenceData!$X$129),"",ReferenceData!$X$129),"")</f>
        <v>17.268535310000001</v>
      </c>
      <c r="Y129">
        <f ca="1">IFERROR(IF(0=LEN(ReferenceData!$Y$129),"",ReferenceData!$Y$129),"")</f>
        <v>15.152832500000001</v>
      </c>
      <c r="Z129">
        <f ca="1">IFERROR(IF(0=LEN(ReferenceData!$Z$129),"",ReferenceData!$Z$129),"")</f>
        <v>28.316072349999999</v>
      </c>
      <c r="AA129">
        <f ca="1">IFERROR(IF(0=LEN(ReferenceData!$AA$129),"",ReferenceData!$AA$129),"")</f>
        <v>44.624978849999998</v>
      </c>
      <c r="AB129">
        <f ca="1">IFERROR(IF(0=LEN(ReferenceData!$AB$129),"",ReferenceData!$AB$129),"")</f>
        <v>32.457193840000002</v>
      </c>
      <c r="AC129">
        <f ca="1">IFERROR(IF(0=LEN(ReferenceData!$AC$129),"",ReferenceData!$AC$129),"")</f>
        <v>24.868532649999999</v>
      </c>
      <c r="AD129">
        <f ca="1">IFERROR(IF(0=LEN(ReferenceData!$AD$129),"",ReferenceData!$AD$129),"")</f>
        <v>14.175888580000001</v>
      </c>
      <c r="AE129">
        <f ca="1">IFERROR(IF(0=LEN(ReferenceData!$AE$129),"",ReferenceData!$AE$129),"")</f>
        <v>29.277357569999999</v>
      </c>
      <c r="AF129">
        <f ca="1">IFERROR(IF(0=LEN(ReferenceData!$AF$129),"",ReferenceData!$AF$129),"")</f>
        <v>34.003126719999997</v>
      </c>
      <c r="AG129">
        <f ca="1">IFERROR(IF(0=LEN(ReferenceData!$AG$129),"",ReferenceData!$AG$129),"")</f>
        <v>27.228385200000002</v>
      </c>
      <c r="AH129">
        <f ca="1">IFERROR(IF(0=LEN(ReferenceData!$AH$129),"",ReferenceData!$AH$129),"")</f>
        <v>28.74833555</v>
      </c>
      <c r="AI129">
        <f ca="1">IFERROR(IF(0=LEN(ReferenceData!$AI$129),"",ReferenceData!$AI$129),"")</f>
        <v>0.56025845699999999</v>
      </c>
      <c r="AJ129">
        <f ca="1">IFERROR(IF(0=LEN(ReferenceData!$AJ$129),"",ReferenceData!$AJ$129),"")</f>
        <v>-5.0844498759999999</v>
      </c>
      <c r="AK129">
        <f ca="1">IFERROR(IF(0=LEN(ReferenceData!$AK$129),"",ReferenceData!$AK$129),"")</f>
        <v>10.34006477</v>
      </c>
      <c r="AL129">
        <f ca="1">IFERROR(IF(0=LEN(ReferenceData!$AL$129),"",ReferenceData!$AL$129),"")</f>
        <v>-4.6752697269999999</v>
      </c>
      <c r="AM129">
        <f ca="1">IFERROR(IF(0=LEN(ReferenceData!$AM$129),"",ReferenceData!$AM$129),"")</f>
        <v>22.19424287</v>
      </c>
      <c r="AN129">
        <f ca="1">IFERROR(IF(0=LEN(ReferenceData!$AN$129),"",ReferenceData!$AN$129),"")</f>
        <v>-7.463349622</v>
      </c>
      <c r="AO129">
        <f ca="1">IFERROR(IF(0=LEN(ReferenceData!$AO$129),"",ReferenceData!$AO$129),"")</f>
        <v>-10.56017039</v>
      </c>
      <c r="AP129">
        <f ca="1">IFERROR(IF(0=LEN(ReferenceData!$AP$129),"",ReferenceData!$AP$129),"")</f>
        <v>42.594268479999997</v>
      </c>
      <c r="AQ129">
        <f ca="1">IFERROR(IF(0=LEN(ReferenceData!$AQ$129),"",ReferenceData!$AQ$129),"")</f>
        <v>10.59482036</v>
      </c>
      <c r="AR129">
        <f ca="1">IFERROR(IF(0=LEN(ReferenceData!$AR$129),"",ReferenceData!$AR$129),"")</f>
        <v>69.473208060000005</v>
      </c>
      <c r="AS129" t="str">
        <f ca="1">IFERROR(IF(0=LEN(ReferenceData!$AS$129),"",ReferenceData!$AS$129),"")</f>
        <v/>
      </c>
      <c r="AT129">
        <f ca="1">IFERROR(IF(0=LEN(ReferenceData!$AT$129),"",ReferenceData!$AT$129),"")</f>
        <v>77.986022919999996</v>
      </c>
      <c r="AU129">
        <f ca="1">IFERROR(IF(0=LEN(ReferenceData!$AU$129),"",ReferenceData!$AU$129),"")</f>
        <v>35.451963319999997</v>
      </c>
      <c r="AV129">
        <f ca="1">IFERROR(IF(0=LEN(ReferenceData!$AV$129),"",ReferenceData!$AV$129),"")</f>
        <v>57.023671499999999</v>
      </c>
      <c r="AW129" t="str">
        <f ca="1">IFERROR(IF(0=LEN(ReferenceData!$AW$129),"",ReferenceData!$AW$129),"")</f>
        <v/>
      </c>
      <c r="AX129">
        <f ca="1">IFERROR(IF(0=LEN(ReferenceData!$AX$129),"",ReferenceData!$AX$129),"")</f>
        <v>12.66710673</v>
      </c>
      <c r="AY129">
        <f ca="1">IFERROR(IF(0=LEN(ReferenceData!$AY$129),"",ReferenceData!$AY$129),"")</f>
        <v>64.000135389999997</v>
      </c>
      <c r="AZ129">
        <f ca="1">IFERROR(IF(0=LEN(ReferenceData!$AZ$129),"",ReferenceData!$AZ$129),"")</f>
        <v>33.471921129999998</v>
      </c>
      <c r="BA129">
        <f ca="1">IFERROR(IF(0=LEN(ReferenceData!$BA$129),"",ReferenceData!$BA$129),"")</f>
        <v>39.708461819999997</v>
      </c>
      <c r="BB129">
        <f ca="1">IFERROR(IF(0=LEN(ReferenceData!$BB$129),"",ReferenceData!$BB$129),"")</f>
        <v>57.769150600000003</v>
      </c>
      <c r="BC129" t="str">
        <f ca="1">IFERROR(IF(0=LEN(ReferenceData!$BC$129),"",ReferenceData!$BC$129),"")</f>
        <v/>
      </c>
      <c r="BD129" t="str">
        <f ca="1">IFERROR(IF(0=LEN(ReferenceData!$BD$129),"",ReferenceData!$BD$129),"")</f>
        <v/>
      </c>
      <c r="BE129" t="str">
        <f ca="1">IFERROR(IF(0=LEN(ReferenceData!$BE$129),"",ReferenceData!$BE$129),"")</f>
        <v/>
      </c>
      <c r="BF129" t="str">
        <f ca="1">IFERROR(IF(0=LEN(ReferenceData!$BF$129),"",ReferenceData!$BF$129),"")</f>
        <v/>
      </c>
      <c r="BG129" t="str">
        <f ca="1">IFERROR(IF(0=LEN(ReferenceData!$BG$129),"",ReferenceData!$BG$129),"")</f>
        <v/>
      </c>
      <c r="BH129" t="str">
        <f ca="1">IFERROR(IF(0=LEN(ReferenceData!$BH$129),"",ReferenceData!$BH$129),"")</f>
        <v/>
      </c>
      <c r="BI129" t="str">
        <f ca="1">IFERROR(IF(0=LEN(ReferenceData!$BI$129),"",ReferenceData!$BI$129),"")</f>
        <v/>
      </c>
      <c r="BJ129" t="str">
        <f ca="1">IFERROR(IF(0=LEN(ReferenceData!$BJ$129),"",ReferenceData!$BJ$129),"")</f>
        <v/>
      </c>
      <c r="BK129" t="str">
        <f ca="1">IFERROR(IF(0=LEN(ReferenceData!$BK$129),"",ReferenceData!$BK$129),"")</f>
        <v/>
      </c>
      <c r="BL129" t="str">
        <f ca="1">IFERROR(IF(0=LEN(ReferenceData!$BL$129),"",ReferenceData!$BL$129),"")</f>
        <v/>
      </c>
      <c r="BM129" t="str">
        <f ca="1">IFERROR(IF(0=LEN(ReferenceData!$BM$129),"",ReferenceData!$BM$129),"")</f>
        <v/>
      </c>
    </row>
    <row r="130" spans="1:65">
      <c r="A130" t="str">
        <f>IFERROR(IF(0=LEN(ReferenceData!$A$130),"",ReferenceData!$A$130),"")</f>
        <v xml:space="preserve">    Omega Healthcare Investors Inc</v>
      </c>
      <c r="B130" t="str">
        <f>IFERROR(IF(0=LEN(ReferenceData!$B$130),"",ReferenceData!$B$130),"")</f>
        <v>OHI US Equity</v>
      </c>
      <c r="C130" t="str">
        <f>IFERROR(IF(0=LEN(ReferenceData!$C$130),"",ReferenceData!$C$130),"")</f>
        <v>RR551</v>
      </c>
      <c r="D130" t="str">
        <f>IFERROR(IF(0=LEN(ReferenceData!$D$130),"",ReferenceData!$D$130),"")</f>
        <v>NOI_GROWTH</v>
      </c>
      <c r="E130" t="str">
        <f>IFERROR(IF(0=LEN(ReferenceData!$E$130),"",ReferenceData!$E$130),"")</f>
        <v>动态</v>
      </c>
      <c r="F130" t="str">
        <f ca="1">IFERROR(IF(0=LEN(ReferenceData!$F$130),"",ReferenceData!$F$130),"")</f>
        <v/>
      </c>
      <c r="G130">
        <f ca="1">IFERROR(IF(0=LEN(ReferenceData!$G$130),"",ReferenceData!$G$130),"")</f>
        <v>-7.3223654539999998</v>
      </c>
      <c r="H130">
        <f ca="1">IFERROR(IF(0=LEN(ReferenceData!$H$130),"",ReferenceData!$H$130),"")</f>
        <v>-3.361165164</v>
      </c>
      <c r="I130">
        <f ca="1">IFERROR(IF(0=LEN(ReferenceData!$I$130),"",ReferenceData!$I$130),"")</f>
        <v>3.7054090849999999</v>
      </c>
      <c r="J130">
        <f ca="1">IFERROR(IF(0=LEN(ReferenceData!$J$130),"",ReferenceData!$J$130),"")</f>
        <v>8.3468214110000005</v>
      </c>
      <c r="K130">
        <f ca="1">IFERROR(IF(0=LEN(ReferenceData!$K$130),"",ReferenceData!$K$130),"")</f>
        <v>10.47438708</v>
      </c>
      <c r="L130">
        <f ca="1">IFERROR(IF(0=LEN(ReferenceData!$L$130),"",ReferenceData!$L$130),"")</f>
        <v>10.783715259999999</v>
      </c>
      <c r="M130">
        <f ca="1">IFERROR(IF(0=LEN(ReferenceData!$M$130),"",ReferenceData!$M$130),"")</f>
        <v>13.385017850000001</v>
      </c>
      <c r="N130">
        <f ca="1">IFERROR(IF(0=LEN(ReferenceData!$N$130),"",ReferenceData!$N$130),"")</f>
        <v>66.633422949999996</v>
      </c>
      <c r="O130">
        <f ca="1">IFERROR(IF(0=LEN(ReferenceData!$O$130),"",ReferenceData!$O$130),"")</f>
        <v>68.675956650000003</v>
      </c>
      <c r="P130">
        <f ca="1">IFERROR(IF(0=LEN(ReferenceData!$P$130),"",ReferenceData!$P$130),"")</f>
        <v>62.723831509999997</v>
      </c>
      <c r="Q130">
        <f ca="1">IFERROR(IF(0=LEN(ReferenceData!$Q$130),"",ReferenceData!$Q$130),"")</f>
        <v>61.368989380000002</v>
      </c>
      <c r="R130">
        <f ca="1">IFERROR(IF(0=LEN(ReferenceData!$R$130),"",ReferenceData!$R$130),"")</f>
        <v>4.8253668120000004</v>
      </c>
      <c r="S130">
        <f ca="1">IFERROR(IF(0=LEN(ReferenceData!$S$130),"",ReferenceData!$S$130),"")</f>
        <v>12.661104630000001</v>
      </c>
      <c r="T130">
        <f ca="1">IFERROR(IF(0=LEN(ReferenceData!$T$130),"",ReferenceData!$T$130),"")</f>
        <v>19.08628792</v>
      </c>
      <c r="U130">
        <f ca="1">IFERROR(IF(0=LEN(ReferenceData!$U$130),"",ReferenceData!$U$130),"")</f>
        <v>18.608774140000001</v>
      </c>
      <c r="V130">
        <f ca="1">IFERROR(IF(0=LEN(ReferenceData!$V$130),"",ReferenceData!$V$130),"")</f>
        <v>18.143251459999998</v>
      </c>
      <c r="W130">
        <f ca="1">IFERROR(IF(0=LEN(ReferenceData!$W$130),"",ReferenceData!$W$130),"")</f>
        <v>17.72374705</v>
      </c>
      <c r="X130">
        <f ca="1">IFERROR(IF(0=LEN(ReferenceData!$X$130),"",ReferenceData!$X$130),"")</f>
        <v>20.042215680000002</v>
      </c>
      <c r="Y130">
        <f ca="1">IFERROR(IF(0=LEN(ReferenceData!$Y$130),"",ReferenceData!$Y$130),"")</f>
        <v>23.715903650000001</v>
      </c>
      <c r="Z130">
        <f ca="1">IFERROR(IF(0=LEN(ReferenceData!$Z$130),"",ReferenceData!$Z$130),"")</f>
        <v>22.55215531</v>
      </c>
      <c r="AA130">
        <f ca="1">IFERROR(IF(0=LEN(ReferenceData!$AA$130),"",ReferenceData!$AA$130),"")</f>
        <v>21.6180731</v>
      </c>
      <c r="AB130">
        <f ca="1">IFERROR(IF(0=LEN(ReferenceData!$AB$130),"",ReferenceData!$AB$130),"")</f>
        <v>13.913905160000001</v>
      </c>
      <c r="AC130">
        <f ca="1">IFERROR(IF(0=LEN(ReferenceData!$AC$130),"",ReferenceData!$AC$130),"")</f>
        <v>9.8427438780000003</v>
      </c>
      <c r="AD130">
        <f ca="1">IFERROR(IF(0=LEN(ReferenceData!$AD$130),"",ReferenceData!$AD$130),"")</f>
        <v>14.52884514</v>
      </c>
      <c r="AE130">
        <f ca="1">IFERROR(IF(0=LEN(ReferenceData!$AE$130),"",ReferenceData!$AE$130),"")</f>
        <v>3.434990553</v>
      </c>
      <c r="AF130">
        <f ca="1">IFERROR(IF(0=LEN(ReferenceData!$AF$130),"",ReferenceData!$AF$130),"")</f>
        <v>3.5038235869999999</v>
      </c>
      <c r="AG130">
        <f ca="1">IFERROR(IF(0=LEN(ReferenceData!$AG$130),"",ReferenceData!$AG$130),"")</f>
        <v>32.932841609999997</v>
      </c>
      <c r="AH130">
        <f ca="1">IFERROR(IF(0=LEN(ReferenceData!$AH$130),"",ReferenceData!$AH$130),"")</f>
        <v>40.517697900000002</v>
      </c>
      <c r="AI130">
        <f ca="1">IFERROR(IF(0=LEN(ReferenceData!$AI$130),"",ReferenceData!$AI$130),"")</f>
        <v>65.868468730000004</v>
      </c>
      <c r="AJ130">
        <f ca="1">IFERROR(IF(0=LEN(ReferenceData!$AJ$130),"",ReferenceData!$AJ$130),"")</f>
        <v>60.818415559999998</v>
      </c>
      <c r="AK130">
        <f ca="1">IFERROR(IF(0=LEN(ReferenceData!$AK$130),"",ReferenceData!$AK$130),"")</f>
        <v>24.972710729999999</v>
      </c>
      <c r="AL130">
        <f ca="1">IFERROR(IF(0=LEN(ReferenceData!$AL$130),"",ReferenceData!$AL$130),"")</f>
        <v>14.654523380000001</v>
      </c>
      <c r="AM130">
        <f ca="1">IFERROR(IF(0=LEN(ReferenceData!$AM$130),"",ReferenceData!$AM$130),"")</f>
        <v>0.31685211099999999</v>
      </c>
      <c r="AN130">
        <f ca="1">IFERROR(IF(0=LEN(ReferenceData!$AN$130),"",ReferenceData!$AN$130),"")</f>
        <v>10.6292768</v>
      </c>
      <c r="AO130" t="str">
        <f ca="1">IFERROR(IF(0=LEN(ReferenceData!$AO$130),"",ReferenceData!$AO$130),"")</f>
        <v/>
      </c>
      <c r="AP130">
        <f ca="1">IFERROR(IF(0=LEN(ReferenceData!$AP$130),"",ReferenceData!$AP$130),"")</f>
        <v>8.3182069290000005</v>
      </c>
      <c r="AQ130">
        <f ca="1">IFERROR(IF(0=LEN(ReferenceData!$AQ$130),"",ReferenceData!$AQ$130),"")</f>
        <v>7.2269483000000001</v>
      </c>
      <c r="AR130">
        <f ca="1">IFERROR(IF(0=LEN(ReferenceData!$AR$130),"",ReferenceData!$AR$130),"")</f>
        <v>0.40955999300000001</v>
      </c>
      <c r="AS130" t="str">
        <f ca="1">IFERROR(IF(0=LEN(ReferenceData!$AS$130),"",ReferenceData!$AS$130),"")</f>
        <v/>
      </c>
      <c r="AT130">
        <f ca="1">IFERROR(IF(0=LEN(ReferenceData!$AT$130),"",ReferenceData!$AT$130),"")</f>
        <v>-6.903898903</v>
      </c>
      <c r="AU130">
        <f ca="1">IFERROR(IF(0=LEN(ReferenceData!$AU$130),"",ReferenceData!$AU$130),"")</f>
        <v>10.864868019999999</v>
      </c>
      <c r="AV130">
        <f ca="1">IFERROR(IF(0=LEN(ReferenceData!$AV$130),"",ReferenceData!$AV$130),"")</f>
        <v>12.409134959999999</v>
      </c>
      <c r="AW130">
        <f ca="1">IFERROR(IF(0=LEN(ReferenceData!$AW$130),"",ReferenceData!$AW$130),"")</f>
        <v>20.973895580000001</v>
      </c>
      <c r="AX130">
        <f ca="1">IFERROR(IF(0=LEN(ReferenceData!$AX$130),"",ReferenceData!$AX$130),"")</f>
        <v>36.850219529999997</v>
      </c>
      <c r="AY130">
        <f ca="1">IFERROR(IF(0=LEN(ReferenceData!$AY$130),"",ReferenceData!$AY$130),"")</f>
        <v>30.12652456</v>
      </c>
      <c r="AZ130">
        <f ca="1">IFERROR(IF(0=LEN(ReferenceData!$AZ$130),"",ReferenceData!$AZ$130),"")</f>
        <v>32.818408560000002</v>
      </c>
      <c r="BA130">
        <f ca="1">IFERROR(IF(0=LEN(ReferenceData!$BA$130),"",ReferenceData!$BA$130),"")</f>
        <v>32.717420269999998</v>
      </c>
      <c r="BB130">
        <f ca="1">IFERROR(IF(0=LEN(ReferenceData!$BB$130),"",ReferenceData!$BB$130),"")</f>
        <v>37.194224759999997</v>
      </c>
      <c r="BC130">
        <f ca="1">IFERROR(IF(0=LEN(ReferenceData!$BC$130),"",ReferenceData!$BC$130),"")</f>
        <v>81.848960129999995</v>
      </c>
      <c r="BD130">
        <f ca="1">IFERROR(IF(0=LEN(ReferenceData!$BD$130),"",ReferenceData!$BD$130),"")</f>
        <v>33.846647240000003</v>
      </c>
      <c r="BE130">
        <f ca="1">IFERROR(IF(0=LEN(ReferenceData!$BE$130),"",ReferenceData!$BE$130),"")</f>
        <v>23.907539379999999</v>
      </c>
      <c r="BF130">
        <f ca="1">IFERROR(IF(0=LEN(ReferenceData!$BF$130),"",ReferenceData!$BF$130),"")</f>
        <v>27.010459770000001</v>
      </c>
      <c r="BG130">
        <f ca="1">IFERROR(IF(0=LEN(ReferenceData!$BG$130),"",ReferenceData!$BG$130),"")</f>
        <v>-12.475805060000001</v>
      </c>
      <c r="BH130">
        <f ca="1">IFERROR(IF(0=LEN(ReferenceData!$BH$130),"",ReferenceData!$BH$130),"")</f>
        <v>13.583265219999999</v>
      </c>
      <c r="BI130">
        <f ca="1">IFERROR(IF(0=LEN(ReferenceData!$BI$130),"",ReferenceData!$BI$130),"")</f>
        <v>14.370241200000001</v>
      </c>
      <c r="BJ130">
        <f ca="1">IFERROR(IF(0=LEN(ReferenceData!$BJ$130),"",ReferenceData!$BJ$130),"")</f>
        <v>12.777445139999999</v>
      </c>
      <c r="BK130">
        <f ca="1">IFERROR(IF(0=LEN(ReferenceData!$BK$130),"",ReferenceData!$BK$130),"")</f>
        <v>45.154498349999997</v>
      </c>
      <c r="BL130" t="str">
        <f ca="1">IFERROR(IF(0=LEN(ReferenceData!$BL$130),"",ReferenceData!$BL$130),"")</f>
        <v/>
      </c>
      <c r="BM130">
        <f ca="1">IFERROR(IF(0=LEN(ReferenceData!$BM$130),"",ReferenceData!$BM$130),"")</f>
        <v>658.69119780000005</v>
      </c>
    </row>
    <row r="131" spans="1:65">
      <c r="A131" t="str">
        <f>IFERROR(IF(0=LEN(ReferenceData!$A$131),"",ReferenceData!$A$131),"")</f>
        <v xml:space="preserve">    Sabra Health Care REIT Inc</v>
      </c>
      <c r="B131" t="str">
        <f>IFERROR(IF(0=LEN(ReferenceData!$B$131),"",ReferenceData!$B$131),"")</f>
        <v>SBRA US Equity</v>
      </c>
      <c r="C131" t="str">
        <f>IFERROR(IF(0=LEN(ReferenceData!$C$131),"",ReferenceData!$C$131),"")</f>
        <v>RR551</v>
      </c>
      <c r="D131" t="str">
        <f>IFERROR(IF(0=LEN(ReferenceData!$D$131),"",ReferenceData!$D$131),"")</f>
        <v>NOI_GROWTH</v>
      </c>
      <c r="E131" t="str">
        <f>IFERROR(IF(0=LEN(ReferenceData!$E$131),"",ReferenceData!$E$131),"")</f>
        <v>动态</v>
      </c>
      <c r="F131" t="str">
        <f ca="1">IFERROR(IF(0=LEN(ReferenceData!$F$131),"",ReferenceData!$F$131),"")</f>
        <v/>
      </c>
      <c r="G131">
        <f ca="1">IFERROR(IF(0=LEN(ReferenceData!$G$131),"",ReferenceData!$G$131),"")</f>
        <v>166.69118879999999</v>
      </c>
      <c r="H131">
        <f ca="1">IFERROR(IF(0=LEN(ReferenceData!$H$131),"",ReferenceData!$H$131),"")</f>
        <v>83.255062109999997</v>
      </c>
      <c r="I131">
        <f ca="1">IFERROR(IF(0=LEN(ReferenceData!$I$131),"",ReferenceData!$I$131),"")</f>
        <v>9.5238926920000004</v>
      </c>
      <c r="J131">
        <f ca="1">IFERROR(IF(0=LEN(ReferenceData!$J$131),"",ReferenceData!$J$131),"")</f>
        <v>6.0775508059999996</v>
      </c>
      <c r="K131">
        <f ca="1">IFERROR(IF(0=LEN(ReferenceData!$K$131),"",ReferenceData!$K$131),"")</f>
        <v>1.6105467019999999</v>
      </c>
      <c r="L131">
        <f ca="1">IFERROR(IF(0=LEN(ReferenceData!$L$131),"",ReferenceData!$L$131),"")</f>
        <v>10.526018840000001</v>
      </c>
      <c r="M131">
        <f ca="1">IFERROR(IF(0=LEN(ReferenceData!$M$131),"",ReferenceData!$M$131),"")</f>
        <v>14.750681419999999</v>
      </c>
      <c r="N131">
        <f ca="1">IFERROR(IF(0=LEN(ReferenceData!$N$131),"",ReferenceData!$N$131),"")</f>
        <v>15.598424400000001</v>
      </c>
      <c r="O131">
        <f ca="1">IFERROR(IF(0=LEN(ReferenceData!$O$131),"",ReferenceData!$O$131),"")</f>
        <v>18.339364700000001</v>
      </c>
      <c r="P131">
        <f ca="1">IFERROR(IF(0=LEN(ReferenceData!$P$131),"",ReferenceData!$P$131),"")</f>
        <v>39.323987950000003</v>
      </c>
      <c r="Q131">
        <f ca="1">IFERROR(IF(0=LEN(ReferenceData!$Q$131),"",ReferenceData!$Q$131),"")</f>
        <v>33.1092437</v>
      </c>
      <c r="R131">
        <f ca="1">IFERROR(IF(0=LEN(ReferenceData!$R$131),"",ReferenceData!$R$131),"")</f>
        <v>37.159560030000002</v>
      </c>
      <c r="S131">
        <f ca="1">IFERROR(IF(0=LEN(ReferenceData!$S$131),"",ReferenceData!$S$131),"")</f>
        <v>45.031490550000001</v>
      </c>
      <c r="T131">
        <f ca="1">IFERROR(IF(0=LEN(ReferenceData!$T$131),"",ReferenceData!$T$131),"")</f>
        <v>20.398119810000001</v>
      </c>
      <c r="U131">
        <f ca="1">IFERROR(IF(0=LEN(ReferenceData!$U$131),"",ReferenceData!$U$131),"")</f>
        <v>18.93203883</v>
      </c>
      <c r="V131">
        <f ca="1">IFERROR(IF(0=LEN(ReferenceData!$V$131),"",ReferenceData!$V$131),"")</f>
        <v>14.671961870000001</v>
      </c>
      <c r="W131">
        <f ca="1">IFERROR(IF(0=LEN(ReferenceData!$W$131),"",ReferenceData!$W$131),"")</f>
        <v>23.19850564</v>
      </c>
      <c r="X131">
        <f ca="1">IFERROR(IF(0=LEN(ReferenceData!$X$131),"",ReferenceData!$X$131),"")</f>
        <v>24.701022819999999</v>
      </c>
      <c r="Y131">
        <f ca="1">IFERROR(IF(0=LEN(ReferenceData!$Y$131),"",ReferenceData!$Y$131),"")</f>
        <v>26.98630137</v>
      </c>
      <c r="Z131">
        <f ca="1">IFERROR(IF(0=LEN(ReferenceData!$Z$131),"",ReferenceData!$Z$131),"")</f>
        <v>33.013565479999997</v>
      </c>
      <c r="AA131">
        <f ca="1">IFERROR(IF(0=LEN(ReferenceData!$AA$131),"",ReferenceData!$AA$131),"")</f>
        <v>20.0172451</v>
      </c>
      <c r="AB131">
        <f ca="1">IFERROR(IF(0=LEN(ReferenceData!$AB$131),"",ReferenceData!$AB$131),"")</f>
        <v>19.37635015</v>
      </c>
      <c r="AC131">
        <f ca="1">IFERROR(IF(0=LEN(ReferenceData!$AC$131),"",ReferenceData!$AC$131),"")</f>
        <v>33.240283439999999</v>
      </c>
      <c r="AD131">
        <f ca="1">IFERROR(IF(0=LEN(ReferenceData!$AD$131),"",ReferenceData!$AD$131),"")</f>
        <v>34.747451740000002</v>
      </c>
      <c r="AE131" t="str">
        <f ca="1">IFERROR(IF(0=LEN(ReferenceData!$AE$131),"",ReferenceData!$AE$131),"")</f>
        <v/>
      </c>
      <c r="AF131" t="str">
        <f ca="1">IFERROR(IF(0=LEN(ReferenceData!$AF$131),"",ReferenceData!$AF$131),"")</f>
        <v/>
      </c>
      <c r="AG131" t="str">
        <f ca="1">IFERROR(IF(0=LEN(ReferenceData!$AG$131),"",ReferenceData!$AG$131),"")</f>
        <v/>
      </c>
      <c r="AH131" t="str">
        <f ca="1">IFERROR(IF(0=LEN(ReferenceData!$AH$131),"",ReferenceData!$AH$131),"")</f>
        <v/>
      </c>
      <c r="AI131" t="str">
        <f ca="1">IFERROR(IF(0=LEN(ReferenceData!$AI$131),"",ReferenceData!$AI$131),"")</f>
        <v/>
      </c>
      <c r="AJ131" t="str">
        <f ca="1">IFERROR(IF(0=LEN(ReferenceData!$AJ$131),"",ReferenceData!$AJ$131),"")</f>
        <v/>
      </c>
      <c r="AK131" t="str">
        <f ca="1">IFERROR(IF(0=LEN(ReferenceData!$AK$131),"",ReferenceData!$AK$131),"")</f>
        <v/>
      </c>
      <c r="AL131" t="str">
        <f ca="1">IFERROR(IF(0=LEN(ReferenceData!$AL$131),"",ReferenceData!$AL$131),"")</f>
        <v/>
      </c>
      <c r="AM131" t="str">
        <f ca="1">IFERROR(IF(0=LEN(ReferenceData!$AM$131),"",ReferenceData!$AM$131),"")</f>
        <v/>
      </c>
      <c r="AN131" t="str">
        <f ca="1">IFERROR(IF(0=LEN(ReferenceData!$AN$131),"",ReferenceData!$AN$131),"")</f>
        <v/>
      </c>
      <c r="AO131" t="str">
        <f ca="1">IFERROR(IF(0=LEN(ReferenceData!$AO$131),"",ReferenceData!$AO$131),"")</f>
        <v/>
      </c>
      <c r="AP131" t="str">
        <f ca="1">IFERROR(IF(0=LEN(ReferenceData!$AP$131),"",ReferenceData!$AP$131),"")</f>
        <v/>
      </c>
      <c r="AQ131" t="str">
        <f ca="1">IFERROR(IF(0=LEN(ReferenceData!$AQ$131),"",ReferenceData!$AQ$131),"")</f>
        <v/>
      </c>
      <c r="AR131" t="str">
        <f ca="1">IFERROR(IF(0=LEN(ReferenceData!$AR$131),"",ReferenceData!$AR$131),"")</f>
        <v/>
      </c>
      <c r="AS131" t="str">
        <f ca="1">IFERROR(IF(0=LEN(ReferenceData!$AS$131),"",ReferenceData!$AS$131),"")</f>
        <v/>
      </c>
      <c r="AT131" t="str">
        <f ca="1">IFERROR(IF(0=LEN(ReferenceData!$AT$131),"",ReferenceData!$AT$131),"")</f>
        <v/>
      </c>
      <c r="AU131" t="str">
        <f ca="1">IFERROR(IF(0=LEN(ReferenceData!$AU$131),"",ReferenceData!$AU$131),"")</f>
        <v/>
      </c>
      <c r="AV131" t="str">
        <f ca="1">IFERROR(IF(0=LEN(ReferenceData!$AV$131),"",ReferenceData!$AV$131),"")</f>
        <v/>
      </c>
      <c r="AW131" t="str">
        <f ca="1">IFERROR(IF(0=LEN(ReferenceData!$AW$131),"",ReferenceData!$AW$131),"")</f>
        <v/>
      </c>
      <c r="AX131" t="str">
        <f ca="1">IFERROR(IF(0=LEN(ReferenceData!$AX$131),"",ReferenceData!$AX$131),"")</f>
        <v/>
      </c>
      <c r="AY131" t="str">
        <f ca="1">IFERROR(IF(0=LEN(ReferenceData!$AY$131),"",ReferenceData!$AY$131),"")</f>
        <v/>
      </c>
      <c r="AZ131" t="str">
        <f ca="1">IFERROR(IF(0=LEN(ReferenceData!$AZ$131),"",ReferenceData!$AZ$131),"")</f>
        <v/>
      </c>
      <c r="BA131" t="str">
        <f ca="1">IFERROR(IF(0=LEN(ReferenceData!$BA$131),"",ReferenceData!$BA$131),"")</f>
        <v/>
      </c>
      <c r="BB131" t="str">
        <f ca="1">IFERROR(IF(0=LEN(ReferenceData!$BB$131),"",ReferenceData!$BB$131),"")</f>
        <v/>
      </c>
      <c r="BC131" t="str">
        <f ca="1">IFERROR(IF(0=LEN(ReferenceData!$BC$131),"",ReferenceData!$BC$131),"")</f>
        <v/>
      </c>
      <c r="BD131" t="str">
        <f ca="1">IFERROR(IF(0=LEN(ReferenceData!$BD$131),"",ReferenceData!$BD$131),"")</f>
        <v/>
      </c>
      <c r="BE131" t="str">
        <f ca="1">IFERROR(IF(0=LEN(ReferenceData!$BE$131),"",ReferenceData!$BE$131),"")</f>
        <v/>
      </c>
      <c r="BF131" t="str">
        <f ca="1">IFERROR(IF(0=LEN(ReferenceData!$BF$131),"",ReferenceData!$BF$131),"")</f>
        <v/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>
      <c r="A132" t="str">
        <f>IFERROR(IF(0=LEN(ReferenceData!$A$132),"",ReferenceData!$A$132),"")</f>
        <v xml:space="preserve">    Senior Housing Properties Trus</v>
      </c>
      <c r="B132" t="str">
        <f>IFERROR(IF(0=LEN(ReferenceData!$B$132),"",ReferenceData!$B$132),"")</f>
        <v>SNH US Equity</v>
      </c>
      <c r="C132" t="str">
        <f>IFERROR(IF(0=LEN(ReferenceData!$C$132),"",ReferenceData!$C$132),"")</f>
        <v>RR551</v>
      </c>
      <c r="D132" t="str">
        <f>IFERROR(IF(0=LEN(ReferenceData!$D$132),"",ReferenceData!$D$132),"")</f>
        <v>NOI_GROWTH</v>
      </c>
      <c r="E132" t="str">
        <f>IFERROR(IF(0=LEN(ReferenceData!$E$132),"",ReferenceData!$E$132),"")</f>
        <v>动态</v>
      </c>
      <c r="F132" t="str">
        <f ca="1">IFERROR(IF(0=LEN(ReferenceData!$F$132),"",ReferenceData!$F$132),"")</f>
        <v/>
      </c>
      <c r="G132">
        <f ca="1">IFERROR(IF(0=LEN(ReferenceData!$G$132),"",ReferenceData!$G$132),"")</f>
        <v>0.62486533099999997</v>
      </c>
      <c r="H132">
        <f ca="1">IFERROR(IF(0=LEN(ReferenceData!$H$132),"",ReferenceData!$H$132),"")</f>
        <v>2.3778878950000002</v>
      </c>
      <c r="I132">
        <f ca="1">IFERROR(IF(0=LEN(ReferenceData!$I$132),"",ReferenceData!$I$132),"")</f>
        <v>-4.0151526540000004</v>
      </c>
      <c r="J132">
        <f ca="1">IFERROR(IF(0=LEN(ReferenceData!$J$132),"",ReferenceData!$J$132),"")</f>
        <v>3.0155028989999999</v>
      </c>
      <c r="K132">
        <f ca="1">IFERROR(IF(0=LEN(ReferenceData!$K$132),"",ReferenceData!$K$132),"")</f>
        <v>6.9354838709999997</v>
      </c>
      <c r="L132">
        <f ca="1">IFERROR(IF(0=LEN(ReferenceData!$L$132),"",ReferenceData!$L$132),"")</f>
        <v>0.35520537299999999</v>
      </c>
      <c r="M132">
        <f ca="1">IFERROR(IF(0=LEN(ReferenceData!$M$132),"",ReferenceData!$M$132),"")</f>
        <v>7.3748264839999997</v>
      </c>
      <c r="N132">
        <f ca="1">IFERROR(IF(0=LEN(ReferenceData!$N$132),"",ReferenceData!$N$132),"")</f>
        <v>5.8043007170000003</v>
      </c>
      <c r="O132">
        <f ca="1">IFERROR(IF(0=LEN(ReferenceData!$O$132),"",ReferenceData!$O$132),"")</f>
        <v>6.6732210890000001</v>
      </c>
      <c r="P132">
        <f ca="1">IFERROR(IF(0=LEN(ReferenceData!$P$132),"",ReferenceData!$P$132),"")</f>
        <v>12.79959204</v>
      </c>
      <c r="Q132">
        <f ca="1">IFERROR(IF(0=LEN(ReferenceData!$Q$132),"",ReferenceData!$Q$132),"")</f>
        <v>29.386212230000002</v>
      </c>
      <c r="R132">
        <f ca="1">IFERROR(IF(0=LEN(ReferenceData!$R$132),"",ReferenceData!$R$132),"")</f>
        <v>75.13794412</v>
      </c>
      <c r="S132">
        <f ca="1">IFERROR(IF(0=LEN(ReferenceData!$S$132),"",ReferenceData!$S$132),"")</f>
        <v>41.737975480000003</v>
      </c>
      <c r="T132">
        <f ca="1">IFERROR(IF(0=LEN(ReferenceData!$T$132),"",ReferenceData!$T$132),"")</f>
        <v>46.070763499999998</v>
      </c>
      <c r="U132">
        <f ca="1">IFERROR(IF(0=LEN(ReferenceData!$U$132),"",ReferenceData!$U$132),"")</f>
        <v>26.63105281</v>
      </c>
      <c r="V132">
        <f ca="1">IFERROR(IF(0=LEN(ReferenceData!$V$132),"",ReferenceData!$V$132),"")</f>
        <v>-10.269038330000001</v>
      </c>
      <c r="W132">
        <f ca="1">IFERROR(IF(0=LEN(ReferenceData!$W$132),"",ReferenceData!$W$132),"")</f>
        <v>-9.3265680839999998</v>
      </c>
      <c r="X132">
        <f ca="1">IFERROR(IF(0=LEN(ReferenceData!$X$132),"",ReferenceData!$X$132),"")</f>
        <v>-43.85446073</v>
      </c>
      <c r="Y132">
        <f ca="1">IFERROR(IF(0=LEN(ReferenceData!$Y$132),"",ReferenceData!$Y$132),"")</f>
        <v>-44.87016869</v>
      </c>
      <c r="Z132">
        <f ca="1">IFERROR(IF(0=LEN(ReferenceData!$Z$132),"",ReferenceData!$Z$132),"")</f>
        <v>-45.600034200000003</v>
      </c>
      <c r="AA132">
        <f ca="1">IFERROR(IF(0=LEN(ReferenceData!$AA$132),"",ReferenceData!$AA$132),"")</f>
        <v>-45.68140872</v>
      </c>
      <c r="AB132">
        <f ca="1">IFERROR(IF(0=LEN(ReferenceData!$AB$132),"",ReferenceData!$AB$132),"")</f>
        <v>-28.43062845</v>
      </c>
      <c r="AC132">
        <f ca="1">IFERROR(IF(0=LEN(ReferenceData!$AC$132),"",ReferenceData!$AC$132),"")</f>
        <v>-22.947559989999998</v>
      </c>
      <c r="AD132">
        <f ca="1">IFERROR(IF(0=LEN(ReferenceData!$AD$132),"",ReferenceData!$AD$132),"")</f>
        <v>-20.36791157</v>
      </c>
      <c r="AE132">
        <f ca="1">IFERROR(IF(0=LEN(ReferenceData!$AE$132),"",ReferenceData!$AE$132),"")</f>
        <v>2.5165184310000002</v>
      </c>
      <c r="AF132">
        <f ca="1">IFERROR(IF(0=LEN(ReferenceData!$AF$132),"",ReferenceData!$AF$132),"")</f>
        <v>22.4982322</v>
      </c>
      <c r="AG132">
        <f ca="1">IFERROR(IF(0=LEN(ReferenceData!$AG$132),"",ReferenceData!$AG$132),"")</f>
        <v>16.17702719</v>
      </c>
      <c r="AH132">
        <f ca="1">IFERROR(IF(0=LEN(ReferenceData!$AH$132),"",ReferenceData!$AH$132),"")</f>
        <v>15.83631297</v>
      </c>
      <c r="AI132">
        <f ca="1">IFERROR(IF(0=LEN(ReferenceData!$AI$132),"",ReferenceData!$AI$132),"")</f>
        <v>9.5825552680000001</v>
      </c>
      <c r="AJ132">
        <f ca="1">IFERROR(IF(0=LEN(ReferenceData!$AJ$132),"",ReferenceData!$AJ$132),"")</f>
        <v>12.471648650000001</v>
      </c>
      <c r="AK132">
        <f ca="1">IFERROR(IF(0=LEN(ReferenceData!$AK$132),"",ReferenceData!$AK$132),"")</f>
        <v>15.77666969</v>
      </c>
      <c r="AL132">
        <f ca="1">IFERROR(IF(0=LEN(ReferenceData!$AL$132),"",ReferenceData!$AL$132),"")</f>
        <v>16.278927580000001</v>
      </c>
      <c r="AM132">
        <f ca="1">IFERROR(IF(0=LEN(ReferenceData!$AM$132),"",ReferenceData!$AM$132),"")</f>
        <v>16.989189719999999</v>
      </c>
      <c r="AN132">
        <f ca="1">IFERROR(IF(0=LEN(ReferenceData!$AN$132),"",ReferenceData!$AN$132),"")</f>
        <v>17.322412870000001</v>
      </c>
      <c r="AO132">
        <f ca="1">IFERROR(IF(0=LEN(ReferenceData!$AO$132),"",ReferenceData!$AO$132),"")</f>
        <v>25.798357660000001</v>
      </c>
      <c r="AP132">
        <f ca="1">IFERROR(IF(0=LEN(ReferenceData!$AP$132),"",ReferenceData!$AP$132),"")</f>
        <v>33.560623069999998</v>
      </c>
      <c r="AQ132">
        <f ca="1">IFERROR(IF(0=LEN(ReferenceData!$AQ$132),"",ReferenceData!$AQ$132),"")</f>
        <v>34.910916319999998</v>
      </c>
      <c r="AR132">
        <f ca="1">IFERROR(IF(0=LEN(ReferenceData!$AR$132),"",ReferenceData!$AR$132),"")</f>
        <v>29.606073500000001</v>
      </c>
      <c r="AS132">
        <f ca="1">IFERROR(IF(0=LEN(ReferenceData!$AS$132),"",ReferenceData!$AS$132),"")</f>
        <v>18.470476959999999</v>
      </c>
      <c r="AT132">
        <f ca="1">IFERROR(IF(0=LEN(ReferenceData!$AT$132),"",ReferenceData!$AT$132),"")</f>
        <v>10.568610189999999</v>
      </c>
      <c r="AU132">
        <f ca="1">IFERROR(IF(0=LEN(ReferenceData!$AU$132),"",ReferenceData!$AU$132),"")</f>
        <v>-3.758806844</v>
      </c>
      <c r="AV132">
        <f ca="1">IFERROR(IF(0=LEN(ReferenceData!$AV$132),"",ReferenceData!$AV$132),"")</f>
        <v>6.3597170280000004</v>
      </c>
      <c r="AW132">
        <f ca="1">IFERROR(IF(0=LEN(ReferenceData!$AW$132),"",ReferenceData!$AW$132),"")</f>
        <v>8.5164096669999996</v>
      </c>
      <c r="AX132">
        <f ca="1">IFERROR(IF(0=LEN(ReferenceData!$AX$132),"",ReferenceData!$AX$132),"")</f>
        <v>8.5197070279999991</v>
      </c>
      <c r="AY132">
        <f ca="1">IFERROR(IF(0=LEN(ReferenceData!$AY$132),"",ReferenceData!$AY$132),"")</f>
        <v>24.825821779999998</v>
      </c>
      <c r="AZ132">
        <f ca="1">IFERROR(IF(0=LEN(ReferenceData!$AZ$132),"",ReferenceData!$AZ$132),"")</f>
        <v>6.2699322850000003</v>
      </c>
      <c r="BA132">
        <f ca="1">IFERROR(IF(0=LEN(ReferenceData!$BA$132),"",ReferenceData!$BA$132),"")</f>
        <v>4.6733466699999999</v>
      </c>
      <c r="BB132">
        <f ca="1">IFERROR(IF(0=LEN(ReferenceData!$BB$132),"",ReferenceData!$BB$132),"")</f>
        <v>4.9758267009999999</v>
      </c>
      <c r="BC132">
        <f ca="1">IFERROR(IF(0=LEN(ReferenceData!$BC$132),"",ReferenceData!$BC$132),"")</f>
        <v>8.6655413790000004</v>
      </c>
      <c r="BD132">
        <f ca="1">IFERROR(IF(0=LEN(ReferenceData!$BD$132),"",ReferenceData!$BD$132),"")</f>
        <v>11.516970540000001</v>
      </c>
      <c r="BE132">
        <f ca="1">IFERROR(IF(0=LEN(ReferenceData!$BE$132),"",ReferenceData!$BE$132),"")</f>
        <v>11.097225509999999</v>
      </c>
      <c r="BF132">
        <f ca="1">IFERROR(IF(0=LEN(ReferenceData!$BF$132),"",ReferenceData!$BF$132),"")</f>
        <v>11.654087369999999</v>
      </c>
      <c r="BG132">
        <f ca="1">IFERROR(IF(0=LEN(ReferenceData!$BG$132),"",ReferenceData!$BG$132),"")</f>
        <v>13.350776809999999</v>
      </c>
      <c r="BH132" t="str">
        <f ca="1">IFERROR(IF(0=LEN(ReferenceData!$BH$132),"",ReferenceData!$BH$132),"")</f>
        <v/>
      </c>
      <c r="BI132" t="str">
        <f ca="1">IFERROR(IF(0=LEN(ReferenceData!$BI$132),"",ReferenceData!$BI$132),"")</f>
        <v/>
      </c>
      <c r="BJ132" t="str">
        <f ca="1">IFERROR(IF(0=LEN(ReferenceData!$BJ$132),"",ReferenceData!$BJ$132),"")</f>
        <v/>
      </c>
      <c r="BK132">
        <f ca="1">IFERROR(IF(0=LEN(ReferenceData!$BK$132),"",ReferenceData!$BK$132),"")</f>
        <v>9.2896674840000006</v>
      </c>
      <c r="BL132" t="str">
        <f ca="1">IFERROR(IF(0=LEN(ReferenceData!$BL$132),"",ReferenceData!$BL$132),"")</f>
        <v/>
      </c>
      <c r="BM132" t="str">
        <f ca="1">IFERROR(IF(0=LEN(ReferenceData!$BM$132),"",ReferenceData!$BM$132),"")</f>
        <v/>
      </c>
    </row>
    <row r="133" spans="1:65">
      <c r="A133" t="str">
        <f>IFERROR(IF(0=LEN(ReferenceData!$A$133),"",ReferenceData!$A$133),"")</f>
        <v xml:space="preserve">    Ventas Inc</v>
      </c>
      <c r="B133" t="str">
        <f>IFERROR(IF(0=LEN(ReferenceData!$B$133),"",ReferenceData!$B$133),"")</f>
        <v>VTR US Equity</v>
      </c>
      <c r="C133" t="str">
        <f>IFERROR(IF(0=LEN(ReferenceData!$C$133),"",ReferenceData!$C$133),"")</f>
        <v>RR551</v>
      </c>
      <c r="D133" t="str">
        <f>IFERROR(IF(0=LEN(ReferenceData!$D$133),"",ReferenceData!$D$133),"")</f>
        <v>NOI_GROWTH</v>
      </c>
      <c r="E133" t="str">
        <f>IFERROR(IF(0=LEN(ReferenceData!$E$133),"",ReferenceData!$E$133),"")</f>
        <v>动态</v>
      </c>
      <c r="F133" t="str">
        <f ca="1">IFERROR(IF(0=LEN(ReferenceData!$F$133),"",ReferenceData!$F$133),"")</f>
        <v/>
      </c>
      <c r="G133">
        <f ca="1">IFERROR(IF(0=LEN(ReferenceData!$G$133),"",ReferenceData!$G$133),"")</f>
        <v>-0.85971050599999999</v>
      </c>
      <c r="H133">
        <f ca="1">IFERROR(IF(0=LEN(ReferenceData!$H$133),"",ReferenceData!$H$133),"")</f>
        <v>3.5228996920000002</v>
      </c>
      <c r="I133">
        <f ca="1">IFERROR(IF(0=LEN(ReferenceData!$I$133),"",ReferenceData!$I$133),"")</f>
        <v>5.2728551100000001</v>
      </c>
      <c r="J133">
        <f ca="1">IFERROR(IF(0=LEN(ReferenceData!$J$133),"",ReferenceData!$J$133),"")</f>
        <v>4.2796930499999997</v>
      </c>
      <c r="K133">
        <f ca="1">IFERROR(IF(0=LEN(ReferenceData!$K$133),"",ReferenceData!$K$133),"")</f>
        <v>4.6810864370000003</v>
      </c>
      <c r="L133">
        <f ca="1">IFERROR(IF(0=LEN(ReferenceData!$L$133),"",ReferenceData!$L$133),"")</f>
        <v>2.844846483</v>
      </c>
      <c r="M133">
        <f ca="1">IFERROR(IF(0=LEN(ReferenceData!$M$133),"",ReferenceData!$M$133),"")</f>
        <v>6.3809367180000001</v>
      </c>
      <c r="N133">
        <f ca="1">IFERROR(IF(0=LEN(ReferenceData!$N$133),"",ReferenceData!$N$133),"")</f>
        <v>7.0741054769999998</v>
      </c>
      <c r="O133">
        <f ca="1">IFERROR(IF(0=LEN(ReferenceData!$O$133),"",ReferenceData!$O$133),"")</f>
        <v>16.656701250000001</v>
      </c>
      <c r="P133">
        <f ca="1">IFERROR(IF(0=LEN(ReferenceData!$P$133),"",ReferenceData!$P$133),"")</f>
        <v>19.727525249999999</v>
      </c>
      <c r="Q133">
        <f ca="1">IFERROR(IF(0=LEN(ReferenceData!$Q$133),"",ReferenceData!$Q$133),"")</f>
        <v>-0.85504258499999997</v>
      </c>
      <c r="R133">
        <f ca="1">IFERROR(IF(0=LEN(ReferenceData!$R$133),"",ReferenceData!$R$133),"")</f>
        <v>-0.116307956</v>
      </c>
      <c r="S133">
        <f ca="1">IFERROR(IF(0=LEN(ReferenceData!$S$133),"",ReferenceData!$S$133),"")</f>
        <v>-7.0977238959999998</v>
      </c>
      <c r="T133">
        <f ca="1">IFERROR(IF(0=LEN(ReferenceData!$T$133),"",ReferenceData!$T$133),"")</f>
        <v>-6.5581651709999997</v>
      </c>
      <c r="U133">
        <f ca="1">IFERROR(IF(0=LEN(ReferenceData!$U$133),"",ReferenceData!$U$133),"")</f>
        <v>12.17917718</v>
      </c>
      <c r="V133">
        <f ca="1">IFERROR(IF(0=LEN(ReferenceData!$V$133),"",ReferenceData!$V$133),"")</f>
        <v>11.095499630000001</v>
      </c>
      <c r="W133">
        <f ca="1">IFERROR(IF(0=LEN(ReferenceData!$W$133),"",ReferenceData!$W$133),"")</f>
        <v>14.18581419</v>
      </c>
      <c r="X133">
        <f ca="1">IFERROR(IF(0=LEN(ReferenceData!$X$133),"",ReferenceData!$X$133),"")</f>
        <v>9.2912111240000002</v>
      </c>
      <c r="Y133">
        <f ca="1">IFERROR(IF(0=LEN(ReferenceData!$Y$133),"",ReferenceData!$Y$133),"")</f>
        <v>8.7159999460000002</v>
      </c>
      <c r="Z133">
        <f ca="1">IFERROR(IF(0=LEN(ReferenceData!$Z$133),"",ReferenceData!$Z$133),"")</f>
        <v>16.36856796</v>
      </c>
      <c r="AA133">
        <f ca="1">IFERROR(IF(0=LEN(ReferenceData!$AA$133),"",ReferenceData!$AA$133),"")</f>
        <v>10.0633541</v>
      </c>
      <c r="AB133">
        <f ca="1">IFERROR(IF(0=LEN(ReferenceData!$AB$133),"",ReferenceData!$AB$133),"")</f>
        <v>11.654311330000001</v>
      </c>
      <c r="AC133">
        <f ca="1">IFERROR(IF(0=LEN(ReferenceData!$AC$133),"",ReferenceData!$AC$133),"")</f>
        <v>77.456312089999997</v>
      </c>
      <c r="AD133">
        <f ca="1">IFERROR(IF(0=LEN(ReferenceData!$AD$133),"",ReferenceData!$AD$133),"")</f>
        <v>95.178992719999997</v>
      </c>
      <c r="AE133">
        <f ca="1">IFERROR(IF(0=LEN(ReferenceData!$AE$133),"",ReferenceData!$AE$133),"")</f>
        <v>89.996739270000006</v>
      </c>
      <c r="AF133">
        <f ca="1">IFERROR(IF(0=LEN(ReferenceData!$AF$133),"",ReferenceData!$AF$133),"")</f>
        <v>88.963602059999999</v>
      </c>
      <c r="AG133">
        <f ca="1">IFERROR(IF(0=LEN(ReferenceData!$AG$133),"",ReferenceData!$AG$133),"")</f>
        <v>25.8992149</v>
      </c>
      <c r="AH133">
        <f ca="1">IFERROR(IF(0=LEN(ReferenceData!$AH$133),"",ReferenceData!$AH$133),"")</f>
        <v>10.97395165</v>
      </c>
      <c r="AI133">
        <f ca="1">IFERROR(IF(0=LEN(ReferenceData!$AI$133),"",ReferenceData!$AI$133),"")</f>
        <v>16.118081180000001</v>
      </c>
      <c r="AJ133">
        <f ca="1">IFERROR(IF(0=LEN(ReferenceData!$AJ$133),"",ReferenceData!$AJ$133),"")</f>
        <v>15.242021859999999</v>
      </c>
      <c r="AK133">
        <f ca="1">IFERROR(IF(0=LEN(ReferenceData!$AK$133),"",ReferenceData!$AK$133),"")</f>
        <v>5.7016217749999996</v>
      </c>
      <c r="AL133">
        <f ca="1">IFERROR(IF(0=LEN(ReferenceData!$AL$133),"",ReferenceData!$AL$133),"")</f>
        <v>5.5114800260000001</v>
      </c>
      <c r="AM133">
        <f ca="1">IFERROR(IF(0=LEN(ReferenceData!$AM$133),"",ReferenceData!$AM$133),"")</f>
        <v>2.627852603</v>
      </c>
      <c r="AN133">
        <f ca="1">IFERROR(IF(0=LEN(ReferenceData!$AN$133),"",ReferenceData!$AN$133),"")</f>
        <v>4.6608681560000003</v>
      </c>
      <c r="AO133">
        <f ca="1">IFERROR(IF(0=LEN(ReferenceData!$AO$133),"",ReferenceData!$AO$133),"")</f>
        <v>0.346005126</v>
      </c>
      <c r="AP133">
        <f ca="1">IFERROR(IF(0=LEN(ReferenceData!$AP$133),"",ReferenceData!$AP$133),"")</f>
        <v>-0.37293093100000002</v>
      </c>
      <c r="AQ133">
        <f ca="1">IFERROR(IF(0=LEN(ReferenceData!$AQ$133),"",ReferenceData!$AQ$133),"")</f>
        <v>0.33503383399999997</v>
      </c>
      <c r="AR133">
        <f ca="1">IFERROR(IF(0=LEN(ReferenceData!$AR$133),"",ReferenceData!$AR$133),"")</f>
        <v>-1.879791414</v>
      </c>
      <c r="AS133">
        <f ca="1">IFERROR(IF(0=LEN(ReferenceData!$AS$133),"",ReferenceData!$AS$133),"")</f>
        <v>11.25067327</v>
      </c>
      <c r="AT133">
        <f ca="1">IFERROR(IF(0=LEN(ReferenceData!$AT$133),"",ReferenceData!$AT$133),"")</f>
        <v>30.350767739999998</v>
      </c>
      <c r="AU133">
        <f ca="1">IFERROR(IF(0=LEN(ReferenceData!$AU$133),"",ReferenceData!$AU$133),"")</f>
        <v>39.152183909999998</v>
      </c>
      <c r="AV133">
        <f ca="1">IFERROR(IF(0=LEN(ReferenceData!$AV$133),"",ReferenceData!$AV$133),"")</f>
        <v>46.13192085</v>
      </c>
      <c r="AW133">
        <f ca="1">IFERROR(IF(0=LEN(ReferenceData!$AW$133),"",ReferenceData!$AW$133),"")</f>
        <v>46.77298648</v>
      </c>
      <c r="AX133">
        <f ca="1">IFERROR(IF(0=LEN(ReferenceData!$AX$133),"",ReferenceData!$AX$133),"")</f>
        <v>20.359187760000001</v>
      </c>
      <c r="AY133">
        <f ca="1">IFERROR(IF(0=LEN(ReferenceData!$AY$133),"",ReferenceData!$AY$133),"")</f>
        <v>13.79331994</v>
      </c>
      <c r="AZ133">
        <f ca="1">IFERROR(IF(0=LEN(ReferenceData!$AZ$133),"",ReferenceData!$AZ$133),"")</f>
        <v>11.17989708</v>
      </c>
      <c r="BA133">
        <f ca="1">IFERROR(IF(0=LEN(ReferenceData!$BA$133),"",ReferenceData!$BA$133),"")</f>
        <v>32.31844238</v>
      </c>
      <c r="BB133">
        <f ca="1">IFERROR(IF(0=LEN(ReferenceData!$BB$133),"",ReferenceData!$BB$133),"")</f>
        <v>54.184958270000003</v>
      </c>
      <c r="BC133">
        <f ca="1">IFERROR(IF(0=LEN(ReferenceData!$BC$133),"",ReferenceData!$BC$133),"")</f>
        <v>57.031827669999998</v>
      </c>
      <c r="BD133">
        <f ca="1">IFERROR(IF(0=LEN(ReferenceData!$BD$133),"",ReferenceData!$BD$133),"")</f>
        <v>54.980146150000003</v>
      </c>
      <c r="BE133">
        <f ca="1">IFERROR(IF(0=LEN(ReferenceData!$BE$133),"",ReferenceData!$BE$133),"")</f>
        <v>24.354371539999999</v>
      </c>
      <c r="BF133">
        <f ca="1">IFERROR(IF(0=LEN(ReferenceData!$BF$133),"",ReferenceData!$BF$133),"")</f>
        <v>18.618624350000001</v>
      </c>
      <c r="BG133">
        <f ca="1">IFERROR(IF(0=LEN(ReferenceData!$BG$133),"",ReferenceData!$BG$133),"")</f>
        <v>24.014749909999999</v>
      </c>
      <c r="BH133">
        <f ca="1">IFERROR(IF(0=LEN(ReferenceData!$BH$133),"",ReferenceData!$BH$133),"")</f>
        <v>22.47491892</v>
      </c>
      <c r="BI133">
        <f ca="1">IFERROR(IF(0=LEN(ReferenceData!$BI$133),"",ReferenceData!$BI$133),"")</f>
        <v>25.333130449999999</v>
      </c>
      <c r="BJ133">
        <f ca="1">IFERROR(IF(0=LEN(ReferenceData!$BJ$133),"",ReferenceData!$BJ$133),"")</f>
        <v>16.491867389999999</v>
      </c>
      <c r="BK133">
        <f ca="1">IFERROR(IF(0=LEN(ReferenceData!$BK$133),"",ReferenceData!$BK$133),"")</f>
        <v>8.6092496619999999</v>
      </c>
      <c r="BL133">
        <f ca="1">IFERROR(IF(0=LEN(ReferenceData!$BL$133),"",ReferenceData!$BL$133),"")</f>
        <v>9.8543166709999994</v>
      </c>
      <c r="BM133">
        <f ca="1">IFERROR(IF(0=LEN(ReferenceData!$BM$133),"",ReferenceData!$BM$133),"")</f>
        <v>4.4620554979999998</v>
      </c>
    </row>
    <row r="134" spans="1:65">
      <c r="A134" t="str">
        <f>IFERROR(IF(0=LEN(ReferenceData!$A$134),"",ReferenceData!$A$134),"")</f>
        <v xml:space="preserve">    Welltower Inc</v>
      </c>
      <c r="B134" t="str">
        <f>IFERROR(IF(0=LEN(ReferenceData!$B$134),"",ReferenceData!$B$134),"")</f>
        <v>HCN US Equity</v>
      </c>
      <c r="C134" t="str">
        <f>IFERROR(IF(0=LEN(ReferenceData!$C$134),"",ReferenceData!$C$134),"")</f>
        <v>RR551</v>
      </c>
      <c r="D134" t="str">
        <f>IFERROR(IF(0=LEN(ReferenceData!$D$134),"",ReferenceData!$D$134),"")</f>
        <v>NOI_GROWTH</v>
      </c>
      <c r="E134" t="str">
        <f>IFERROR(IF(0=LEN(ReferenceData!$E$134),"",ReferenceData!$E$134),"")</f>
        <v>动态</v>
      </c>
      <c r="F134" t="str">
        <f ca="1">IFERROR(IF(0=LEN(ReferenceData!$F$134),"",ReferenceData!$F$134),"")</f>
        <v/>
      </c>
      <c r="G134">
        <f ca="1">IFERROR(IF(0=LEN(ReferenceData!$G$134),"",ReferenceData!$G$134),"")</f>
        <v>-1.7886069849999999</v>
      </c>
      <c r="H134">
        <f ca="1">IFERROR(IF(0=LEN(ReferenceData!$H$134),"",ReferenceData!$H$134),"")</f>
        <v>-6.2730199190000002</v>
      </c>
      <c r="I134">
        <f ca="1">IFERROR(IF(0=LEN(ReferenceData!$I$134),"",ReferenceData!$I$134),"")</f>
        <v>-8.3299943350000003</v>
      </c>
      <c r="J134">
        <f ca="1">IFERROR(IF(0=LEN(ReferenceData!$J$134),"",ReferenceData!$J$134),"")</f>
        <v>-7.1926656529999997</v>
      </c>
      <c r="K134">
        <f ca="1">IFERROR(IF(0=LEN(ReferenceData!$K$134),"",ReferenceData!$K$134),"")</f>
        <v>-1.3476433670000001</v>
      </c>
      <c r="L134">
        <f ca="1">IFERROR(IF(0=LEN(ReferenceData!$L$134),"",ReferenceData!$L$134),"")</f>
        <v>5.797831607</v>
      </c>
      <c r="M134">
        <f ca="1">IFERROR(IF(0=LEN(ReferenceData!$M$134),"",ReferenceData!$M$134),"")</f>
        <v>8.4655083589999993</v>
      </c>
      <c r="N134">
        <f ca="1">IFERROR(IF(0=LEN(ReferenceData!$N$134),"",ReferenceData!$N$134),"")</f>
        <v>14.63574075</v>
      </c>
      <c r="O134">
        <f ca="1">IFERROR(IF(0=LEN(ReferenceData!$O$134),"",ReferenceData!$O$134),"")</f>
        <v>14.11608234</v>
      </c>
      <c r="P134">
        <f ca="1">IFERROR(IF(0=LEN(ReferenceData!$P$134),"",ReferenceData!$P$134),"")</f>
        <v>13.385666479999999</v>
      </c>
      <c r="Q134">
        <f ca="1">IFERROR(IF(0=LEN(ReferenceData!$Q$134),"",ReferenceData!$Q$134),"")</f>
        <v>13.16277039</v>
      </c>
      <c r="R134">
        <f ca="1">IFERROR(IF(0=LEN(ReferenceData!$R$134),"",ReferenceData!$R$134),"")</f>
        <v>9.8267407359999996</v>
      </c>
      <c r="S134">
        <f ca="1">IFERROR(IF(0=LEN(ReferenceData!$S$134),"",ReferenceData!$S$134),"")</f>
        <v>10.10511421</v>
      </c>
      <c r="T134">
        <f ca="1">IFERROR(IF(0=LEN(ReferenceData!$T$134),"",ReferenceData!$T$134),"")</f>
        <v>11.25097639</v>
      </c>
      <c r="U134">
        <f ca="1">IFERROR(IF(0=LEN(ReferenceData!$U$134),"",ReferenceData!$U$134),"")</f>
        <v>20.3674313</v>
      </c>
      <c r="V134">
        <f ca="1">IFERROR(IF(0=LEN(ReferenceData!$V$134),"",ReferenceData!$V$134),"")</f>
        <v>22.91880025</v>
      </c>
      <c r="W134">
        <f ca="1">IFERROR(IF(0=LEN(ReferenceData!$W$134),"",ReferenceData!$W$134),"")</f>
        <v>38.983664589999997</v>
      </c>
      <c r="X134">
        <f ca="1">IFERROR(IF(0=LEN(ReferenceData!$X$134),"",ReferenceData!$X$134),"")</f>
        <v>40.508367810000003</v>
      </c>
      <c r="Y134">
        <f ca="1">IFERROR(IF(0=LEN(ReferenceData!$Y$134),"",ReferenceData!$Y$134),"")</f>
        <v>33.52116899</v>
      </c>
      <c r="Z134">
        <f ca="1">IFERROR(IF(0=LEN(ReferenceData!$Z$134),"",ReferenceData!$Z$134),"")</f>
        <v>31.419489710000001</v>
      </c>
      <c r="AA134">
        <f ca="1">IFERROR(IF(0=LEN(ReferenceData!$AA$134),"",ReferenceData!$AA$134),"")</f>
        <v>22.113244080000001</v>
      </c>
      <c r="AB134">
        <f ca="1">IFERROR(IF(0=LEN(ReferenceData!$AB$134),"",ReferenceData!$AB$134),"")</f>
        <v>19.396284349999998</v>
      </c>
      <c r="AC134">
        <f ca="1">IFERROR(IF(0=LEN(ReferenceData!$AC$134),"",ReferenceData!$AC$134),"")</f>
        <v>16.666997899999998</v>
      </c>
      <c r="AD134">
        <f ca="1">IFERROR(IF(0=LEN(ReferenceData!$AD$134),"",ReferenceData!$AD$134),"")</f>
        <v>66.627698910000007</v>
      </c>
      <c r="AE134">
        <f ca="1">IFERROR(IF(0=LEN(ReferenceData!$AE$134),"",ReferenceData!$AE$134),"")</f>
        <v>80.675909279999999</v>
      </c>
      <c r="AF134">
        <f ca="1">IFERROR(IF(0=LEN(ReferenceData!$AF$134),"",ReferenceData!$AF$134),"")</f>
        <v>87.71814913</v>
      </c>
      <c r="AG134">
        <f ca="1">IFERROR(IF(0=LEN(ReferenceData!$AG$134),"",ReferenceData!$AG$134),"")</f>
        <v>93.835616439999995</v>
      </c>
      <c r="AH134">
        <f ca="1">IFERROR(IF(0=LEN(ReferenceData!$AH$134),"",ReferenceData!$AH$134),"")</f>
        <v>36.508711939999998</v>
      </c>
      <c r="AI134">
        <f ca="1">IFERROR(IF(0=LEN(ReferenceData!$AI$134),"",ReferenceData!$AI$134),"")</f>
        <v>22.91809524</v>
      </c>
      <c r="AJ134">
        <f ca="1">IFERROR(IF(0=LEN(ReferenceData!$AJ$134),"",ReferenceData!$AJ$134),"")</f>
        <v>18.072765390000001</v>
      </c>
      <c r="AK134">
        <f ca="1">IFERROR(IF(0=LEN(ReferenceData!$AK$134),"",ReferenceData!$AK$134),"")</f>
        <v>11.50304113</v>
      </c>
      <c r="AL134">
        <f ca="1">IFERROR(IF(0=LEN(ReferenceData!$AL$134),"",ReferenceData!$AL$134),"")</f>
        <v>5.5517359920000002</v>
      </c>
      <c r="AM134">
        <f ca="1">IFERROR(IF(0=LEN(ReferenceData!$AM$134),"",ReferenceData!$AM$134),"")</f>
        <v>12.01460339</v>
      </c>
      <c r="AN134">
        <f ca="1">IFERROR(IF(0=LEN(ReferenceData!$AN$134),"",ReferenceData!$AN$134),"")</f>
        <v>1.0261129250000001</v>
      </c>
      <c r="AO134">
        <f ca="1">IFERROR(IF(0=LEN(ReferenceData!$AO$134),"",ReferenceData!$AO$134),"")</f>
        <v>8.3553635919999998</v>
      </c>
      <c r="AP134">
        <f ca="1">IFERROR(IF(0=LEN(ReferenceData!$AP$134),"",ReferenceData!$AP$134),"")</f>
        <v>10.699913430000001</v>
      </c>
      <c r="AQ134">
        <f ca="1">IFERROR(IF(0=LEN(ReferenceData!$AQ$134),"",ReferenceData!$AQ$134),"")</f>
        <v>4.6699751860000003</v>
      </c>
      <c r="AR134">
        <f ca="1">IFERROR(IF(0=LEN(ReferenceData!$AR$134),"",ReferenceData!$AR$134),"")</f>
        <v>13.75190093</v>
      </c>
      <c r="AS134">
        <f ca="1">IFERROR(IF(0=LEN(ReferenceData!$AS$134),"",ReferenceData!$AS$134),"")</f>
        <v>11.4791524</v>
      </c>
      <c r="AT134">
        <f ca="1">IFERROR(IF(0=LEN(ReferenceData!$AT$134),"",ReferenceData!$AT$134),"")</f>
        <v>9.1198820699999992</v>
      </c>
      <c r="AU134">
        <f ca="1">IFERROR(IF(0=LEN(ReferenceData!$AU$134),"",ReferenceData!$AU$134),"")</f>
        <v>25.708082749999999</v>
      </c>
      <c r="AV134">
        <f ca="1">IFERROR(IF(0=LEN(ReferenceData!$AV$134),"",ReferenceData!$AV$134),"")</f>
        <v>38.100043640000003</v>
      </c>
      <c r="AW134">
        <f ca="1">IFERROR(IF(0=LEN(ReferenceData!$AW$134),"",ReferenceData!$AW$134),"")</f>
        <v>34.294911990000003</v>
      </c>
      <c r="AX134">
        <f ca="1">IFERROR(IF(0=LEN(ReferenceData!$AX$134),"",ReferenceData!$AX$134),"")</f>
        <v>34.950966659999999</v>
      </c>
      <c r="AY134">
        <f ca="1">IFERROR(IF(0=LEN(ReferenceData!$AY$134),"",ReferenceData!$AY$134),"")</f>
        <v>19.140775980000001</v>
      </c>
      <c r="AZ134" t="str">
        <f ca="1">IFERROR(IF(0=LEN(ReferenceData!$AZ$134),"",ReferenceData!$AZ$134),"")</f>
        <v/>
      </c>
      <c r="BA134" t="str">
        <f ca="1">IFERROR(IF(0=LEN(ReferenceData!$BA$134),"",ReferenceData!$BA$134),"")</f>
        <v/>
      </c>
      <c r="BB134" t="str">
        <f ca="1">IFERROR(IF(0=LEN(ReferenceData!$BB$134),"",ReferenceData!$BB$134),"")</f>
        <v/>
      </c>
      <c r="BC134">
        <f ca="1">IFERROR(IF(0=LEN(ReferenceData!$BC$134),"",ReferenceData!$BC$134),"")</f>
        <v>31.053964539999999</v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>
        <f ca="1">IFERROR(IF(0=LEN(ReferenceData!$BG$134),"",ReferenceData!$BG$134),"")</f>
        <v>-6.243152147</v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>
        <f ca="1">IFERROR(IF(0=LEN(ReferenceData!$BK$134),"",ReferenceData!$BK$134),"")</f>
        <v>47.096907649999999</v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>
      <c r="A135" t="str">
        <f>IFERROR(IF(0=LEN(ReferenceData!$A$135),"",ReferenceData!$A$135),"")</f>
        <v>FFO增长同比(%)</v>
      </c>
      <c r="B135" t="str">
        <f>IFERROR(IF(0=LEN(ReferenceData!$B$135),"",ReferenceData!$B$135),"")</f>
        <v/>
      </c>
      <c r="C135" t="str">
        <f>IFERROR(IF(0=LEN(ReferenceData!$C$135),"",ReferenceData!$C$135),"")</f>
        <v/>
      </c>
      <c r="D135" t="str">
        <f>IFERROR(IF(0=LEN(ReferenceData!$D$135),"",ReferenceData!$D$135),"")</f>
        <v/>
      </c>
      <c r="E135" t="str">
        <f>IFERROR(IF(0=LEN(ReferenceData!$E$135),"",ReferenceData!$E$135),"")</f>
        <v>Median</v>
      </c>
      <c r="F135" t="str">
        <f ca="1">IFERROR(IF(0=LEN(ReferenceData!$F$135),"",ReferenceData!$F$135),"")</f>
        <v/>
      </c>
      <c r="G135" t="str">
        <f ca="1">IFERROR(IF(0=LEN(ReferenceData!$G$135),"",ReferenceData!$G$135),"")</f>
        <v/>
      </c>
      <c r="H135" t="str">
        <f ca="1">IFERROR(IF(0=LEN(ReferenceData!$H$135),"",ReferenceData!$H$135),"")</f>
        <v/>
      </c>
      <c r="I135" t="str">
        <f ca="1">IFERROR(IF(0=LEN(ReferenceData!$I$135),"",ReferenceData!$I$135),"")</f>
        <v/>
      </c>
      <c r="J135" t="str">
        <f ca="1">IFERROR(IF(0=LEN(ReferenceData!$J$135),"",ReferenceData!$J$135),"")</f>
        <v/>
      </c>
      <c r="K135" t="str">
        <f ca="1">IFERROR(IF(0=LEN(ReferenceData!$K$135),"",ReferenceData!$K$135),"")</f>
        <v/>
      </c>
      <c r="L135" t="str">
        <f ca="1">IFERROR(IF(0=LEN(ReferenceData!$L$135),"",ReferenceData!$L$135),"")</f>
        <v/>
      </c>
      <c r="M135" t="str">
        <f ca="1">IFERROR(IF(0=LEN(ReferenceData!$M$135),"",ReferenceData!$M$135),"")</f>
        <v/>
      </c>
      <c r="N135" t="str">
        <f ca="1">IFERROR(IF(0=LEN(ReferenceData!$N$135),"",ReferenceData!$N$135),"")</f>
        <v/>
      </c>
      <c r="O135" t="str">
        <f ca="1">IFERROR(IF(0=LEN(ReferenceData!$O$135),"",ReferenceData!$O$135),"")</f>
        <v/>
      </c>
      <c r="P135" t="str">
        <f ca="1">IFERROR(IF(0=LEN(ReferenceData!$P$135),"",ReferenceData!$P$135),"")</f>
        <v/>
      </c>
      <c r="Q135" t="str">
        <f ca="1">IFERROR(IF(0=LEN(ReferenceData!$Q$135),"",ReferenceData!$Q$135),"")</f>
        <v/>
      </c>
      <c r="R135" t="str">
        <f ca="1">IFERROR(IF(0=LEN(ReferenceData!$R$135),"",ReferenceData!$R$135),"")</f>
        <v/>
      </c>
      <c r="S135" t="str">
        <f ca="1">IFERROR(IF(0=LEN(ReferenceData!$S$135),"",ReferenceData!$S$135),"")</f>
        <v/>
      </c>
      <c r="T135" t="str">
        <f ca="1">IFERROR(IF(0=LEN(ReferenceData!$T$135),"",ReferenceData!$T$135),"")</f>
        <v/>
      </c>
      <c r="U135" t="str">
        <f ca="1">IFERROR(IF(0=LEN(ReferenceData!$U$135),"",ReferenceData!$U$135),"")</f>
        <v/>
      </c>
      <c r="V135" t="str">
        <f ca="1">IFERROR(IF(0=LEN(ReferenceData!$V$135),"",ReferenceData!$V$135),"")</f>
        <v/>
      </c>
      <c r="W135" t="str">
        <f ca="1">IFERROR(IF(0=LEN(ReferenceData!$W$135),"",ReferenceData!$W$135),"")</f>
        <v/>
      </c>
      <c r="X135" t="str">
        <f ca="1">IFERROR(IF(0=LEN(ReferenceData!$X$135),"",ReferenceData!$X$135),"")</f>
        <v/>
      </c>
      <c r="Y135" t="str">
        <f ca="1">IFERROR(IF(0=LEN(ReferenceData!$Y$135),"",ReferenceData!$Y$135),"")</f>
        <v/>
      </c>
      <c r="Z135" t="str">
        <f ca="1">IFERROR(IF(0=LEN(ReferenceData!$Z$135),"",ReferenceData!$Z$135),"")</f>
        <v/>
      </c>
      <c r="AA135" t="str">
        <f ca="1">IFERROR(IF(0=LEN(ReferenceData!$AA$135),"",ReferenceData!$AA$135),"")</f>
        <v/>
      </c>
      <c r="AB135" t="str">
        <f ca="1">IFERROR(IF(0=LEN(ReferenceData!$AB$135),"",ReferenceData!$AB$135),"")</f>
        <v/>
      </c>
      <c r="AC135" t="str">
        <f ca="1">IFERROR(IF(0=LEN(ReferenceData!$AC$135),"",ReferenceData!$AC$135),"")</f>
        <v/>
      </c>
      <c r="AD135" t="str">
        <f ca="1">IFERROR(IF(0=LEN(ReferenceData!$AD$135),"",ReferenceData!$AD$135),"")</f>
        <v/>
      </c>
      <c r="AE135" t="str">
        <f ca="1">IFERROR(IF(0=LEN(ReferenceData!$AE$135),"",ReferenceData!$AE$135),"")</f>
        <v/>
      </c>
      <c r="AF135" t="str">
        <f ca="1">IFERROR(IF(0=LEN(ReferenceData!$AF$135),"",ReferenceData!$AF$135),"")</f>
        <v/>
      </c>
      <c r="AG135" t="str">
        <f ca="1">IFERROR(IF(0=LEN(ReferenceData!$AG$135),"",ReferenceData!$AG$135),"")</f>
        <v/>
      </c>
      <c r="AH135" t="str">
        <f ca="1">IFERROR(IF(0=LEN(ReferenceData!$AH$135),"",ReferenceData!$AH$135),"")</f>
        <v/>
      </c>
      <c r="AI135" t="str">
        <f ca="1">IFERROR(IF(0=LEN(ReferenceData!$AI$135),"",ReferenceData!$AI$135),"")</f>
        <v/>
      </c>
      <c r="AJ135" t="str">
        <f ca="1">IFERROR(IF(0=LEN(ReferenceData!$AJ$135),"",ReferenceData!$AJ$135),"")</f>
        <v/>
      </c>
      <c r="AK135" t="str">
        <f ca="1">IFERROR(IF(0=LEN(ReferenceData!$AK$135),"",ReferenceData!$AK$135),"")</f>
        <v/>
      </c>
      <c r="AL135" t="str">
        <f ca="1">IFERROR(IF(0=LEN(ReferenceData!$AL$135),"",ReferenceData!$AL$135),"")</f>
        <v/>
      </c>
      <c r="AM135" t="str">
        <f ca="1">IFERROR(IF(0=LEN(ReferenceData!$AM$135),"",ReferenceData!$AM$135),"")</f>
        <v/>
      </c>
      <c r="AN135" t="str">
        <f ca="1">IFERROR(IF(0=LEN(ReferenceData!$AN$135),"",ReferenceData!$AN$135),"")</f>
        <v/>
      </c>
      <c r="AO135" t="str">
        <f ca="1">IFERROR(IF(0=LEN(ReferenceData!$AO$135),"",ReferenceData!$AO$135),"")</f>
        <v/>
      </c>
      <c r="AP135" t="str">
        <f ca="1">IFERROR(IF(0=LEN(ReferenceData!$AP$135),"",ReferenceData!$AP$135),"")</f>
        <v/>
      </c>
      <c r="AQ135" t="str">
        <f ca="1">IFERROR(IF(0=LEN(ReferenceData!$AQ$135),"",ReferenceData!$AQ$135),"")</f>
        <v/>
      </c>
      <c r="AR135" t="str">
        <f ca="1">IFERROR(IF(0=LEN(ReferenceData!$AR$135),"",ReferenceData!$AR$135),"")</f>
        <v/>
      </c>
      <c r="AS135" t="str">
        <f ca="1">IFERROR(IF(0=LEN(ReferenceData!$AS$135),"",ReferenceData!$AS$135),"")</f>
        <v/>
      </c>
      <c r="AT135" t="str">
        <f ca="1">IFERROR(IF(0=LEN(ReferenceData!$AT$135),"",ReferenceData!$AT$135),"")</f>
        <v/>
      </c>
      <c r="AU135" t="str">
        <f ca="1">IFERROR(IF(0=LEN(ReferenceData!$AU$135),"",ReferenceData!$AU$135),"")</f>
        <v/>
      </c>
      <c r="AV135" t="str">
        <f ca="1">IFERROR(IF(0=LEN(ReferenceData!$AV$135),"",ReferenceData!$AV$135),"")</f>
        <v/>
      </c>
      <c r="AW135" t="str">
        <f ca="1">IFERROR(IF(0=LEN(ReferenceData!$AW$135),"",ReferenceData!$AW$135),"")</f>
        <v/>
      </c>
      <c r="AX135" t="str">
        <f ca="1">IFERROR(IF(0=LEN(ReferenceData!$AX$135),"",ReferenceData!$AX$135),"")</f>
        <v/>
      </c>
      <c r="AY135" t="str">
        <f ca="1">IFERROR(IF(0=LEN(ReferenceData!$AY$135),"",ReferenceData!$AY$135),"")</f>
        <v/>
      </c>
      <c r="AZ135" t="str">
        <f ca="1">IFERROR(IF(0=LEN(ReferenceData!$AZ$135),"",ReferenceData!$AZ$135),"")</f>
        <v/>
      </c>
      <c r="BA135" t="str">
        <f ca="1">IFERROR(IF(0=LEN(ReferenceData!$BA$135),"",ReferenceData!$BA$135),"")</f>
        <v/>
      </c>
      <c r="BB135" t="str">
        <f ca="1">IFERROR(IF(0=LEN(ReferenceData!$BB$135),"",ReferenceData!$BB$135),"")</f>
        <v/>
      </c>
      <c r="BC135" t="str">
        <f ca="1">IFERROR(IF(0=LEN(ReferenceData!$BC$135),"",ReferenceData!$BC$135),"")</f>
        <v/>
      </c>
      <c r="BD135" t="str">
        <f ca="1">IFERROR(IF(0=LEN(ReferenceData!$BD$135),"",ReferenceData!$BD$135),"")</f>
        <v/>
      </c>
      <c r="BE135" t="str">
        <f ca="1">IFERROR(IF(0=LEN(ReferenceData!$BE$135),"",ReferenceData!$BE$135),"")</f>
        <v/>
      </c>
      <c r="BF135" t="str">
        <f ca="1">IFERROR(IF(0=LEN(ReferenceData!$BF$135),"",ReferenceData!$BF$135),"")</f>
        <v/>
      </c>
      <c r="BG135" t="str">
        <f ca="1">IFERROR(IF(0=LEN(ReferenceData!$BG$135),"",ReferenceData!$BG$135),"")</f>
        <v/>
      </c>
      <c r="BH135" t="str">
        <f ca="1">IFERROR(IF(0=LEN(ReferenceData!$BH$135),"",ReferenceData!$BH$135),"")</f>
        <v/>
      </c>
      <c r="BI135" t="str">
        <f ca="1">IFERROR(IF(0=LEN(ReferenceData!$BI$135),"",ReferenceData!$BI$135),"")</f>
        <v/>
      </c>
      <c r="BJ135" t="str">
        <f ca="1">IFERROR(IF(0=LEN(ReferenceData!$BJ$135),"",ReferenceData!$BJ$135),"")</f>
        <v/>
      </c>
      <c r="BK135" t="str">
        <f ca="1">IFERROR(IF(0=LEN(ReferenceData!$BK$135),"",ReferenceData!$BK$135),"")</f>
        <v/>
      </c>
      <c r="BL135" t="str">
        <f ca="1">IFERROR(IF(0=LEN(ReferenceData!$BL$135),"",ReferenceData!$BL$135),"")</f>
        <v/>
      </c>
      <c r="BM135" t="str">
        <f ca="1">IFERROR(IF(0=LEN(ReferenceData!$BM$135),"",ReferenceData!$BM$135),"")</f>
        <v/>
      </c>
    </row>
    <row r="136" spans="1:65">
      <c r="A136" t="str">
        <f>IFERROR(IF(0=LEN(ReferenceData!$A$136),"",ReferenceData!$A$136),"")</f>
        <v xml:space="preserve">    Alexandria Real Estate Equitie</v>
      </c>
      <c r="B136" t="str">
        <f>IFERROR(IF(0=LEN(ReferenceData!$B$136),"",ReferenceData!$B$136),"")</f>
        <v>ARE US Equity</v>
      </c>
      <c r="C136" t="str">
        <f>IFERROR(IF(0=LEN(ReferenceData!$C$136),"",ReferenceData!$C$136),"")</f>
        <v>BE592</v>
      </c>
      <c r="D136" t="str">
        <f>IFERROR(IF(0=LEN(ReferenceData!$D$136),"",ReferenceData!$D$136),"")</f>
        <v>BEST_FFOPS_YOY_GTH</v>
      </c>
      <c r="E136" t="str">
        <f>IFERROR(IF(0=LEN(ReferenceData!$E$136),"",ReferenceData!$E$136),"")</f>
        <v>动态</v>
      </c>
      <c r="F136" t="str">
        <f ca="1">IFERROR(IF(0=LEN(ReferenceData!$F$136),"",ReferenceData!$F$136),"")</f>
        <v/>
      </c>
      <c r="G136" t="str">
        <f ca="1">IFERROR(IF(0=LEN(ReferenceData!$G$136),"",ReferenceData!$G$136),"")</f>
        <v/>
      </c>
      <c r="H136" t="str">
        <f ca="1">IFERROR(IF(0=LEN(ReferenceData!$H$136),"",ReferenceData!$H$136),"")</f>
        <v/>
      </c>
      <c r="I136" t="str">
        <f ca="1">IFERROR(IF(0=LEN(ReferenceData!$I$136),"",ReferenceData!$I$136),"")</f>
        <v/>
      </c>
      <c r="J136" t="str">
        <f ca="1">IFERROR(IF(0=LEN(ReferenceData!$J$136),"",ReferenceData!$J$136),"")</f>
        <v/>
      </c>
      <c r="K136" t="str">
        <f ca="1">IFERROR(IF(0=LEN(ReferenceData!$K$136),"",ReferenceData!$K$136),"")</f>
        <v/>
      </c>
      <c r="L136" t="str">
        <f ca="1">IFERROR(IF(0=LEN(ReferenceData!$L$136),"",ReferenceData!$L$136),"")</f>
        <v/>
      </c>
      <c r="M136" t="str">
        <f ca="1">IFERROR(IF(0=LEN(ReferenceData!$M$136),"",ReferenceData!$M$136),"")</f>
        <v/>
      </c>
      <c r="N136" t="str">
        <f ca="1">IFERROR(IF(0=LEN(ReferenceData!$N$136),"",ReferenceData!$N$136),"")</f>
        <v/>
      </c>
      <c r="O136" t="str">
        <f ca="1">IFERROR(IF(0=LEN(ReferenceData!$O$136),"",ReferenceData!$O$136),"")</f>
        <v/>
      </c>
      <c r="P136" t="str">
        <f ca="1">IFERROR(IF(0=LEN(ReferenceData!$P$136),"",ReferenceData!$P$136),"")</f>
        <v/>
      </c>
      <c r="Q136" t="str">
        <f ca="1">IFERROR(IF(0=LEN(ReferenceData!$Q$136),"",ReferenceData!$Q$136),"")</f>
        <v/>
      </c>
      <c r="R136" t="str">
        <f ca="1">IFERROR(IF(0=LEN(ReferenceData!$R$136),"",ReferenceData!$R$136),"")</f>
        <v/>
      </c>
      <c r="S136" t="str">
        <f ca="1">IFERROR(IF(0=LEN(ReferenceData!$S$136),"",ReferenceData!$S$136),"")</f>
        <v/>
      </c>
      <c r="T136" t="str">
        <f ca="1">IFERROR(IF(0=LEN(ReferenceData!$T$136),"",ReferenceData!$T$136),"")</f>
        <v/>
      </c>
      <c r="U136" t="str">
        <f ca="1">IFERROR(IF(0=LEN(ReferenceData!$U$136),"",ReferenceData!$U$136),"")</f>
        <v/>
      </c>
      <c r="V136" t="str">
        <f ca="1">IFERROR(IF(0=LEN(ReferenceData!$V$136),"",ReferenceData!$V$136),"")</f>
        <v/>
      </c>
      <c r="W136" t="str">
        <f ca="1">IFERROR(IF(0=LEN(ReferenceData!$W$136),"",ReferenceData!$W$136),"")</f>
        <v/>
      </c>
      <c r="X136" t="str">
        <f ca="1">IFERROR(IF(0=LEN(ReferenceData!$X$136),"",ReferenceData!$X$136),"")</f>
        <v/>
      </c>
      <c r="Y136" t="str">
        <f ca="1">IFERROR(IF(0=LEN(ReferenceData!$Y$136),"",ReferenceData!$Y$136),"")</f>
        <v/>
      </c>
      <c r="Z136" t="str">
        <f ca="1">IFERROR(IF(0=LEN(ReferenceData!$Z$136),"",ReferenceData!$Z$136),"")</f>
        <v/>
      </c>
      <c r="AA136" t="str">
        <f ca="1">IFERROR(IF(0=LEN(ReferenceData!$AA$136),"",ReferenceData!$AA$136),"")</f>
        <v/>
      </c>
      <c r="AB136" t="str">
        <f ca="1">IFERROR(IF(0=LEN(ReferenceData!$AB$136),"",ReferenceData!$AB$136),"")</f>
        <v/>
      </c>
      <c r="AC136" t="str">
        <f ca="1">IFERROR(IF(0=LEN(ReferenceData!$AC$136),"",ReferenceData!$AC$136),"")</f>
        <v/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  <c r="AM136" t="str">
        <f ca="1">IFERROR(IF(0=LEN(ReferenceData!$AM$136),"",ReferenceData!$AM$136),"")</f>
        <v/>
      </c>
      <c r="AN136" t="str">
        <f ca="1">IFERROR(IF(0=LEN(ReferenceData!$AN$136),"",ReferenceData!$AN$136),"")</f>
        <v/>
      </c>
      <c r="AO136" t="str">
        <f ca="1">IFERROR(IF(0=LEN(ReferenceData!$AO$136),"",ReferenceData!$AO$136),"")</f>
        <v/>
      </c>
      <c r="AP136" t="str">
        <f ca="1">IFERROR(IF(0=LEN(ReferenceData!$AP$136),"",ReferenceData!$AP$136),"")</f>
        <v/>
      </c>
      <c r="AQ136" t="str">
        <f ca="1">IFERROR(IF(0=LEN(ReferenceData!$AQ$136),"",ReferenceData!$AQ$136),"")</f>
        <v/>
      </c>
      <c r="AR136" t="str">
        <f ca="1">IFERROR(IF(0=LEN(ReferenceData!$AR$136),"",ReferenceData!$AR$136),"")</f>
        <v/>
      </c>
      <c r="AS136" t="str">
        <f ca="1">IFERROR(IF(0=LEN(ReferenceData!$AS$136),"",ReferenceData!$AS$136),"")</f>
        <v/>
      </c>
      <c r="AT136" t="str">
        <f ca="1">IFERROR(IF(0=LEN(ReferenceData!$AT$136),"",ReferenceData!$AT$136),"")</f>
        <v/>
      </c>
      <c r="AU136" t="str">
        <f ca="1">IFERROR(IF(0=LEN(ReferenceData!$AU$136),"",ReferenceData!$AU$136),"")</f>
        <v/>
      </c>
      <c r="AV136" t="str">
        <f ca="1">IFERROR(IF(0=LEN(ReferenceData!$AV$136),"",ReferenceData!$AV$136),"")</f>
        <v/>
      </c>
      <c r="AW136" t="str">
        <f ca="1">IFERROR(IF(0=LEN(ReferenceData!$AW$136),"",ReferenceData!$AW$136),"")</f>
        <v/>
      </c>
      <c r="AX136" t="str">
        <f ca="1">IFERROR(IF(0=LEN(ReferenceData!$AX$136),"",ReferenceData!$AX$136),"")</f>
        <v/>
      </c>
      <c r="AY136" t="str">
        <f ca="1">IFERROR(IF(0=LEN(ReferenceData!$AY$136),"",ReferenceData!$AY$136),"")</f>
        <v/>
      </c>
      <c r="AZ136" t="str">
        <f ca="1">IFERROR(IF(0=LEN(ReferenceData!$AZ$136),"",ReferenceData!$AZ$136),"")</f>
        <v/>
      </c>
      <c r="BA136" t="str">
        <f ca="1">IFERROR(IF(0=LEN(ReferenceData!$BA$136),"",ReferenceData!$BA$136),"")</f>
        <v/>
      </c>
      <c r="BB136" t="str">
        <f ca="1">IFERROR(IF(0=LEN(ReferenceData!$BB$136),"",ReferenceData!$BB$136),"")</f>
        <v/>
      </c>
      <c r="BC136" t="str">
        <f ca="1">IFERROR(IF(0=LEN(ReferenceData!$BC$136),"",ReferenceData!$BC$136),"")</f>
        <v/>
      </c>
      <c r="BD136" t="str">
        <f ca="1">IFERROR(IF(0=LEN(ReferenceData!$BD$136),"",ReferenceData!$BD$136),"")</f>
        <v/>
      </c>
      <c r="BE136" t="str">
        <f ca="1">IFERROR(IF(0=LEN(ReferenceData!$BE$136),"",ReferenceData!$BE$136),"")</f>
        <v/>
      </c>
      <c r="BF136" t="str">
        <f ca="1">IFERROR(IF(0=LEN(ReferenceData!$BF$136),"",ReferenceData!$BF$136),"")</f>
        <v/>
      </c>
      <c r="BG136" t="str">
        <f ca="1">IFERROR(IF(0=LEN(ReferenceData!$BG$136),"",ReferenceData!$BG$136),"")</f>
        <v/>
      </c>
      <c r="BH136" t="str">
        <f ca="1">IFERROR(IF(0=LEN(ReferenceData!$BH$136),"",ReferenceData!$BH$136),"")</f>
        <v/>
      </c>
      <c r="BI136" t="str">
        <f ca="1">IFERROR(IF(0=LEN(ReferenceData!$BI$136),"",ReferenceData!$BI$136),"")</f>
        <v/>
      </c>
      <c r="BJ136" t="str">
        <f ca="1">IFERROR(IF(0=LEN(ReferenceData!$BJ$136),"",ReferenceData!$BJ$136),"")</f>
        <v/>
      </c>
      <c r="BK136" t="str">
        <f ca="1">IFERROR(IF(0=LEN(ReferenceData!$BK$136),"",ReferenceData!$BK$136),"")</f>
        <v/>
      </c>
      <c r="BL136" t="str">
        <f ca="1">IFERROR(IF(0=LEN(ReferenceData!$BL$136),"",ReferenceData!$BL$136),"")</f>
        <v/>
      </c>
      <c r="BM136" t="str">
        <f ca="1">IFERROR(IF(0=LEN(ReferenceData!$BM$136),"",ReferenceData!$BM$136),"")</f>
        <v/>
      </c>
    </row>
    <row r="137" spans="1:65">
      <c r="A137" t="str">
        <f>IFERROR(IF(0=LEN(ReferenceData!$A$137),"",ReferenceData!$A$137),"")</f>
        <v xml:space="preserve">    Care Capital Properties Inc</v>
      </c>
      <c r="B137" t="str">
        <f>IFERROR(IF(0=LEN(ReferenceData!$B$137),"",ReferenceData!$B$137),"")</f>
        <v>CCP US Equity</v>
      </c>
      <c r="C137" t="str">
        <f>IFERROR(IF(0=LEN(ReferenceData!$C$137),"",ReferenceData!$C$137),"")</f>
        <v>BE592</v>
      </c>
      <c r="D137" t="str">
        <f>IFERROR(IF(0=LEN(ReferenceData!$D$137),"",ReferenceData!$D$137),"")</f>
        <v>BEST_FFOPS_YOY_GTH</v>
      </c>
      <c r="E137" t="str">
        <f>IFERROR(IF(0=LEN(ReferenceData!$E$137),"",ReferenceData!$E$137),"")</f>
        <v>动态</v>
      </c>
      <c r="F137" t="str">
        <f ca="1">IFERROR(IF(0=LEN(ReferenceData!$F$137),"",ReferenceData!$F$137),"")</f>
        <v/>
      </c>
      <c r="G137" t="str">
        <f ca="1">IFERROR(IF(0=LEN(ReferenceData!$G$137),"",ReferenceData!$G$137),"")</f>
        <v/>
      </c>
      <c r="H137" t="str">
        <f ca="1">IFERROR(IF(0=LEN(ReferenceData!$H$137),"",ReferenceData!$H$137),"")</f>
        <v/>
      </c>
      <c r="I137" t="str">
        <f ca="1">IFERROR(IF(0=LEN(ReferenceData!$I$137),"",ReferenceData!$I$137),"")</f>
        <v/>
      </c>
      <c r="J137" t="str">
        <f ca="1">IFERROR(IF(0=LEN(ReferenceData!$J$137),"",ReferenceData!$J$137),"")</f>
        <v/>
      </c>
      <c r="K137" t="str">
        <f ca="1">IFERROR(IF(0=LEN(ReferenceData!$K$137),"",ReferenceData!$K$137),"")</f>
        <v/>
      </c>
      <c r="L137" t="str">
        <f ca="1">IFERROR(IF(0=LEN(ReferenceData!$L$137),"",ReferenceData!$L$137),"")</f>
        <v/>
      </c>
      <c r="M137" t="str">
        <f ca="1">IFERROR(IF(0=LEN(ReferenceData!$M$137),"",ReferenceData!$M$137),"")</f>
        <v/>
      </c>
      <c r="N137" t="str">
        <f ca="1">IFERROR(IF(0=LEN(ReferenceData!$N$137),"",ReferenceData!$N$137),"")</f>
        <v/>
      </c>
      <c r="O137" t="str">
        <f ca="1">IFERROR(IF(0=LEN(ReferenceData!$O$137),"",ReferenceData!$O$137),"")</f>
        <v/>
      </c>
      <c r="P137" t="str">
        <f ca="1">IFERROR(IF(0=LEN(ReferenceData!$P$137),"",ReferenceData!$P$137),"")</f>
        <v/>
      </c>
      <c r="Q137" t="str">
        <f ca="1">IFERROR(IF(0=LEN(ReferenceData!$Q$137),"",ReferenceData!$Q$137),"")</f>
        <v/>
      </c>
      <c r="R137" t="str">
        <f ca="1">IFERROR(IF(0=LEN(ReferenceData!$R$137),"",ReferenceData!$R$137),"")</f>
        <v/>
      </c>
      <c r="S137" t="str">
        <f ca="1">IFERROR(IF(0=LEN(ReferenceData!$S$137),"",ReferenceData!$S$137),"")</f>
        <v/>
      </c>
      <c r="T137" t="str">
        <f ca="1">IFERROR(IF(0=LEN(ReferenceData!$T$137),"",ReferenceData!$T$137),"")</f>
        <v/>
      </c>
      <c r="U137" t="str">
        <f ca="1">IFERROR(IF(0=LEN(ReferenceData!$U$137),"",ReferenceData!$U$137),"")</f>
        <v/>
      </c>
      <c r="V137" t="str">
        <f ca="1">IFERROR(IF(0=LEN(ReferenceData!$V$137),"",ReferenceData!$V$137),"")</f>
        <v/>
      </c>
      <c r="W137" t="str">
        <f ca="1">IFERROR(IF(0=LEN(ReferenceData!$W$137),"",ReferenceData!$W$137),"")</f>
        <v/>
      </c>
      <c r="X137" t="str">
        <f ca="1">IFERROR(IF(0=LEN(ReferenceData!$X$137),"",ReferenceData!$X$137),"")</f>
        <v/>
      </c>
      <c r="Y137" t="str">
        <f ca="1">IFERROR(IF(0=LEN(ReferenceData!$Y$137),"",ReferenceData!$Y$137),"")</f>
        <v/>
      </c>
      <c r="Z137" t="str">
        <f ca="1">IFERROR(IF(0=LEN(ReferenceData!$Z$137),"",ReferenceData!$Z$137),"")</f>
        <v/>
      </c>
      <c r="AA137" t="str">
        <f ca="1">IFERROR(IF(0=LEN(ReferenceData!$AA$137),"",ReferenceData!$AA$137),"")</f>
        <v/>
      </c>
      <c r="AB137" t="str">
        <f ca="1">IFERROR(IF(0=LEN(ReferenceData!$AB$137),"",ReferenceData!$AB$137),"")</f>
        <v/>
      </c>
      <c r="AC137" t="str">
        <f ca="1">IFERROR(IF(0=LEN(ReferenceData!$AC$137),"",ReferenceData!$AC$137),"")</f>
        <v/>
      </c>
      <c r="AD137" t="str">
        <f ca="1">IFERROR(IF(0=LEN(ReferenceData!$AD$137),"",ReferenceData!$AD$137),"")</f>
        <v/>
      </c>
      <c r="AE137" t="str">
        <f ca="1">IFERROR(IF(0=LEN(ReferenceData!$AE$137),"",ReferenceData!$AE$137),"")</f>
        <v/>
      </c>
      <c r="AF137" t="str">
        <f ca="1">IFERROR(IF(0=LEN(ReferenceData!$AF$137),"",ReferenceData!$AF$137),"")</f>
        <v/>
      </c>
      <c r="AG137" t="str">
        <f ca="1">IFERROR(IF(0=LEN(ReferenceData!$AG$137),"",ReferenceData!$AG$137),"")</f>
        <v/>
      </c>
      <c r="AH137" t="str">
        <f ca="1">IFERROR(IF(0=LEN(ReferenceData!$AH$137),"",ReferenceData!$AH$137),"")</f>
        <v/>
      </c>
      <c r="AI137" t="str">
        <f ca="1">IFERROR(IF(0=LEN(ReferenceData!$AI$137),"",ReferenceData!$AI$137),"")</f>
        <v/>
      </c>
      <c r="AJ137" t="str">
        <f ca="1">IFERROR(IF(0=LEN(ReferenceData!$AJ$137),"",ReferenceData!$AJ$137),"")</f>
        <v/>
      </c>
      <c r="AK137" t="str">
        <f ca="1">IFERROR(IF(0=LEN(ReferenceData!$AK$137),"",ReferenceData!$AK$137),"")</f>
        <v/>
      </c>
      <c r="AL137" t="str">
        <f ca="1">IFERROR(IF(0=LEN(ReferenceData!$AL$137),"",ReferenceData!$AL$137),"")</f>
        <v/>
      </c>
      <c r="AM137" t="str">
        <f ca="1">IFERROR(IF(0=LEN(ReferenceData!$AM$137),"",ReferenceData!$AM$137),"")</f>
        <v/>
      </c>
      <c r="AN137" t="str">
        <f ca="1">IFERROR(IF(0=LEN(ReferenceData!$AN$137),"",ReferenceData!$AN$137),"")</f>
        <v/>
      </c>
      <c r="AO137" t="str">
        <f ca="1">IFERROR(IF(0=LEN(ReferenceData!$AO$137),"",ReferenceData!$AO$137),"")</f>
        <v/>
      </c>
      <c r="AP137" t="str">
        <f ca="1">IFERROR(IF(0=LEN(ReferenceData!$AP$137),"",ReferenceData!$AP$137),"")</f>
        <v/>
      </c>
      <c r="AQ137" t="str">
        <f ca="1">IFERROR(IF(0=LEN(ReferenceData!$AQ$137),"",ReferenceData!$AQ$137),"")</f>
        <v/>
      </c>
      <c r="AR137" t="str">
        <f ca="1">IFERROR(IF(0=LEN(ReferenceData!$AR$137),"",ReferenceData!$AR$137),"")</f>
        <v/>
      </c>
      <c r="AS137" t="str">
        <f ca="1">IFERROR(IF(0=LEN(ReferenceData!$AS$137),"",ReferenceData!$AS$137),"")</f>
        <v/>
      </c>
      <c r="AT137" t="str">
        <f ca="1">IFERROR(IF(0=LEN(ReferenceData!$AT$137),"",ReferenceData!$AT$137),"")</f>
        <v/>
      </c>
      <c r="AU137" t="str">
        <f ca="1">IFERROR(IF(0=LEN(ReferenceData!$AU$137),"",ReferenceData!$AU$137),"")</f>
        <v/>
      </c>
      <c r="AV137" t="str">
        <f ca="1">IFERROR(IF(0=LEN(ReferenceData!$AV$137),"",ReferenceData!$AV$137),"")</f>
        <v/>
      </c>
      <c r="AW137" t="str">
        <f ca="1">IFERROR(IF(0=LEN(ReferenceData!$AW$137),"",ReferenceData!$AW$137),"")</f>
        <v/>
      </c>
      <c r="AX137" t="str">
        <f ca="1">IFERROR(IF(0=LEN(ReferenceData!$AX$137),"",ReferenceData!$AX$137),"")</f>
        <v/>
      </c>
      <c r="AY137" t="str">
        <f ca="1">IFERROR(IF(0=LEN(ReferenceData!$AY$137),"",ReferenceData!$AY$137),"")</f>
        <v/>
      </c>
      <c r="AZ137" t="str">
        <f ca="1">IFERROR(IF(0=LEN(ReferenceData!$AZ$137),"",ReferenceData!$AZ$137),"")</f>
        <v/>
      </c>
      <c r="BA137" t="str">
        <f ca="1">IFERROR(IF(0=LEN(ReferenceData!$BA$137),"",ReferenceData!$BA$137),"")</f>
        <v/>
      </c>
      <c r="BB137" t="str">
        <f ca="1">IFERROR(IF(0=LEN(ReferenceData!$BB$137),"",ReferenceData!$BB$137),"")</f>
        <v/>
      </c>
      <c r="BC137" t="str">
        <f ca="1">IFERROR(IF(0=LEN(ReferenceData!$BC$137),"",ReferenceData!$BC$137),"")</f>
        <v/>
      </c>
      <c r="BD137" t="str">
        <f ca="1">IFERROR(IF(0=LEN(ReferenceData!$BD$137),"",ReferenceData!$BD$137),"")</f>
        <v/>
      </c>
      <c r="BE137" t="str">
        <f ca="1">IFERROR(IF(0=LEN(ReferenceData!$BE$137),"",ReferenceData!$BE$137),"")</f>
        <v/>
      </c>
      <c r="BF137" t="str">
        <f ca="1">IFERROR(IF(0=LEN(ReferenceData!$BF$137),"",ReferenceData!$BF$137),"")</f>
        <v/>
      </c>
      <c r="BG137" t="str">
        <f ca="1">IFERROR(IF(0=LEN(ReferenceData!$BG$137),"",ReferenceData!$BG$137),"")</f>
        <v/>
      </c>
      <c r="BH137" t="str">
        <f ca="1">IFERROR(IF(0=LEN(ReferenceData!$BH$137),"",ReferenceData!$BH$137),"")</f>
        <v/>
      </c>
      <c r="BI137" t="str">
        <f ca="1">IFERROR(IF(0=LEN(ReferenceData!$BI$137),"",ReferenceData!$BI$137),"")</f>
        <v/>
      </c>
      <c r="BJ137" t="str">
        <f ca="1">IFERROR(IF(0=LEN(ReferenceData!$BJ$137),"",ReferenceData!$BJ$137),"")</f>
        <v/>
      </c>
      <c r="BK137" t="str">
        <f ca="1">IFERROR(IF(0=LEN(ReferenceData!$BK$137),"",ReferenceData!$BK$137),"")</f>
        <v/>
      </c>
      <c r="BL137" t="str">
        <f ca="1">IFERROR(IF(0=LEN(ReferenceData!$BL$137),"",ReferenceData!$BL$137),"")</f>
        <v/>
      </c>
      <c r="BM137" t="str">
        <f ca="1">IFERROR(IF(0=LEN(ReferenceData!$BM$137),"",ReferenceData!$BM$137),"")</f>
        <v/>
      </c>
    </row>
    <row r="138" spans="1:65">
      <c r="A138" t="str">
        <f>IFERROR(IF(0=LEN(ReferenceData!$A$138),"",ReferenceData!$A$138),"")</f>
        <v xml:space="preserve">    HCP Inc</v>
      </c>
      <c r="B138" t="str">
        <f>IFERROR(IF(0=LEN(ReferenceData!$B$138),"",ReferenceData!$B$138),"")</f>
        <v>HCP US Equity</v>
      </c>
      <c r="C138" t="str">
        <f>IFERROR(IF(0=LEN(ReferenceData!$C$138),"",ReferenceData!$C$138),"")</f>
        <v>BE592</v>
      </c>
      <c r="D138" t="str">
        <f>IFERROR(IF(0=LEN(ReferenceData!$D$138),"",ReferenceData!$D$138),"")</f>
        <v>BEST_FFOPS_YOY_GTH</v>
      </c>
      <c r="E138" t="str">
        <f>IFERROR(IF(0=LEN(ReferenceData!$E$138),"",ReferenceData!$E$138),"")</f>
        <v>动态</v>
      </c>
      <c r="F138" t="str">
        <f ca="1">IFERROR(IF(0=LEN(ReferenceData!$F$138),"",ReferenceData!$F$138),"")</f>
        <v/>
      </c>
      <c r="G138" t="str">
        <f ca="1">IFERROR(IF(0=LEN(ReferenceData!$G$138),"",ReferenceData!$G$138),"")</f>
        <v/>
      </c>
      <c r="H138" t="str">
        <f ca="1">IFERROR(IF(0=LEN(ReferenceData!$H$138),"",ReferenceData!$H$138),"")</f>
        <v/>
      </c>
      <c r="I138" t="str">
        <f ca="1">IFERROR(IF(0=LEN(ReferenceData!$I$138),"",ReferenceData!$I$138),"")</f>
        <v/>
      </c>
      <c r="J138" t="str">
        <f ca="1">IFERROR(IF(0=LEN(ReferenceData!$J$138),"",ReferenceData!$J$138),"")</f>
        <v/>
      </c>
      <c r="K138" t="str">
        <f ca="1">IFERROR(IF(0=LEN(ReferenceData!$K$138),"",ReferenceData!$K$138),"")</f>
        <v/>
      </c>
      <c r="L138" t="str">
        <f ca="1">IFERROR(IF(0=LEN(ReferenceData!$L$138),"",ReferenceData!$L$138),"")</f>
        <v/>
      </c>
      <c r="M138" t="str">
        <f ca="1">IFERROR(IF(0=LEN(ReferenceData!$M$138),"",ReferenceData!$M$138),"")</f>
        <v/>
      </c>
      <c r="N138" t="str">
        <f ca="1">IFERROR(IF(0=LEN(ReferenceData!$N$138),"",ReferenceData!$N$138),"")</f>
        <v/>
      </c>
      <c r="O138" t="str">
        <f ca="1">IFERROR(IF(0=LEN(ReferenceData!$O$138),"",ReferenceData!$O$138),"")</f>
        <v/>
      </c>
      <c r="P138" t="str">
        <f ca="1">IFERROR(IF(0=LEN(ReferenceData!$P$138),"",ReferenceData!$P$138),"")</f>
        <v/>
      </c>
      <c r="Q138" t="str">
        <f ca="1">IFERROR(IF(0=LEN(ReferenceData!$Q$138),"",ReferenceData!$Q$138),"")</f>
        <v/>
      </c>
      <c r="R138" t="str">
        <f ca="1">IFERROR(IF(0=LEN(ReferenceData!$R$138),"",ReferenceData!$R$138),"")</f>
        <v/>
      </c>
      <c r="S138" t="str">
        <f ca="1">IFERROR(IF(0=LEN(ReferenceData!$S$138),"",ReferenceData!$S$138),"")</f>
        <v/>
      </c>
      <c r="T138" t="str">
        <f ca="1">IFERROR(IF(0=LEN(ReferenceData!$T$138),"",ReferenceData!$T$138),"")</f>
        <v/>
      </c>
      <c r="U138" t="str">
        <f ca="1">IFERROR(IF(0=LEN(ReferenceData!$U$138),"",ReferenceData!$U$138),"")</f>
        <v/>
      </c>
      <c r="V138" t="str">
        <f ca="1">IFERROR(IF(0=LEN(ReferenceData!$V$138),"",ReferenceData!$V$138),"")</f>
        <v/>
      </c>
      <c r="W138" t="str">
        <f ca="1">IFERROR(IF(0=LEN(ReferenceData!$W$138),"",ReferenceData!$W$138),"")</f>
        <v/>
      </c>
      <c r="X138" t="str">
        <f ca="1">IFERROR(IF(0=LEN(ReferenceData!$X$138),"",ReferenceData!$X$138),"")</f>
        <v/>
      </c>
      <c r="Y138" t="str">
        <f ca="1">IFERROR(IF(0=LEN(ReferenceData!$Y$138),"",ReferenceData!$Y$138),"")</f>
        <v/>
      </c>
      <c r="Z138" t="str">
        <f ca="1">IFERROR(IF(0=LEN(ReferenceData!$Z$138),"",ReferenceData!$Z$138),"")</f>
        <v/>
      </c>
      <c r="AA138" t="str">
        <f ca="1">IFERROR(IF(0=LEN(ReferenceData!$AA$138),"",ReferenceData!$AA$138),"")</f>
        <v/>
      </c>
      <c r="AB138" t="str">
        <f ca="1">IFERROR(IF(0=LEN(ReferenceData!$AB$138),"",ReferenceData!$AB$138),"")</f>
        <v/>
      </c>
      <c r="AC138" t="str">
        <f ca="1">IFERROR(IF(0=LEN(ReferenceData!$AC$138),"",ReferenceData!$AC$138),"")</f>
        <v/>
      </c>
      <c r="AD138" t="str">
        <f ca="1">IFERROR(IF(0=LEN(ReferenceData!$AD$138),"",ReferenceData!$AD$138),"")</f>
        <v/>
      </c>
      <c r="AE138" t="str">
        <f ca="1">IFERROR(IF(0=LEN(ReferenceData!$AE$138),"",ReferenceData!$AE$138),"")</f>
        <v/>
      </c>
      <c r="AF138" t="str">
        <f ca="1">IFERROR(IF(0=LEN(ReferenceData!$AF$138),"",ReferenceData!$AF$138),"")</f>
        <v/>
      </c>
      <c r="AG138" t="str">
        <f ca="1">IFERROR(IF(0=LEN(ReferenceData!$AG$138),"",ReferenceData!$AG$138),"")</f>
        <v/>
      </c>
      <c r="AH138" t="str">
        <f ca="1">IFERROR(IF(0=LEN(ReferenceData!$AH$138),"",ReferenceData!$AH$138),"")</f>
        <v/>
      </c>
      <c r="AI138" t="str">
        <f ca="1">IFERROR(IF(0=LEN(ReferenceData!$AI$138),"",ReferenceData!$AI$138),"")</f>
        <v/>
      </c>
      <c r="AJ138" t="str">
        <f ca="1">IFERROR(IF(0=LEN(ReferenceData!$AJ$138),"",ReferenceData!$AJ$138),"")</f>
        <v/>
      </c>
      <c r="AK138" t="str">
        <f ca="1">IFERROR(IF(0=LEN(ReferenceData!$AK$138),"",ReferenceData!$AK$138),"")</f>
        <v/>
      </c>
      <c r="AL138" t="str">
        <f ca="1">IFERROR(IF(0=LEN(ReferenceData!$AL$138),"",ReferenceData!$AL$138),"")</f>
        <v/>
      </c>
      <c r="AM138" t="str">
        <f ca="1">IFERROR(IF(0=LEN(ReferenceData!$AM$138),"",ReferenceData!$AM$138),"")</f>
        <v/>
      </c>
      <c r="AN138" t="str">
        <f ca="1">IFERROR(IF(0=LEN(ReferenceData!$AN$138),"",ReferenceData!$AN$138),"")</f>
        <v/>
      </c>
      <c r="AO138" t="str">
        <f ca="1">IFERROR(IF(0=LEN(ReferenceData!$AO$138),"",ReferenceData!$AO$138),"")</f>
        <v/>
      </c>
      <c r="AP138" t="str">
        <f ca="1">IFERROR(IF(0=LEN(ReferenceData!$AP$138),"",ReferenceData!$AP$138),"")</f>
        <v/>
      </c>
      <c r="AQ138" t="str">
        <f ca="1">IFERROR(IF(0=LEN(ReferenceData!$AQ$138),"",ReferenceData!$AQ$138),"")</f>
        <v/>
      </c>
      <c r="AR138" t="str">
        <f ca="1">IFERROR(IF(0=LEN(ReferenceData!$AR$138),"",ReferenceData!$AR$138),"")</f>
        <v/>
      </c>
      <c r="AS138" t="str">
        <f ca="1">IFERROR(IF(0=LEN(ReferenceData!$AS$138),"",ReferenceData!$AS$138),"")</f>
        <v/>
      </c>
      <c r="AT138" t="str">
        <f ca="1">IFERROR(IF(0=LEN(ReferenceData!$AT$138),"",ReferenceData!$AT$138),"")</f>
        <v/>
      </c>
      <c r="AU138" t="str">
        <f ca="1">IFERROR(IF(0=LEN(ReferenceData!$AU$138),"",ReferenceData!$AU$138),"")</f>
        <v/>
      </c>
      <c r="AV138" t="str">
        <f ca="1">IFERROR(IF(0=LEN(ReferenceData!$AV$138),"",ReferenceData!$AV$138),"")</f>
        <v/>
      </c>
      <c r="AW138" t="str">
        <f ca="1">IFERROR(IF(0=LEN(ReferenceData!$AW$138),"",ReferenceData!$AW$138),"")</f>
        <v/>
      </c>
      <c r="AX138" t="str">
        <f ca="1">IFERROR(IF(0=LEN(ReferenceData!$AX$138),"",ReferenceData!$AX$138),"")</f>
        <v/>
      </c>
      <c r="AY138" t="str">
        <f ca="1">IFERROR(IF(0=LEN(ReferenceData!$AY$138),"",ReferenceData!$AY$138),"")</f>
        <v/>
      </c>
      <c r="AZ138" t="str">
        <f ca="1">IFERROR(IF(0=LEN(ReferenceData!$AZ$138),"",ReferenceData!$AZ$138),"")</f>
        <v/>
      </c>
      <c r="BA138" t="str">
        <f ca="1">IFERROR(IF(0=LEN(ReferenceData!$BA$138),"",ReferenceData!$BA$138),"")</f>
        <v/>
      </c>
      <c r="BB138" t="str">
        <f ca="1">IFERROR(IF(0=LEN(ReferenceData!$BB$138),"",ReferenceData!$BB$138),"")</f>
        <v/>
      </c>
      <c r="BC138" t="str">
        <f ca="1">IFERROR(IF(0=LEN(ReferenceData!$BC$138),"",ReferenceData!$BC$138),"")</f>
        <v/>
      </c>
      <c r="BD138" t="str">
        <f ca="1">IFERROR(IF(0=LEN(ReferenceData!$BD$138),"",ReferenceData!$BD$138),"")</f>
        <v/>
      </c>
      <c r="BE138" t="str">
        <f ca="1">IFERROR(IF(0=LEN(ReferenceData!$BE$138),"",ReferenceData!$BE$138),"")</f>
        <v/>
      </c>
      <c r="BF138" t="str">
        <f ca="1">IFERROR(IF(0=LEN(ReferenceData!$BF$138),"",ReferenceData!$BF$138),"")</f>
        <v/>
      </c>
      <c r="BG138" t="str">
        <f ca="1">IFERROR(IF(0=LEN(ReferenceData!$BG$138),"",ReferenceData!$BG$138),"")</f>
        <v/>
      </c>
      <c r="BH138" t="str">
        <f ca="1">IFERROR(IF(0=LEN(ReferenceData!$BH$138),"",ReferenceData!$BH$138),"")</f>
        <v/>
      </c>
      <c r="BI138" t="str">
        <f ca="1">IFERROR(IF(0=LEN(ReferenceData!$BI$138),"",ReferenceData!$BI$138),"")</f>
        <v/>
      </c>
      <c r="BJ138" t="str">
        <f ca="1">IFERROR(IF(0=LEN(ReferenceData!$BJ$138),"",ReferenceData!$BJ$138),"")</f>
        <v/>
      </c>
      <c r="BK138" t="str">
        <f ca="1">IFERROR(IF(0=LEN(ReferenceData!$BK$138),"",ReferenceData!$BK$138),"")</f>
        <v/>
      </c>
      <c r="BL138" t="str">
        <f ca="1">IFERROR(IF(0=LEN(ReferenceData!$BL$138),"",ReferenceData!$BL$138),"")</f>
        <v/>
      </c>
      <c r="BM138" t="str">
        <f ca="1">IFERROR(IF(0=LEN(ReferenceData!$BM$138),"",ReferenceData!$BM$138),"")</f>
        <v/>
      </c>
    </row>
    <row r="139" spans="1:65">
      <c r="A139" t="str">
        <f>IFERROR(IF(0=LEN(ReferenceData!$A$139),"",ReferenceData!$A$139),"")</f>
        <v xml:space="preserve">    Healthcare Realty Trust Inc</v>
      </c>
      <c r="B139" t="str">
        <f>IFERROR(IF(0=LEN(ReferenceData!$B$139),"",ReferenceData!$B$139),"")</f>
        <v>HR US Equity</v>
      </c>
      <c r="C139" t="str">
        <f>IFERROR(IF(0=LEN(ReferenceData!$C$139),"",ReferenceData!$C$139),"")</f>
        <v>BE592</v>
      </c>
      <c r="D139" t="str">
        <f>IFERROR(IF(0=LEN(ReferenceData!$D$139),"",ReferenceData!$D$139),"")</f>
        <v>BEST_FFOPS_YOY_GTH</v>
      </c>
      <c r="E139" t="str">
        <f>IFERROR(IF(0=LEN(ReferenceData!$E$139),"",ReferenceData!$E$139),"")</f>
        <v>动态</v>
      </c>
      <c r="F139" t="str">
        <f ca="1">IFERROR(IF(0=LEN(ReferenceData!$F$139),"",ReferenceData!$F$139),"")</f>
        <v/>
      </c>
      <c r="G139" t="str">
        <f ca="1">IFERROR(IF(0=LEN(ReferenceData!$G$139),"",ReferenceData!$G$139),"")</f>
        <v/>
      </c>
      <c r="H139" t="str">
        <f ca="1">IFERROR(IF(0=LEN(ReferenceData!$H$139),"",ReferenceData!$H$139),"")</f>
        <v/>
      </c>
      <c r="I139" t="str">
        <f ca="1">IFERROR(IF(0=LEN(ReferenceData!$I$139),"",ReferenceData!$I$139),"")</f>
        <v/>
      </c>
      <c r="J139" t="str">
        <f ca="1">IFERROR(IF(0=LEN(ReferenceData!$J$139),"",ReferenceData!$J$139),"")</f>
        <v/>
      </c>
      <c r="K139" t="str">
        <f ca="1">IFERROR(IF(0=LEN(ReferenceData!$K$139),"",ReferenceData!$K$139),"")</f>
        <v/>
      </c>
      <c r="L139" t="str">
        <f ca="1">IFERROR(IF(0=LEN(ReferenceData!$L$139),"",ReferenceData!$L$139),"")</f>
        <v/>
      </c>
      <c r="M139" t="str">
        <f ca="1">IFERROR(IF(0=LEN(ReferenceData!$M$139),"",ReferenceData!$M$139),"")</f>
        <v/>
      </c>
      <c r="N139" t="str">
        <f ca="1">IFERROR(IF(0=LEN(ReferenceData!$N$139),"",ReferenceData!$N$139),"")</f>
        <v/>
      </c>
      <c r="O139" t="str">
        <f ca="1">IFERROR(IF(0=LEN(ReferenceData!$O$139),"",ReferenceData!$O$139),"")</f>
        <v/>
      </c>
      <c r="P139" t="str">
        <f ca="1">IFERROR(IF(0=LEN(ReferenceData!$P$139),"",ReferenceData!$P$139),"")</f>
        <v/>
      </c>
      <c r="Q139" t="str">
        <f ca="1">IFERROR(IF(0=LEN(ReferenceData!$Q$139),"",ReferenceData!$Q$139),"")</f>
        <v/>
      </c>
      <c r="R139" t="str">
        <f ca="1">IFERROR(IF(0=LEN(ReferenceData!$R$139),"",ReferenceData!$R$139),"")</f>
        <v/>
      </c>
      <c r="S139" t="str">
        <f ca="1">IFERROR(IF(0=LEN(ReferenceData!$S$139),"",ReferenceData!$S$139),"")</f>
        <v/>
      </c>
      <c r="T139" t="str">
        <f ca="1">IFERROR(IF(0=LEN(ReferenceData!$T$139),"",ReferenceData!$T$139),"")</f>
        <v/>
      </c>
      <c r="U139" t="str">
        <f ca="1">IFERROR(IF(0=LEN(ReferenceData!$U$139),"",ReferenceData!$U$139),"")</f>
        <v/>
      </c>
      <c r="V139" t="str">
        <f ca="1">IFERROR(IF(0=LEN(ReferenceData!$V$139),"",ReferenceData!$V$139),"")</f>
        <v/>
      </c>
      <c r="W139" t="str">
        <f ca="1">IFERROR(IF(0=LEN(ReferenceData!$W$139),"",ReferenceData!$W$139),"")</f>
        <v/>
      </c>
      <c r="X139" t="str">
        <f ca="1">IFERROR(IF(0=LEN(ReferenceData!$X$139),"",ReferenceData!$X$139),"")</f>
        <v/>
      </c>
      <c r="Y139" t="str">
        <f ca="1">IFERROR(IF(0=LEN(ReferenceData!$Y$139),"",ReferenceData!$Y$139),"")</f>
        <v/>
      </c>
      <c r="Z139" t="str">
        <f ca="1">IFERROR(IF(0=LEN(ReferenceData!$Z$139),"",ReferenceData!$Z$139),"")</f>
        <v/>
      </c>
      <c r="AA139" t="str">
        <f ca="1">IFERROR(IF(0=LEN(ReferenceData!$AA$139),"",ReferenceData!$AA$139),"")</f>
        <v/>
      </c>
      <c r="AB139" t="str">
        <f ca="1">IFERROR(IF(0=LEN(ReferenceData!$AB$139),"",ReferenceData!$AB$139),"")</f>
        <v/>
      </c>
      <c r="AC139" t="str">
        <f ca="1">IFERROR(IF(0=LEN(ReferenceData!$AC$139),"",ReferenceData!$AC$139),"")</f>
        <v/>
      </c>
      <c r="AD139" t="str">
        <f ca="1">IFERROR(IF(0=LEN(ReferenceData!$AD$139),"",ReferenceData!$AD$139),"")</f>
        <v/>
      </c>
      <c r="AE139" t="str">
        <f ca="1">IFERROR(IF(0=LEN(ReferenceData!$AE$139),"",ReferenceData!$AE$139),"")</f>
        <v/>
      </c>
      <c r="AF139" t="str">
        <f ca="1">IFERROR(IF(0=LEN(ReferenceData!$AF$139),"",ReferenceData!$AF$139),"")</f>
        <v/>
      </c>
      <c r="AG139" t="str">
        <f ca="1">IFERROR(IF(0=LEN(ReferenceData!$AG$139),"",ReferenceData!$AG$139),"")</f>
        <v/>
      </c>
      <c r="AH139" t="str">
        <f ca="1">IFERROR(IF(0=LEN(ReferenceData!$AH$139),"",ReferenceData!$AH$139),"")</f>
        <v/>
      </c>
      <c r="AI139" t="str">
        <f ca="1">IFERROR(IF(0=LEN(ReferenceData!$AI$139),"",ReferenceData!$AI$139),"")</f>
        <v/>
      </c>
      <c r="AJ139" t="str">
        <f ca="1">IFERROR(IF(0=LEN(ReferenceData!$AJ$139),"",ReferenceData!$AJ$139),"")</f>
        <v/>
      </c>
      <c r="AK139" t="str">
        <f ca="1">IFERROR(IF(0=LEN(ReferenceData!$AK$139),"",ReferenceData!$AK$139),"")</f>
        <v/>
      </c>
      <c r="AL139" t="str">
        <f ca="1">IFERROR(IF(0=LEN(ReferenceData!$AL$139),"",ReferenceData!$AL$139),"")</f>
        <v/>
      </c>
      <c r="AM139" t="str">
        <f ca="1">IFERROR(IF(0=LEN(ReferenceData!$AM$139),"",ReferenceData!$AM$139),"")</f>
        <v/>
      </c>
      <c r="AN139" t="str">
        <f ca="1">IFERROR(IF(0=LEN(ReferenceData!$AN$139),"",ReferenceData!$AN$139),"")</f>
        <v/>
      </c>
      <c r="AO139" t="str">
        <f ca="1">IFERROR(IF(0=LEN(ReferenceData!$AO$139),"",ReferenceData!$AO$139),"")</f>
        <v/>
      </c>
      <c r="AP139" t="str">
        <f ca="1">IFERROR(IF(0=LEN(ReferenceData!$AP$139),"",ReferenceData!$AP$139),"")</f>
        <v/>
      </c>
      <c r="AQ139" t="str">
        <f ca="1">IFERROR(IF(0=LEN(ReferenceData!$AQ$139),"",ReferenceData!$AQ$139),"")</f>
        <v/>
      </c>
      <c r="AR139" t="str">
        <f ca="1">IFERROR(IF(0=LEN(ReferenceData!$AR$139),"",ReferenceData!$AR$139),"")</f>
        <v/>
      </c>
      <c r="AS139" t="str">
        <f ca="1">IFERROR(IF(0=LEN(ReferenceData!$AS$139),"",ReferenceData!$AS$139),"")</f>
        <v/>
      </c>
      <c r="AT139" t="str">
        <f ca="1">IFERROR(IF(0=LEN(ReferenceData!$AT$139),"",ReferenceData!$AT$139),"")</f>
        <v/>
      </c>
      <c r="AU139" t="str">
        <f ca="1">IFERROR(IF(0=LEN(ReferenceData!$AU$139),"",ReferenceData!$AU$139),"")</f>
        <v/>
      </c>
      <c r="AV139" t="str">
        <f ca="1">IFERROR(IF(0=LEN(ReferenceData!$AV$139),"",ReferenceData!$AV$139),"")</f>
        <v/>
      </c>
      <c r="AW139" t="str">
        <f ca="1">IFERROR(IF(0=LEN(ReferenceData!$AW$139),"",ReferenceData!$AW$139),"")</f>
        <v/>
      </c>
      <c r="AX139" t="str">
        <f ca="1">IFERROR(IF(0=LEN(ReferenceData!$AX$139),"",ReferenceData!$AX$139),"")</f>
        <v/>
      </c>
      <c r="AY139" t="str">
        <f ca="1">IFERROR(IF(0=LEN(ReferenceData!$AY$139),"",ReferenceData!$AY$139),"")</f>
        <v/>
      </c>
      <c r="AZ139" t="str">
        <f ca="1">IFERROR(IF(0=LEN(ReferenceData!$AZ$139),"",ReferenceData!$AZ$139),"")</f>
        <v/>
      </c>
      <c r="BA139" t="str">
        <f ca="1">IFERROR(IF(0=LEN(ReferenceData!$BA$139),"",ReferenceData!$BA$139),"")</f>
        <v/>
      </c>
      <c r="BB139" t="str">
        <f ca="1">IFERROR(IF(0=LEN(ReferenceData!$BB$139),"",ReferenceData!$BB$139),"")</f>
        <v/>
      </c>
      <c r="BC139" t="str">
        <f ca="1">IFERROR(IF(0=LEN(ReferenceData!$BC$139),"",ReferenceData!$BC$139),"")</f>
        <v/>
      </c>
      <c r="BD139" t="str">
        <f ca="1">IFERROR(IF(0=LEN(ReferenceData!$BD$139),"",ReferenceData!$BD$139),"")</f>
        <v/>
      </c>
      <c r="BE139" t="str">
        <f ca="1">IFERROR(IF(0=LEN(ReferenceData!$BE$139),"",ReferenceData!$BE$139),"")</f>
        <v/>
      </c>
      <c r="BF139" t="str">
        <f ca="1">IFERROR(IF(0=LEN(ReferenceData!$BF$139),"",ReferenceData!$BF$139),"")</f>
        <v/>
      </c>
      <c r="BG139" t="str">
        <f ca="1">IFERROR(IF(0=LEN(ReferenceData!$BG$139),"",ReferenceData!$BG$139),"")</f>
        <v/>
      </c>
      <c r="BH139" t="str">
        <f ca="1">IFERROR(IF(0=LEN(ReferenceData!$BH$139),"",ReferenceData!$BH$139),"")</f>
        <v/>
      </c>
      <c r="BI139" t="str">
        <f ca="1">IFERROR(IF(0=LEN(ReferenceData!$BI$139),"",ReferenceData!$BI$139),"")</f>
        <v/>
      </c>
      <c r="BJ139" t="str">
        <f ca="1">IFERROR(IF(0=LEN(ReferenceData!$BJ$139),"",ReferenceData!$BJ$139),"")</f>
        <v/>
      </c>
      <c r="BK139" t="str">
        <f ca="1">IFERROR(IF(0=LEN(ReferenceData!$BK$139),"",ReferenceData!$BK$139),"")</f>
        <v/>
      </c>
      <c r="BL139" t="str">
        <f ca="1">IFERROR(IF(0=LEN(ReferenceData!$BL$139),"",ReferenceData!$BL$139),"")</f>
        <v/>
      </c>
      <c r="BM139" t="str">
        <f ca="1">IFERROR(IF(0=LEN(ReferenceData!$BM$139),"",ReferenceData!$BM$139),"")</f>
        <v/>
      </c>
    </row>
    <row r="140" spans="1:65">
      <c r="A140" t="str">
        <f>IFERROR(IF(0=LEN(ReferenceData!$A$140),"",ReferenceData!$A$140),"")</f>
        <v xml:space="preserve">    Healthcare Trust of America In</v>
      </c>
      <c r="B140" t="str">
        <f>IFERROR(IF(0=LEN(ReferenceData!$B$140),"",ReferenceData!$B$140),"")</f>
        <v>HTA US Equity</v>
      </c>
      <c r="C140" t="str">
        <f>IFERROR(IF(0=LEN(ReferenceData!$C$140),"",ReferenceData!$C$140),"")</f>
        <v>BE592</v>
      </c>
      <c r="D140" t="str">
        <f>IFERROR(IF(0=LEN(ReferenceData!$D$140),"",ReferenceData!$D$140),"")</f>
        <v>BEST_FFOPS_YOY_GTH</v>
      </c>
      <c r="E140" t="str">
        <f>IFERROR(IF(0=LEN(ReferenceData!$E$140),"",ReferenceData!$E$140),"")</f>
        <v>动态</v>
      </c>
      <c r="F140" t="str">
        <f ca="1">IFERROR(IF(0=LEN(ReferenceData!$F$140),"",ReferenceData!$F$140),"")</f>
        <v/>
      </c>
      <c r="G140" t="str">
        <f ca="1">IFERROR(IF(0=LEN(ReferenceData!$G$140),"",ReferenceData!$G$140),"")</f>
        <v/>
      </c>
      <c r="H140" t="str">
        <f ca="1">IFERROR(IF(0=LEN(ReferenceData!$H$140),"",ReferenceData!$H$140),"")</f>
        <v/>
      </c>
      <c r="I140" t="str">
        <f ca="1">IFERROR(IF(0=LEN(ReferenceData!$I$140),"",ReferenceData!$I$140),"")</f>
        <v/>
      </c>
      <c r="J140" t="str">
        <f ca="1">IFERROR(IF(0=LEN(ReferenceData!$J$140),"",ReferenceData!$J$140),"")</f>
        <v/>
      </c>
      <c r="K140" t="str">
        <f ca="1">IFERROR(IF(0=LEN(ReferenceData!$K$140),"",ReferenceData!$K$140),"")</f>
        <v/>
      </c>
      <c r="L140" t="str">
        <f ca="1">IFERROR(IF(0=LEN(ReferenceData!$L$140),"",ReferenceData!$L$140),"")</f>
        <v/>
      </c>
      <c r="M140" t="str">
        <f ca="1">IFERROR(IF(0=LEN(ReferenceData!$M$140),"",ReferenceData!$M$140),"")</f>
        <v/>
      </c>
      <c r="N140" t="str">
        <f ca="1">IFERROR(IF(0=LEN(ReferenceData!$N$140),"",ReferenceData!$N$140),"")</f>
        <v/>
      </c>
      <c r="O140" t="str">
        <f ca="1">IFERROR(IF(0=LEN(ReferenceData!$O$140),"",ReferenceData!$O$140),"")</f>
        <v/>
      </c>
      <c r="P140" t="str">
        <f ca="1">IFERROR(IF(0=LEN(ReferenceData!$P$140),"",ReferenceData!$P$140),"")</f>
        <v/>
      </c>
      <c r="Q140" t="str">
        <f ca="1">IFERROR(IF(0=LEN(ReferenceData!$Q$140),"",ReferenceData!$Q$140),"")</f>
        <v/>
      </c>
      <c r="R140" t="str">
        <f ca="1">IFERROR(IF(0=LEN(ReferenceData!$R$140),"",ReferenceData!$R$140),"")</f>
        <v/>
      </c>
      <c r="S140" t="str">
        <f ca="1">IFERROR(IF(0=LEN(ReferenceData!$S$140),"",ReferenceData!$S$140),"")</f>
        <v/>
      </c>
      <c r="T140" t="str">
        <f ca="1">IFERROR(IF(0=LEN(ReferenceData!$T$140),"",ReferenceData!$T$140),"")</f>
        <v/>
      </c>
      <c r="U140" t="str">
        <f ca="1">IFERROR(IF(0=LEN(ReferenceData!$U$140),"",ReferenceData!$U$140),"")</f>
        <v/>
      </c>
      <c r="V140" t="str">
        <f ca="1">IFERROR(IF(0=LEN(ReferenceData!$V$140),"",ReferenceData!$V$140),"")</f>
        <v/>
      </c>
      <c r="W140" t="str">
        <f ca="1">IFERROR(IF(0=LEN(ReferenceData!$W$140),"",ReferenceData!$W$140),"")</f>
        <v/>
      </c>
      <c r="X140" t="str">
        <f ca="1">IFERROR(IF(0=LEN(ReferenceData!$X$140),"",ReferenceData!$X$140),"")</f>
        <v/>
      </c>
      <c r="Y140" t="str">
        <f ca="1">IFERROR(IF(0=LEN(ReferenceData!$Y$140),"",ReferenceData!$Y$140),"")</f>
        <v/>
      </c>
      <c r="Z140" t="str">
        <f ca="1">IFERROR(IF(0=LEN(ReferenceData!$Z$140),"",ReferenceData!$Z$140),"")</f>
        <v/>
      </c>
      <c r="AA140" t="str">
        <f ca="1">IFERROR(IF(0=LEN(ReferenceData!$AA$140),"",ReferenceData!$AA$140),"")</f>
        <v/>
      </c>
      <c r="AB140" t="str">
        <f ca="1">IFERROR(IF(0=LEN(ReferenceData!$AB$140),"",ReferenceData!$AB$140),"")</f>
        <v/>
      </c>
      <c r="AC140" t="str">
        <f ca="1">IFERROR(IF(0=LEN(ReferenceData!$AC$140),"",ReferenceData!$AC$140),"")</f>
        <v/>
      </c>
      <c r="AD140" t="str">
        <f ca="1">IFERROR(IF(0=LEN(ReferenceData!$AD$140),"",ReferenceData!$AD$140),"")</f>
        <v/>
      </c>
      <c r="AE140" t="str">
        <f ca="1">IFERROR(IF(0=LEN(ReferenceData!$AE$140),"",ReferenceData!$AE$140),"")</f>
        <v/>
      </c>
      <c r="AF140" t="str">
        <f ca="1">IFERROR(IF(0=LEN(ReferenceData!$AF$140),"",ReferenceData!$AF$140),"")</f>
        <v/>
      </c>
      <c r="AG140" t="str">
        <f ca="1">IFERROR(IF(0=LEN(ReferenceData!$AG$140),"",ReferenceData!$AG$140),"")</f>
        <v/>
      </c>
      <c r="AH140" t="str">
        <f ca="1">IFERROR(IF(0=LEN(ReferenceData!$AH$140),"",ReferenceData!$AH$140),"")</f>
        <v/>
      </c>
      <c r="AI140" t="str">
        <f ca="1">IFERROR(IF(0=LEN(ReferenceData!$AI$140),"",ReferenceData!$AI$140),"")</f>
        <v/>
      </c>
      <c r="AJ140" t="str">
        <f ca="1">IFERROR(IF(0=LEN(ReferenceData!$AJ$140),"",ReferenceData!$AJ$140),"")</f>
        <v/>
      </c>
      <c r="AK140" t="str">
        <f ca="1">IFERROR(IF(0=LEN(ReferenceData!$AK$140),"",ReferenceData!$AK$140),"")</f>
        <v/>
      </c>
      <c r="AL140" t="str">
        <f ca="1">IFERROR(IF(0=LEN(ReferenceData!$AL$140),"",ReferenceData!$AL$140),"")</f>
        <v/>
      </c>
      <c r="AM140" t="str">
        <f ca="1">IFERROR(IF(0=LEN(ReferenceData!$AM$140),"",ReferenceData!$AM$140),"")</f>
        <v/>
      </c>
      <c r="AN140" t="str">
        <f ca="1">IFERROR(IF(0=LEN(ReferenceData!$AN$140),"",ReferenceData!$AN$140),"")</f>
        <v/>
      </c>
      <c r="AO140" t="str">
        <f ca="1">IFERROR(IF(0=LEN(ReferenceData!$AO$140),"",ReferenceData!$AO$140),"")</f>
        <v/>
      </c>
      <c r="AP140" t="str">
        <f ca="1">IFERROR(IF(0=LEN(ReferenceData!$AP$140),"",ReferenceData!$AP$140),"")</f>
        <v/>
      </c>
      <c r="AQ140" t="str">
        <f ca="1">IFERROR(IF(0=LEN(ReferenceData!$AQ$140),"",ReferenceData!$AQ$140),"")</f>
        <v/>
      </c>
      <c r="AR140" t="str">
        <f ca="1">IFERROR(IF(0=LEN(ReferenceData!$AR$140),"",ReferenceData!$AR$140),"")</f>
        <v/>
      </c>
      <c r="AS140" t="str">
        <f ca="1">IFERROR(IF(0=LEN(ReferenceData!$AS$140),"",ReferenceData!$AS$140),"")</f>
        <v/>
      </c>
      <c r="AT140" t="str">
        <f ca="1">IFERROR(IF(0=LEN(ReferenceData!$AT$140),"",ReferenceData!$AT$140),"")</f>
        <v/>
      </c>
      <c r="AU140" t="str">
        <f ca="1">IFERROR(IF(0=LEN(ReferenceData!$AU$140),"",ReferenceData!$AU$140),"")</f>
        <v/>
      </c>
      <c r="AV140" t="str">
        <f ca="1">IFERROR(IF(0=LEN(ReferenceData!$AV$140),"",ReferenceData!$AV$140),"")</f>
        <v/>
      </c>
      <c r="AW140" t="str">
        <f ca="1">IFERROR(IF(0=LEN(ReferenceData!$AW$140),"",ReferenceData!$AW$140),"")</f>
        <v/>
      </c>
      <c r="AX140" t="str">
        <f ca="1">IFERROR(IF(0=LEN(ReferenceData!$AX$140),"",ReferenceData!$AX$140),"")</f>
        <v/>
      </c>
      <c r="AY140" t="str">
        <f ca="1">IFERROR(IF(0=LEN(ReferenceData!$AY$140),"",ReferenceData!$AY$140),"")</f>
        <v/>
      </c>
      <c r="AZ140" t="str">
        <f ca="1">IFERROR(IF(0=LEN(ReferenceData!$AZ$140),"",ReferenceData!$AZ$140),"")</f>
        <v/>
      </c>
      <c r="BA140" t="str">
        <f ca="1">IFERROR(IF(0=LEN(ReferenceData!$BA$140),"",ReferenceData!$BA$140),"")</f>
        <v/>
      </c>
      <c r="BB140" t="str">
        <f ca="1">IFERROR(IF(0=LEN(ReferenceData!$BB$140),"",ReferenceData!$BB$140),"")</f>
        <v/>
      </c>
      <c r="BC140" t="str">
        <f ca="1">IFERROR(IF(0=LEN(ReferenceData!$BC$140),"",ReferenceData!$BC$140),"")</f>
        <v/>
      </c>
      <c r="BD140" t="str">
        <f ca="1">IFERROR(IF(0=LEN(ReferenceData!$BD$140),"",ReferenceData!$BD$140),"")</f>
        <v/>
      </c>
      <c r="BE140" t="str">
        <f ca="1">IFERROR(IF(0=LEN(ReferenceData!$BE$140),"",ReferenceData!$BE$140),"")</f>
        <v/>
      </c>
      <c r="BF140" t="str">
        <f ca="1">IFERROR(IF(0=LEN(ReferenceData!$BF$140),"",ReferenceData!$BF$140),"")</f>
        <v/>
      </c>
      <c r="BG140" t="str">
        <f ca="1">IFERROR(IF(0=LEN(ReferenceData!$BG$140),"",ReferenceData!$BG$140),"")</f>
        <v/>
      </c>
      <c r="BH140" t="str">
        <f ca="1">IFERROR(IF(0=LEN(ReferenceData!$BH$140),"",ReferenceData!$BH$140),"")</f>
        <v/>
      </c>
      <c r="BI140" t="str">
        <f ca="1">IFERROR(IF(0=LEN(ReferenceData!$BI$140),"",ReferenceData!$BI$140),"")</f>
        <v/>
      </c>
      <c r="BJ140" t="str">
        <f ca="1">IFERROR(IF(0=LEN(ReferenceData!$BJ$140),"",ReferenceData!$BJ$140),"")</f>
        <v/>
      </c>
      <c r="BK140" t="str">
        <f ca="1">IFERROR(IF(0=LEN(ReferenceData!$BK$140),"",ReferenceData!$BK$140),"")</f>
        <v/>
      </c>
      <c r="BL140" t="str">
        <f ca="1">IFERROR(IF(0=LEN(ReferenceData!$BL$140),"",ReferenceData!$BL$140),"")</f>
        <v/>
      </c>
      <c r="BM140" t="str">
        <f ca="1">IFERROR(IF(0=LEN(ReferenceData!$BM$140),"",ReferenceData!$BM$140),"")</f>
        <v/>
      </c>
    </row>
    <row r="141" spans="1:65">
      <c r="A141" t="str">
        <f>IFERROR(IF(0=LEN(ReferenceData!$A$141),"",ReferenceData!$A$141),"")</f>
        <v xml:space="preserve">    Medical Properties Trust Inc</v>
      </c>
      <c r="B141" t="str">
        <f>IFERROR(IF(0=LEN(ReferenceData!$B$141),"",ReferenceData!$B$141),"")</f>
        <v>MPW US Equity</v>
      </c>
      <c r="C141" t="str">
        <f>IFERROR(IF(0=LEN(ReferenceData!$C$141),"",ReferenceData!$C$141),"")</f>
        <v>BE592</v>
      </c>
      <c r="D141" t="str">
        <f>IFERROR(IF(0=LEN(ReferenceData!$D$141),"",ReferenceData!$D$141),"")</f>
        <v>BEST_FFOPS_YOY_GTH</v>
      </c>
      <c r="E141" t="str">
        <f>IFERROR(IF(0=LEN(ReferenceData!$E$141),"",ReferenceData!$E$141),"")</f>
        <v>动态</v>
      </c>
      <c r="F141" t="str">
        <f ca="1">IFERROR(IF(0=LEN(ReferenceData!$F$141),"",ReferenceData!$F$141),"")</f>
        <v/>
      </c>
      <c r="G141" t="str">
        <f ca="1">IFERROR(IF(0=LEN(ReferenceData!$G$141),"",ReferenceData!$G$141),"")</f>
        <v/>
      </c>
      <c r="H141" t="str">
        <f ca="1">IFERROR(IF(0=LEN(ReferenceData!$H$141),"",ReferenceData!$H$141),"")</f>
        <v/>
      </c>
      <c r="I141" t="str">
        <f ca="1">IFERROR(IF(0=LEN(ReferenceData!$I$141),"",ReferenceData!$I$141),"")</f>
        <v/>
      </c>
      <c r="J141" t="str">
        <f ca="1">IFERROR(IF(0=LEN(ReferenceData!$J$141),"",ReferenceData!$J$141),"")</f>
        <v/>
      </c>
      <c r="K141" t="str">
        <f ca="1">IFERROR(IF(0=LEN(ReferenceData!$K$141),"",ReferenceData!$K$141),"")</f>
        <v/>
      </c>
      <c r="L141" t="str">
        <f ca="1">IFERROR(IF(0=LEN(ReferenceData!$L$141),"",ReferenceData!$L$141),"")</f>
        <v/>
      </c>
      <c r="M141" t="str">
        <f ca="1">IFERROR(IF(0=LEN(ReferenceData!$M$141),"",ReferenceData!$M$141),"")</f>
        <v/>
      </c>
      <c r="N141" t="str">
        <f ca="1">IFERROR(IF(0=LEN(ReferenceData!$N$141),"",ReferenceData!$N$141),"")</f>
        <v/>
      </c>
      <c r="O141" t="str">
        <f ca="1">IFERROR(IF(0=LEN(ReferenceData!$O$141),"",ReferenceData!$O$141),"")</f>
        <v/>
      </c>
      <c r="P141" t="str">
        <f ca="1">IFERROR(IF(0=LEN(ReferenceData!$P$141),"",ReferenceData!$P$141),"")</f>
        <v/>
      </c>
      <c r="Q141" t="str">
        <f ca="1">IFERROR(IF(0=LEN(ReferenceData!$Q$141),"",ReferenceData!$Q$141),"")</f>
        <v/>
      </c>
      <c r="R141" t="str">
        <f ca="1">IFERROR(IF(0=LEN(ReferenceData!$R$141),"",ReferenceData!$R$141),"")</f>
        <v/>
      </c>
      <c r="S141" t="str">
        <f ca="1">IFERROR(IF(0=LEN(ReferenceData!$S$141),"",ReferenceData!$S$141),"")</f>
        <v/>
      </c>
      <c r="T141" t="str">
        <f ca="1">IFERROR(IF(0=LEN(ReferenceData!$T$141),"",ReferenceData!$T$141),"")</f>
        <v/>
      </c>
      <c r="U141" t="str">
        <f ca="1">IFERROR(IF(0=LEN(ReferenceData!$U$141),"",ReferenceData!$U$141),"")</f>
        <v/>
      </c>
      <c r="V141" t="str">
        <f ca="1">IFERROR(IF(0=LEN(ReferenceData!$V$141),"",ReferenceData!$V$141),"")</f>
        <v/>
      </c>
      <c r="W141" t="str">
        <f ca="1">IFERROR(IF(0=LEN(ReferenceData!$W$141),"",ReferenceData!$W$141),"")</f>
        <v/>
      </c>
      <c r="X141" t="str">
        <f ca="1">IFERROR(IF(0=LEN(ReferenceData!$X$141),"",ReferenceData!$X$141),"")</f>
        <v/>
      </c>
      <c r="Y141" t="str">
        <f ca="1">IFERROR(IF(0=LEN(ReferenceData!$Y$141),"",ReferenceData!$Y$141),"")</f>
        <v/>
      </c>
      <c r="Z141" t="str">
        <f ca="1">IFERROR(IF(0=LEN(ReferenceData!$Z$141),"",ReferenceData!$Z$141),"")</f>
        <v/>
      </c>
      <c r="AA141" t="str">
        <f ca="1">IFERROR(IF(0=LEN(ReferenceData!$AA$141),"",ReferenceData!$AA$141),"")</f>
        <v/>
      </c>
      <c r="AB141" t="str">
        <f ca="1">IFERROR(IF(0=LEN(ReferenceData!$AB$141),"",ReferenceData!$AB$141),"")</f>
        <v/>
      </c>
      <c r="AC141" t="str">
        <f ca="1">IFERROR(IF(0=LEN(ReferenceData!$AC$141),"",ReferenceData!$AC$141),"")</f>
        <v/>
      </c>
      <c r="AD141" t="str">
        <f ca="1">IFERROR(IF(0=LEN(ReferenceData!$AD$141),"",ReferenceData!$AD$141),"")</f>
        <v/>
      </c>
      <c r="AE141" t="str">
        <f ca="1">IFERROR(IF(0=LEN(ReferenceData!$AE$141),"",ReferenceData!$AE$141),"")</f>
        <v/>
      </c>
      <c r="AF141" t="str">
        <f ca="1">IFERROR(IF(0=LEN(ReferenceData!$AF$141),"",ReferenceData!$AF$141),"")</f>
        <v/>
      </c>
      <c r="AG141" t="str">
        <f ca="1">IFERROR(IF(0=LEN(ReferenceData!$AG$141),"",ReferenceData!$AG$141),"")</f>
        <v/>
      </c>
      <c r="AH141" t="str">
        <f ca="1">IFERROR(IF(0=LEN(ReferenceData!$AH$141),"",ReferenceData!$AH$141),"")</f>
        <v/>
      </c>
      <c r="AI141" t="str">
        <f ca="1">IFERROR(IF(0=LEN(ReferenceData!$AI$141),"",ReferenceData!$AI$141),"")</f>
        <v/>
      </c>
      <c r="AJ141" t="str">
        <f ca="1">IFERROR(IF(0=LEN(ReferenceData!$AJ$141),"",ReferenceData!$AJ$141),"")</f>
        <v/>
      </c>
      <c r="AK141" t="str">
        <f ca="1">IFERROR(IF(0=LEN(ReferenceData!$AK$141),"",ReferenceData!$AK$141),"")</f>
        <v/>
      </c>
      <c r="AL141" t="str">
        <f ca="1">IFERROR(IF(0=LEN(ReferenceData!$AL$141),"",ReferenceData!$AL$141),"")</f>
        <v/>
      </c>
      <c r="AM141" t="str">
        <f ca="1">IFERROR(IF(0=LEN(ReferenceData!$AM$141),"",ReferenceData!$AM$141),"")</f>
        <v/>
      </c>
      <c r="AN141" t="str">
        <f ca="1">IFERROR(IF(0=LEN(ReferenceData!$AN$141),"",ReferenceData!$AN$141),"")</f>
        <v/>
      </c>
      <c r="AO141" t="str">
        <f ca="1">IFERROR(IF(0=LEN(ReferenceData!$AO$141),"",ReferenceData!$AO$141),"")</f>
        <v/>
      </c>
      <c r="AP141" t="str">
        <f ca="1">IFERROR(IF(0=LEN(ReferenceData!$AP$141),"",ReferenceData!$AP$141),"")</f>
        <v/>
      </c>
      <c r="AQ141" t="str">
        <f ca="1">IFERROR(IF(0=LEN(ReferenceData!$AQ$141),"",ReferenceData!$AQ$141),"")</f>
        <v/>
      </c>
      <c r="AR141" t="str">
        <f ca="1">IFERROR(IF(0=LEN(ReferenceData!$AR$141),"",ReferenceData!$AR$141),"")</f>
        <v/>
      </c>
      <c r="AS141" t="str">
        <f ca="1">IFERROR(IF(0=LEN(ReferenceData!$AS$141),"",ReferenceData!$AS$141),"")</f>
        <v/>
      </c>
      <c r="AT141" t="str">
        <f ca="1">IFERROR(IF(0=LEN(ReferenceData!$AT$141),"",ReferenceData!$AT$141),"")</f>
        <v/>
      </c>
      <c r="AU141" t="str">
        <f ca="1">IFERROR(IF(0=LEN(ReferenceData!$AU$141),"",ReferenceData!$AU$141),"")</f>
        <v/>
      </c>
      <c r="AV141" t="str">
        <f ca="1">IFERROR(IF(0=LEN(ReferenceData!$AV$141),"",ReferenceData!$AV$141),"")</f>
        <v/>
      </c>
      <c r="AW141" t="str">
        <f ca="1">IFERROR(IF(0=LEN(ReferenceData!$AW$141),"",ReferenceData!$AW$141),"")</f>
        <v/>
      </c>
      <c r="AX141" t="str">
        <f ca="1">IFERROR(IF(0=LEN(ReferenceData!$AX$141),"",ReferenceData!$AX$141),"")</f>
        <v/>
      </c>
      <c r="AY141" t="str">
        <f ca="1">IFERROR(IF(0=LEN(ReferenceData!$AY$141),"",ReferenceData!$AY$141),"")</f>
        <v/>
      </c>
      <c r="AZ141" t="str">
        <f ca="1">IFERROR(IF(0=LEN(ReferenceData!$AZ$141),"",ReferenceData!$AZ$141),"")</f>
        <v/>
      </c>
      <c r="BA141" t="str">
        <f ca="1">IFERROR(IF(0=LEN(ReferenceData!$BA$141),"",ReferenceData!$BA$141),"")</f>
        <v/>
      </c>
      <c r="BB141" t="str">
        <f ca="1">IFERROR(IF(0=LEN(ReferenceData!$BB$141),"",ReferenceData!$BB$141),"")</f>
        <v/>
      </c>
      <c r="BC141" t="str">
        <f ca="1">IFERROR(IF(0=LEN(ReferenceData!$BC$141),"",ReferenceData!$BC$141),"")</f>
        <v/>
      </c>
      <c r="BD141" t="str">
        <f ca="1">IFERROR(IF(0=LEN(ReferenceData!$BD$141),"",ReferenceData!$BD$141),"")</f>
        <v/>
      </c>
      <c r="BE141" t="str">
        <f ca="1">IFERROR(IF(0=LEN(ReferenceData!$BE$141),"",ReferenceData!$BE$141),"")</f>
        <v/>
      </c>
      <c r="BF141" t="str">
        <f ca="1">IFERROR(IF(0=LEN(ReferenceData!$BF$141),"",ReferenceData!$BF$141),"")</f>
        <v/>
      </c>
      <c r="BG141" t="str">
        <f ca="1">IFERROR(IF(0=LEN(ReferenceData!$BG$141),"",ReferenceData!$BG$141),"")</f>
        <v/>
      </c>
      <c r="BH141" t="str">
        <f ca="1">IFERROR(IF(0=LEN(ReferenceData!$BH$141),"",ReferenceData!$BH$141),"")</f>
        <v/>
      </c>
      <c r="BI141" t="str">
        <f ca="1">IFERROR(IF(0=LEN(ReferenceData!$BI$141),"",ReferenceData!$BI$141),"")</f>
        <v/>
      </c>
      <c r="BJ141" t="str">
        <f ca="1">IFERROR(IF(0=LEN(ReferenceData!$BJ$141),"",ReferenceData!$BJ$141),"")</f>
        <v/>
      </c>
      <c r="BK141" t="str">
        <f ca="1">IFERROR(IF(0=LEN(ReferenceData!$BK$141),"",ReferenceData!$BK$141),"")</f>
        <v/>
      </c>
      <c r="BL141" t="str">
        <f ca="1">IFERROR(IF(0=LEN(ReferenceData!$BL$141),"",ReferenceData!$BL$141),"")</f>
        <v/>
      </c>
      <c r="BM141" t="str">
        <f ca="1">IFERROR(IF(0=LEN(ReferenceData!$BM$141),"",ReferenceData!$BM$141),"")</f>
        <v/>
      </c>
    </row>
    <row r="142" spans="1:65">
      <c r="A142" t="str">
        <f>IFERROR(IF(0=LEN(ReferenceData!$A$142),"",ReferenceData!$A$142),"")</f>
        <v xml:space="preserve">    Omega Healthcare Investors Inc</v>
      </c>
      <c r="B142" t="str">
        <f>IFERROR(IF(0=LEN(ReferenceData!$B$142),"",ReferenceData!$B$142),"")</f>
        <v>OHI US Equity</v>
      </c>
      <c r="C142" t="str">
        <f>IFERROR(IF(0=LEN(ReferenceData!$C$142),"",ReferenceData!$C$142),"")</f>
        <v>BE592</v>
      </c>
      <c r="D142" t="str">
        <f>IFERROR(IF(0=LEN(ReferenceData!$D$142),"",ReferenceData!$D$142),"")</f>
        <v>BEST_FFOPS_YOY_GTH</v>
      </c>
      <c r="E142" t="str">
        <f>IFERROR(IF(0=LEN(ReferenceData!$E$142),"",ReferenceData!$E$142),"")</f>
        <v>动态</v>
      </c>
      <c r="F142" t="str">
        <f ca="1">IFERROR(IF(0=LEN(ReferenceData!$F$142),"",ReferenceData!$F$142),"")</f>
        <v/>
      </c>
      <c r="G142" t="str">
        <f ca="1">IFERROR(IF(0=LEN(ReferenceData!$G$142),"",ReferenceData!$G$142),"")</f>
        <v/>
      </c>
      <c r="H142" t="str">
        <f ca="1">IFERROR(IF(0=LEN(ReferenceData!$H$142),"",ReferenceData!$H$142),"")</f>
        <v/>
      </c>
      <c r="I142" t="str">
        <f ca="1">IFERROR(IF(0=LEN(ReferenceData!$I$142),"",ReferenceData!$I$142),"")</f>
        <v/>
      </c>
      <c r="J142" t="str">
        <f ca="1">IFERROR(IF(0=LEN(ReferenceData!$J$142),"",ReferenceData!$J$142),"")</f>
        <v/>
      </c>
      <c r="K142" t="str">
        <f ca="1">IFERROR(IF(0=LEN(ReferenceData!$K$142),"",ReferenceData!$K$142),"")</f>
        <v/>
      </c>
      <c r="L142" t="str">
        <f ca="1">IFERROR(IF(0=LEN(ReferenceData!$L$142),"",ReferenceData!$L$142),"")</f>
        <v/>
      </c>
      <c r="M142" t="str">
        <f ca="1">IFERROR(IF(0=LEN(ReferenceData!$M$142),"",ReferenceData!$M$142),"")</f>
        <v/>
      </c>
      <c r="N142" t="str">
        <f ca="1">IFERROR(IF(0=LEN(ReferenceData!$N$142),"",ReferenceData!$N$142),"")</f>
        <v/>
      </c>
      <c r="O142" t="str">
        <f ca="1">IFERROR(IF(0=LEN(ReferenceData!$O$142),"",ReferenceData!$O$142),"")</f>
        <v/>
      </c>
      <c r="P142" t="str">
        <f ca="1">IFERROR(IF(0=LEN(ReferenceData!$P$142),"",ReferenceData!$P$142),"")</f>
        <v/>
      </c>
      <c r="Q142" t="str">
        <f ca="1">IFERROR(IF(0=LEN(ReferenceData!$Q$142),"",ReferenceData!$Q$142),"")</f>
        <v/>
      </c>
      <c r="R142" t="str">
        <f ca="1">IFERROR(IF(0=LEN(ReferenceData!$R$142),"",ReferenceData!$R$142),"")</f>
        <v/>
      </c>
      <c r="S142" t="str">
        <f ca="1">IFERROR(IF(0=LEN(ReferenceData!$S$142),"",ReferenceData!$S$142),"")</f>
        <v/>
      </c>
      <c r="T142" t="str">
        <f ca="1">IFERROR(IF(0=LEN(ReferenceData!$T$142),"",ReferenceData!$T$142),"")</f>
        <v/>
      </c>
      <c r="U142" t="str">
        <f ca="1">IFERROR(IF(0=LEN(ReferenceData!$U$142),"",ReferenceData!$U$142),"")</f>
        <v/>
      </c>
      <c r="V142" t="str">
        <f ca="1">IFERROR(IF(0=LEN(ReferenceData!$V$142),"",ReferenceData!$V$142),"")</f>
        <v/>
      </c>
      <c r="W142" t="str">
        <f ca="1">IFERROR(IF(0=LEN(ReferenceData!$W$142),"",ReferenceData!$W$142),"")</f>
        <v/>
      </c>
      <c r="X142" t="str">
        <f ca="1">IFERROR(IF(0=LEN(ReferenceData!$X$142),"",ReferenceData!$X$142),"")</f>
        <v/>
      </c>
      <c r="Y142" t="str">
        <f ca="1">IFERROR(IF(0=LEN(ReferenceData!$Y$142),"",ReferenceData!$Y$142),"")</f>
        <v/>
      </c>
      <c r="Z142" t="str">
        <f ca="1">IFERROR(IF(0=LEN(ReferenceData!$Z$142),"",ReferenceData!$Z$142),"")</f>
        <v/>
      </c>
      <c r="AA142" t="str">
        <f ca="1">IFERROR(IF(0=LEN(ReferenceData!$AA$142),"",ReferenceData!$AA$142),"")</f>
        <v/>
      </c>
      <c r="AB142" t="str">
        <f ca="1">IFERROR(IF(0=LEN(ReferenceData!$AB$142),"",ReferenceData!$AB$142),"")</f>
        <v/>
      </c>
      <c r="AC142" t="str">
        <f ca="1">IFERROR(IF(0=LEN(ReferenceData!$AC$142),"",ReferenceData!$AC$142),"")</f>
        <v/>
      </c>
      <c r="AD142" t="str">
        <f ca="1">IFERROR(IF(0=LEN(ReferenceData!$AD$142),"",ReferenceData!$AD$142),"")</f>
        <v/>
      </c>
      <c r="AE142" t="str">
        <f ca="1">IFERROR(IF(0=LEN(ReferenceData!$AE$142),"",ReferenceData!$AE$142),"")</f>
        <v/>
      </c>
      <c r="AF142" t="str">
        <f ca="1">IFERROR(IF(0=LEN(ReferenceData!$AF$142),"",ReferenceData!$AF$142),"")</f>
        <v/>
      </c>
      <c r="AG142" t="str">
        <f ca="1">IFERROR(IF(0=LEN(ReferenceData!$AG$142),"",ReferenceData!$AG$142),"")</f>
        <v/>
      </c>
      <c r="AH142" t="str">
        <f ca="1">IFERROR(IF(0=LEN(ReferenceData!$AH$142),"",ReferenceData!$AH$142),"")</f>
        <v/>
      </c>
      <c r="AI142" t="str">
        <f ca="1">IFERROR(IF(0=LEN(ReferenceData!$AI$142),"",ReferenceData!$AI$142),"")</f>
        <v/>
      </c>
      <c r="AJ142" t="str">
        <f ca="1">IFERROR(IF(0=LEN(ReferenceData!$AJ$142),"",ReferenceData!$AJ$142),"")</f>
        <v/>
      </c>
      <c r="AK142" t="str">
        <f ca="1">IFERROR(IF(0=LEN(ReferenceData!$AK$142),"",ReferenceData!$AK$142),"")</f>
        <v/>
      </c>
      <c r="AL142" t="str">
        <f ca="1">IFERROR(IF(0=LEN(ReferenceData!$AL$142),"",ReferenceData!$AL$142),"")</f>
        <v/>
      </c>
      <c r="AM142" t="str">
        <f ca="1">IFERROR(IF(0=LEN(ReferenceData!$AM$142),"",ReferenceData!$AM$142),"")</f>
        <v/>
      </c>
      <c r="AN142" t="str">
        <f ca="1">IFERROR(IF(0=LEN(ReferenceData!$AN$142),"",ReferenceData!$AN$142),"")</f>
        <v/>
      </c>
      <c r="AO142" t="str">
        <f ca="1">IFERROR(IF(0=LEN(ReferenceData!$AO$142),"",ReferenceData!$AO$142),"")</f>
        <v/>
      </c>
      <c r="AP142" t="str">
        <f ca="1">IFERROR(IF(0=LEN(ReferenceData!$AP$142),"",ReferenceData!$AP$142),"")</f>
        <v/>
      </c>
      <c r="AQ142" t="str">
        <f ca="1">IFERROR(IF(0=LEN(ReferenceData!$AQ$142),"",ReferenceData!$AQ$142),"")</f>
        <v/>
      </c>
      <c r="AR142" t="str">
        <f ca="1">IFERROR(IF(0=LEN(ReferenceData!$AR$142),"",ReferenceData!$AR$142),"")</f>
        <v/>
      </c>
      <c r="AS142" t="str">
        <f ca="1">IFERROR(IF(0=LEN(ReferenceData!$AS$142),"",ReferenceData!$AS$142),"")</f>
        <v/>
      </c>
      <c r="AT142" t="str">
        <f ca="1">IFERROR(IF(0=LEN(ReferenceData!$AT$142),"",ReferenceData!$AT$142),"")</f>
        <v/>
      </c>
      <c r="AU142" t="str">
        <f ca="1">IFERROR(IF(0=LEN(ReferenceData!$AU$142),"",ReferenceData!$AU$142),"")</f>
        <v/>
      </c>
      <c r="AV142" t="str">
        <f ca="1">IFERROR(IF(0=LEN(ReferenceData!$AV$142),"",ReferenceData!$AV$142),"")</f>
        <v/>
      </c>
      <c r="AW142" t="str">
        <f ca="1">IFERROR(IF(0=LEN(ReferenceData!$AW$142),"",ReferenceData!$AW$142),"")</f>
        <v/>
      </c>
      <c r="AX142" t="str">
        <f ca="1">IFERROR(IF(0=LEN(ReferenceData!$AX$142),"",ReferenceData!$AX$142),"")</f>
        <v/>
      </c>
      <c r="AY142" t="str">
        <f ca="1">IFERROR(IF(0=LEN(ReferenceData!$AY$142),"",ReferenceData!$AY$142),"")</f>
        <v/>
      </c>
      <c r="AZ142" t="str">
        <f ca="1">IFERROR(IF(0=LEN(ReferenceData!$AZ$142),"",ReferenceData!$AZ$142),"")</f>
        <v/>
      </c>
      <c r="BA142" t="str">
        <f ca="1">IFERROR(IF(0=LEN(ReferenceData!$BA$142),"",ReferenceData!$BA$142),"")</f>
        <v/>
      </c>
      <c r="BB142" t="str">
        <f ca="1">IFERROR(IF(0=LEN(ReferenceData!$BB$142),"",ReferenceData!$BB$142),"")</f>
        <v/>
      </c>
      <c r="BC142" t="str">
        <f ca="1">IFERROR(IF(0=LEN(ReferenceData!$BC$142),"",ReferenceData!$BC$142),"")</f>
        <v/>
      </c>
      <c r="BD142" t="str">
        <f ca="1">IFERROR(IF(0=LEN(ReferenceData!$BD$142),"",ReferenceData!$BD$142),"")</f>
        <v/>
      </c>
      <c r="BE142" t="str">
        <f ca="1">IFERROR(IF(0=LEN(ReferenceData!$BE$142),"",ReferenceData!$BE$142),"")</f>
        <v/>
      </c>
      <c r="BF142" t="str">
        <f ca="1">IFERROR(IF(0=LEN(ReferenceData!$BF$142),"",ReferenceData!$BF$142),"")</f>
        <v/>
      </c>
      <c r="BG142" t="str">
        <f ca="1">IFERROR(IF(0=LEN(ReferenceData!$BG$142),"",ReferenceData!$BG$142),"")</f>
        <v/>
      </c>
      <c r="BH142" t="str">
        <f ca="1">IFERROR(IF(0=LEN(ReferenceData!$BH$142),"",ReferenceData!$BH$142),"")</f>
        <v/>
      </c>
      <c r="BI142" t="str">
        <f ca="1">IFERROR(IF(0=LEN(ReferenceData!$BI$142),"",ReferenceData!$BI$142),"")</f>
        <v/>
      </c>
      <c r="BJ142" t="str">
        <f ca="1">IFERROR(IF(0=LEN(ReferenceData!$BJ$142),"",ReferenceData!$BJ$142),"")</f>
        <v/>
      </c>
      <c r="BK142" t="str">
        <f ca="1">IFERROR(IF(0=LEN(ReferenceData!$BK$142),"",ReferenceData!$BK$142),"")</f>
        <v/>
      </c>
      <c r="BL142" t="str">
        <f ca="1">IFERROR(IF(0=LEN(ReferenceData!$BL$142),"",ReferenceData!$BL$142),"")</f>
        <v/>
      </c>
      <c r="BM142" t="str">
        <f ca="1">IFERROR(IF(0=LEN(ReferenceData!$BM$142),"",ReferenceData!$BM$142),"")</f>
        <v/>
      </c>
    </row>
    <row r="143" spans="1:65">
      <c r="A143" t="str">
        <f>IFERROR(IF(0=LEN(ReferenceData!$A$143),"",ReferenceData!$A$143),"")</f>
        <v xml:space="preserve">    Sabra Health Care REIT Inc</v>
      </c>
      <c r="B143" t="str">
        <f>IFERROR(IF(0=LEN(ReferenceData!$B$143),"",ReferenceData!$B$143),"")</f>
        <v>SBRA US Equity</v>
      </c>
      <c r="C143" t="str">
        <f>IFERROR(IF(0=LEN(ReferenceData!$C$143),"",ReferenceData!$C$143),"")</f>
        <v>BE592</v>
      </c>
      <c r="D143" t="str">
        <f>IFERROR(IF(0=LEN(ReferenceData!$D$143),"",ReferenceData!$D$143),"")</f>
        <v>BEST_FFOPS_YOY_GTH</v>
      </c>
      <c r="E143" t="str">
        <f>IFERROR(IF(0=LEN(ReferenceData!$E$143),"",ReferenceData!$E$143),"")</f>
        <v>动态</v>
      </c>
      <c r="F143" t="str">
        <f ca="1">IFERROR(IF(0=LEN(ReferenceData!$F$143),"",ReferenceData!$F$143),"")</f>
        <v/>
      </c>
      <c r="G143" t="str">
        <f ca="1">IFERROR(IF(0=LEN(ReferenceData!$G$143),"",ReferenceData!$G$143),"")</f>
        <v/>
      </c>
      <c r="H143" t="str">
        <f ca="1">IFERROR(IF(0=LEN(ReferenceData!$H$143),"",ReferenceData!$H$143),"")</f>
        <v/>
      </c>
      <c r="I143" t="str">
        <f ca="1">IFERROR(IF(0=LEN(ReferenceData!$I$143),"",ReferenceData!$I$143),"")</f>
        <v/>
      </c>
      <c r="J143" t="str">
        <f ca="1">IFERROR(IF(0=LEN(ReferenceData!$J$143),"",ReferenceData!$J$143),"")</f>
        <v/>
      </c>
      <c r="K143" t="str">
        <f ca="1">IFERROR(IF(0=LEN(ReferenceData!$K$143),"",ReferenceData!$K$143),"")</f>
        <v/>
      </c>
      <c r="L143" t="str">
        <f ca="1">IFERROR(IF(0=LEN(ReferenceData!$L$143),"",ReferenceData!$L$143),"")</f>
        <v/>
      </c>
      <c r="M143" t="str">
        <f ca="1">IFERROR(IF(0=LEN(ReferenceData!$M$143),"",ReferenceData!$M$143),"")</f>
        <v/>
      </c>
      <c r="N143" t="str">
        <f ca="1">IFERROR(IF(0=LEN(ReferenceData!$N$143),"",ReferenceData!$N$143),"")</f>
        <v/>
      </c>
      <c r="O143" t="str">
        <f ca="1">IFERROR(IF(0=LEN(ReferenceData!$O$143),"",ReferenceData!$O$143),"")</f>
        <v/>
      </c>
      <c r="P143" t="str">
        <f ca="1">IFERROR(IF(0=LEN(ReferenceData!$P$143),"",ReferenceData!$P$143),"")</f>
        <v/>
      </c>
      <c r="Q143" t="str">
        <f ca="1">IFERROR(IF(0=LEN(ReferenceData!$Q$143),"",ReferenceData!$Q$143),"")</f>
        <v/>
      </c>
      <c r="R143" t="str">
        <f ca="1">IFERROR(IF(0=LEN(ReferenceData!$R$143),"",ReferenceData!$R$143),"")</f>
        <v/>
      </c>
      <c r="S143" t="str">
        <f ca="1">IFERROR(IF(0=LEN(ReferenceData!$S$143),"",ReferenceData!$S$143),"")</f>
        <v/>
      </c>
      <c r="T143" t="str">
        <f ca="1">IFERROR(IF(0=LEN(ReferenceData!$T$143),"",ReferenceData!$T$143),"")</f>
        <v/>
      </c>
      <c r="U143" t="str">
        <f ca="1">IFERROR(IF(0=LEN(ReferenceData!$U$143),"",ReferenceData!$U$143),"")</f>
        <v/>
      </c>
      <c r="V143" t="str">
        <f ca="1">IFERROR(IF(0=LEN(ReferenceData!$V$143),"",ReferenceData!$V$143),"")</f>
        <v/>
      </c>
      <c r="W143" t="str">
        <f ca="1">IFERROR(IF(0=LEN(ReferenceData!$W$143),"",ReferenceData!$W$143),"")</f>
        <v/>
      </c>
      <c r="X143" t="str">
        <f ca="1">IFERROR(IF(0=LEN(ReferenceData!$X$143),"",ReferenceData!$X$143),"")</f>
        <v/>
      </c>
      <c r="Y143" t="str">
        <f ca="1">IFERROR(IF(0=LEN(ReferenceData!$Y$143),"",ReferenceData!$Y$143),"")</f>
        <v/>
      </c>
      <c r="Z143" t="str">
        <f ca="1">IFERROR(IF(0=LEN(ReferenceData!$Z$143),"",ReferenceData!$Z$143),"")</f>
        <v/>
      </c>
      <c r="AA143" t="str">
        <f ca="1">IFERROR(IF(0=LEN(ReferenceData!$AA$143),"",ReferenceData!$AA$143),"")</f>
        <v/>
      </c>
      <c r="AB143" t="str">
        <f ca="1">IFERROR(IF(0=LEN(ReferenceData!$AB$143),"",ReferenceData!$AB$143),"")</f>
        <v/>
      </c>
      <c r="AC143" t="str">
        <f ca="1">IFERROR(IF(0=LEN(ReferenceData!$AC$143),"",ReferenceData!$AC$143),"")</f>
        <v/>
      </c>
      <c r="AD143" t="str">
        <f ca="1">IFERROR(IF(0=LEN(ReferenceData!$AD$143),"",ReferenceData!$AD$143),"")</f>
        <v/>
      </c>
      <c r="AE143" t="str">
        <f ca="1">IFERROR(IF(0=LEN(ReferenceData!$AE$143),"",ReferenceData!$AE$143),"")</f>
        <v/>
      </c>
      <c r="AF143" t="str">
        <f ca="1">IFERROR(IF(0=LEN(ReferenceData!$AF$143),"",ReferenceData!$AF$143),"")</f>
        <v/>
      </c>
      <c r="AG143" t="str">
        <f ca="1">IFERROR(IF(0=LEN(ReferenceData!$AG$143),"",ReferenceData!$AG$143),"")</f>
        <v/>
      </c>
      <c r="AH143" t="str">
        <f ca="1">IFERROR(IF(0=LEN(ReferenceData!$AH$143),"",ReferenceData!$AH$143),"")</f>
        <v/>
      </c>
      <c r="AI143" t="str">
        <f ca="1">IFERROR(IF(0=LEN(ReferenceData!$AI$143),"",ReferenceData!$AI$143),"")</f>
        <v/>
      </c>
      <c r="AJ143" t="str">
        <f ca="1">IFERROR(IF(0=LEN(ReferenceData!$AJ$143),"",ReferenceData!$AJ$143),"")</f>
        <v/>
      </c>
      <c r="AK143" t="str">
        <f ca="1">IFERROR(IF(0=LEN(ReferenceData!$AK$143),"",ReferenceData!$AK$143),"")</f>
        <v/>
      </c>
      <c r="AL143" t="str">
        <f ca="1">IFERROR(IF(0=LEN(ReferenceData!$AL$143),"",ReferenceData!$AL$143),"")</f>
        <v/>
      </c>
      <c r="AM143" t="str">
        <f ca="1">IFERROR(IF(0=LEN(ReferenceData!$AM$143),"",ReferenceData!$AM$143),"")</f>
        <v/>
      </c>
      <c r="AN143" t="str">
        <f ca="1">IFERROR(IF(0=LEN(ReferenceData!$AN$143),"",ReferenceData!$AN$143),"")</f>
        <v/>
      </c>
      <c r="AO143" t="str">
        <f ca="1">IFERROR(IF(0=LEN(ReferenceData!$AO$143),"",ReferenceData!$AO$143),"")</f>
        <v/>
      </c>
      <c r="AP143" t="str">
        <f ca="1">IFERROR(IF(0=LEN(ReferenceData!$AP$143),"",ReferenceData!$AP$143),"")</f>
        <v/>
      </c>
      <c r="AQ143" t="str">
        <f ca="1">IFERROR(IF(0=LEN(ReferenceData!$AQ$143),"",ReferenceData!$AQ$143),"")</f>
        <v/>
      </c>
      <c r="AR143" t="str">
        <f ca="1">IFERROR(IF(0=LEN(ReferenceData!$AR$143),"",ReferenceData!$AR$143),"")</f>
        <v/>
      </c>
      <c r="AS143" t="str">
        <f ca="1">IFERROR(IF(0=LEN(ReferenceData!$AS$143),"",ReferenceData!$AS$143),"")</f>
        <v/>
      </c>
      <c r="AT143" t="str">
        <f ca="1">IFERROR(IF(0=LEN(ReferenceData!$AT$143),"",ReferenceData!$AT$143),"")</f>
        <v/>
      </c>
      <c r="AU143" t="str">
        <f ca="1">IFERROR(IF(0=LEN(ReferenceData!$AU$143),"",ReferenceData!$AU$143),"")</f>
        <v/>
      </c>
      <c r="AV143" t="str">
        <f ca="1">IFERROR(IF(0=LEN(ReferenceData!$AV$143),"",ReferenceData!$AV$143),"")</f>
        <v/>
      </c>
      <c r="AW143" t="str">
        <f ca="1">IFERROR(IF(0=LEN(ReferenceData!$AW$143),"",ReferenceData!$AW$143),"")</f>
        <v/>
      </c>
      <c r="AX143" t="str">
        <f ca="1">IFERROR(IF(0=LEN(ReferenceData!$AX$143),"",ReferenceData!$AX$143),"")</f>
        <v/>
      </c>
      <c r="AY143" t="str">
        <f ca="1">IFERROR(IF(0=LEN(ReferenceData!$AY$143),"",ReferenceData!$AY$143),"")</f>
        <v/>
      </c>
      <c r="AZ143" t="str">
        <f ca="1">IFERROR(IF(0=LEN(ReferenceData!$AZ$143),"",ReferenceData!$AZ$143),"")</f>
        <v/>
      </c>
      <c r="BA143" t="str">
        <f ca="1">IFERROR(IF(0=LEN(ReferenceData!$BA$143),"",ReferenceData!$BA$143),"")</f>
        <v/>
      </c>
      <c r="BB143" t="str">
        <f ca="1">IFERROR(IF(0=LEN(ReferenceData!$BB$143),"",ReferenceData!$BB$143),"")</f>
        <v/>
      </c>
      <c r="BC143" t="str">
        <f ca="1">IFERROR(IF(0=LEN(ReferenceData!$BC$143),"",ReferenceData!$BC$143),"")</f>
        <v/>
      </c>
      <c r="BD143" t="str">
        <f ca="1">IFERROR(IF(0=LEN(ReferenceData!$BD$143),"",ReferenceData!$BD$143),"")</f>
        <v/>
      </c>
      <c r="BE143" t="str">
        <f ca="1">IFERROR(IF(0=LEN(ReferenceData!$BE$143),"",ReferenceData!$BE$143),"")</f>
        <v/>
      </c>
      <c r="BF143" t="str">
        <f ca="1">IFERROR(IF(0=LEN(ReferenceData!$BF$143),"",ReferenceData!$BF$143),"")</f>
        <v/>
      </c>
      <c r="BG143" t="str">
        <f ca="1">IFERROR(IF(0=LEN(ReferenceData!$BG$143),"",ReferenceData!$BG$143),"")</f>
        <v/>
      </c>
      <c r="BH143" t="str">
        <f ca="1">IFERROR(IF(0=LEN(ReferenceData!$BH$143),"",ReferenceData!$BH$143),"")</f>
        <v/>
      </c>
      <c r="BI143" t="str">
        <f ca="1">IFERROR(IF(0=LEN(ReferenceData!$BI$143),"",ReferenceData!$BI$143),"")</f>
        <v/>
      </c>
      <c r="BJ143" t="str">
        <f ca="1">IFERROR(IF(0=LEN(ReferenceData!$BJ$143),"",ReferenceData!$BJ$143),"")</f>
        <v/>
      </c>
      <c r="BK143" t="str">
        <f ca="1">IFERROR(IF(0=LEN(ReferenceData!$BK$143),"",ReferenceData!$BK$143),"")</f>
        <v/>
      </c>
      <c r="BL143" t="str">
        <f ca="1">IFERROR(IF(0=LEN(ReferenceData!$BL$143),"",ReferenceData!$BL$143),"")</f>
        <v/>
      </c>
      <c r="BM143" t="str">
        <f ca="1">IFERROR(IF(0=LEN(ReferenceData!$BM$143),"",ReferenceData!$BM$143),"")</f>
        <v/>
      </c>
    </row>
    <row r="144" spans="1:65">
      <c r="A144" t="str">
        <f>IFERROR(IF(0=LEN(ReferenceData!$A$144),"",ReferenceData!$A$144),"")</f>
        <v xml:space="preserve">    Senior Housing Properties Trus</v>
      </c>
      <c r="B144" t="str">
        <f>IFERROR(IF(0=LEN(ReferenceData!$B$144),"",ReferenceData!$B$144),"")</f>
        <v>SNH US Equity</v>
      </c>
      <c r="C144" t="str">
        <f>IFERROR(IF(0=LEN(ReferenceData!$C$144),"",ReferenceData!$C$144),"")</f>
        <v>BE592</v>
      </c>
      <c r="D144" t="str">
        <f>IFERROR(IF(0=LEN(ReferenceData!$D$144),"",ReferenceData!$D$144),"")</f>
        <v>BEST_FFOPS_YOY_GTH</v>
      </c>
      <c r="E144" t="str">
        <f>IFERROR(IF(0=LEN(ReferenceData!$E$144),"",ReferenceData!$E$144),"")</f>
        <v>动态</v>
      </c>
      <c r="F144" t="str">
        <f ca="1">IFERROR(IF(0=LEN(ReferenceData!$F$144),"",ReferenceData!$F$144),"")</f>
        <v/>
      </c>
      <c r="G144" t="str">
        <f ca="1">IFERROR(IF(0=LEN(ReferenceData!$G$144),"",ReferenceData!$G$144),"")</f>
        <v/>
      </c>
      <c r="H144" t="str">
        <f ca="1">IFERROR(IF(0=LEN(ReferenceData!$H$144),"",ReferenceData!$H$144),"")</f>
        <v/>
      </c>
      <c r="I144" t="str">
        <f ca="1">IFERROR(IF(0=LEN(ReferenceData!$I$144),"",ReferenceData!$I$144),"")</f>
        <v/>
      </c>
      <c r="J144" t="str">
        <f ca="1">IFERROR(IF(0=LEN(ReferenceData!$J$144),"",ReferenceData!$J$144),"")</f>
        <v/>
      </c>
      <c r="K144" t="str">
        <f ca="1">IFERROR(IF(0=LEN(ReferenceData!$K$144),"",ReferenceData!$K$144),"")</f>
        <v/>
      </c>
      <c r="L144" t="str">
        <f ca="1">IFERROR(IF(0=LEN(ReferenceData!$L$144),"",ReferenceData!$L$144),"")</f>
        <v/>
      </c>
      <c r="M144" t="str">
        <f ca="1">IFERROR(IF(0=LEN(ReferenceData!$M$144),"",ReferenceData!$M$144),"")</f>
        <v/>
      </c>
      <c r="N144" t="str">
        <f ca="1">IFERROR(IF(0=LEN(ReferenceData!$N$144),"",ReferenceData!$N$144),"")</f>
        <v/>
      </c>
      <c r="O144" t="str">
        <f ca="1">IFERROR(IF(0=LEN(ReferenceData!$O$144),"",ReferenceData!$O$144),"")</f>
        <v/>
      </c>
      <c r="P144" t="str">
        <f ca="1">IFERROR(IF(0=LEN(ReferenceData!$P$144),"",ReferenceData!$P$144),"")</f>
        <v/>
      </c>
      <c r="Q144" t="str">
        <f ca="1">IFERROR(IF(0=LEN(ReferenceData!$Q$144),"",ReferenceData!$Q$144),"")</f>
        <v/>
      </c>
      <c r="R144" t="str">
        <f ca="1">IFERROR(IF(0=LEN(ReferenceData!$R$144),"",ReferenceData!$R$144),"")</f>
        <v/>
      </c>
      <c r="S144" t="str">
        <f ca="1">IFERROR(IF(0=LEN(ReferenceData!$S$144),"",ReferenceData!$S$144),"")</f>
        <v/>
      </c>
      <c r="T144" t="str">
        <f ca="1">IFERROR(IF(0=LEN(ReferenceData!$T$144),"",ReferenceData!$T$144),"")</f>
        <v/>
      </c>
      <c r="U144" t="str">
        <f ca="1">IFERROR(IF(0=LEN(ReferenceData!$U$144),"",ReferenceData!$U$144),"")</f>
        <v/>
      </c>
      <c r="V144" t="str">
        <f ca="1">IFERROR(IF(0=LEN(ReferenceData!$V$144),"",ReferenceData!$V$144),"")</f>
        <v/>
      </c>
      <c r="W144" t="str">
        <f ca="1">IFERROR(IF(0=LEN(ReferenceData!$W$144),"",ReferenceData!$W$144),"")</f>
        <v/>
      </c>
      <c r="X144" t="str">
        <f ca="1">IFERROR(IF(0=LEN(ReferenceData!$X$144),"",ReferenceData!$X$144),"")</f>
        <v/>
      </c>
      <c r="Y144" t="str">
        <f ca="1">IFERROR(IF(0=LEN(ReferenceData!$Y$144),"",ReferenceData!$Y$144),"")</f>
        <v/>
      </c>
      <c r="Z144" t="str">
        <f ca="1">IFERROR(IF(0=LEN(ReferenceData!$Z$144),"",ReferenceData!$Z$144),"")</f>
        <v/>
      </c>
      <c r="AA144" t="str">
        <f ca="1">IFERROR(IF(0=LEN(ReferenceData!$AA$144),"",ReferenceData!$AA$144),"")</f>
        <v/>
      </c>
      <c r="AB144" t="str">
        <f ca="1">IFERROR(IF(0=LEN(ReferenceData!$AB$144),"",ReferenceData!$AB$144),"")</f>
        <v/>
      </c>
      <c r="AC144" t="str">
        <f ca="1">IFERROR(IF(0=LEN(ReferenceData!$AC$144),"",ReferenceData!$AC$144),"")</f>
        <v/>
      </c>
      <c r="AD144" t="str">
        <f ca="1">IFERROR(IF(0=LEN(ReferenceData!$AD$144),"",ReferenceData!$AD$144),"")</f>
        <v/>
      </c>
      <c r="AE144" t="str">
        <f ca="1">IFERROR(IF(0=LEN(ReferenceData!$AE$144),"",ReferenceData!$AE$144),"")</f>
        <v/>
      </c>
      <c r="AF144" t="str">
        <f ca="1">IFERROR(IF(0=LEN(ReferenceData!$AF$144),"",ReferenceData!$AF$144),"")</f>
        <v/>
      </c>
      <c r="AG144" t="str">
        <f ca="1">IFERROR(IF(0=LEN(ReferenceData!$AG$144),"",ReferenceData!$AG$144),"")</f>
        <v/>
      </c>
      <c r="AH144" t="str">
        <f ca="1">IFERROR(IF(0=LEN(ReferenceData!$AH$144),"",ReferenceData!$AH$144),"")</f>
        <v/>
      </c>
      <c r="AI144" t="str">
        <f ca="1">IFERROR(IF(0=LEN(ReferenceData!$AI$144),"",ReferenceData!$AI$144),"")</f>
        <v/>
      </c>
      <c r="AJ144" t="str">
        <f ca="1">IFERROR(IF(0=LEN(ReferenceData!$AJ$144),"",ReferenceData!$AJ$144),"")</f>
        <v/>
      </c>
      <c r="AK144" t="str">
        <f ca="1">IFERROR(IF(0=LEN(ReferenceData!$AK$144),"",ReferenceData!$AK$144),"")</f>
        <v/>
      </c>
      <c r="AL144" t="str">
        <f ca="1">IFERROR(IF(0=LEN(ReferenceData!$AL$144),"",ReferenceData!$AL$144),"")</f>
        <v/>
      </c>
      <c r="AM144" t="str">
        <f ca="1">IFERROR(IF(0=LEN(ReferenceData!$AM$144),"",ReferenceData!$AM$144),"")</f>
        <v/>
      </c>
      <c r="AN144" t="str">
        <f ca="1">IFERROR(IF(0=LEN(ReferenceData!$AN$144),"",ReferenceData!$AN$144),"")</f>
        <v/>
      </c>
      <c r="AO144" t="str">
        <f ca="1">IFERROR(IF(0=LEN(ReferenceData!$AO$144),"",ReferenceData!$AO$144),"")</f>
        <v/>
      </c>
      <c r="AP144" t="str">
        <f ca="1">IFERROR(IF(0=LEN(ReferenceData!$AP$144),"",ReferenceData!$AP$144),"")</f>
        <v/>
      </c>
      <c r="AQ144" t="str">
        <f ca="1">IFERROR(IF(0=LEN(ReferenceData!$AQ$144),"",ReferenceData!$AQ$144),"")</f>
        <v/>
      </c>
      <c r="AR144" t="str">
        <f ca="1">IFERROR(IF(0=LEN(ReferenceData!$AR$144),"",ReferenceData!$AR$144),"")</f>
        <v/>
      </c>
      <c r="AS144" t="str">
        <f ca="1">IFERROR(IF(0=LEN(ReferenceData!$AS$144),"",ReferenceData!$AS$144),"")</f>
        <v/>
      </c>
      <c r="AT144" t="str">
        <f ca="1">IFERROR(IF(0=LEN(ReferenceData!$AT$144),"",ReferenceData!$AT$144),"")</f>
        <v/>
      </c>
      <c r="AU144" t="str">
        <f ca="1">IFERROR(IF(0=LEN(ReferenceData!$AU$144),"",ReferenceData!$AU$144),"")</f>
        <v/>
      </c>
      <c r="AV144" t="str">
        <f ca="1">IFERROR(IF(0=LEN(ReferenceData!$AV$144),"",ReferenceData!$AV$144),"")</f>
        <v/>
      </c>
      <c r="AW144" t="str">
        <f ca="1">IFERROR(IF(0=LEN(ReferenceData!$AW$144),"",ReferenceData!$AW$144),"")</f>
        <v/>
      </c>
      <c r="AX144" t="str">
        <f ca="1">IFERROR(IF(0=LEN(ReferenceData!$AX$144),"",ReferenceData!$AX$144),"")</f>
        <v/>
      </c>
      <c r="AY144" t="str">
        <f ca="1">IFERROR(IF(0=LEN(ReferenceData!$AY$144),"",ReferenceData!$AY$144),"")</f>
        <v/>
      </c>
      <c r="AZ144" t="str">
        <f ca="1">IFERROR(IF(0=LEN(ReferenceData!$AZ$144),"",ReferenceData!$AZ$144),"")</f>
        <v/>
      </c>
      <c r="BA144" t="str">
        <f ca="1">IFERROR(IF(0=LEN(ReferenceData!$BA$144),"",ReferenceData!$BA$144),"")</f>
        <v/>
      </c>
      <c r="BB144" t="str">
        <f ca="1">IFERROR(IF(0=LEN(ReferenceData!$BB$144),"",ReferenceData!$BB$144),"")</f>
        <v/>
      </c>
      <c r="BC144" t="str">
        <f ca="1">IFERROR(IF(0=LEN(ReferenceData!$BC$144),"",ReferenceData!$BC$144),"")</f>
        <v/>
      </c>
      <c r="BD144" t="str">
        <f ca="1">IFERROR(IF(0=LEN(ReferenceData!$BD$144),"",ReferenceData!$BD$144),"")</f>
        <v/>
      </c>
      <c r="BE144" t="str">
        <f ca="1">IFERROR(IF(0=LEN(ReferenceData!$BE$144),"",ReferenceData!$BE$144),"")</f>
        <v/>
      </c>
      <c r="BF144" t="str">
        <f ca="1">IFERROR(IF(0=LEN(ReferenceData!$BF$144),"",ReferenceData!$BF$144),"")</f>
        <v/>
      </c>
      <c r="BG144" t="str">
        <f ca="1">IFERROR(IF(0=LEN(ReferenceData!$BG$144),"",ReferenceData!$BG$144),"")</f>
        <v/>
      </c>
      <c r="BH144" t="str">
        <f ca="1">IFERROR(IF(0=LEN(ReferenceData!$BH$144),"",ReferenceData!$BH$144),"")</f>
        <v/>
      </c>
      <c r="BI144" t="str">
        <f ca="1">IFERROR(IF(0=LEN(ReferenceData!$BI$144),"",ReferenceData!$BI$144),"")</f>
        <v/>
      </c>
      <c r="BJ144" t="str">
        <f ca="1">IFERROR(IF(0=LEN(ReferenceData!$BJ$144),"",ReferenceData!$BJ$144),"")</f>
        <v/>
      </c>
      <c r="BK144" t="str">
        <f ca="1">IFERROR(IF(0=LEN(ReferenceData!$BK$144),"",ReferenceData!$BK$144),"")</f>
        <v/>
      </c>
      <c r="BL144" t="str">
        <f ca="1">IFERROR(IF(0=LEN(ReferenceData!$BL$144),"",ReferenceData!$BL$144),"")</f>
        <v/>
      </c>
      <c r="BM144" t="str">
        <f ca="1">IFERROR(IF(0=LEN(ReferenceData!$BM$144),"",ReferenceData!$BM$144),"")</f>
        <v/>
      </c>
    </row>
    <row r="145" spans="1:65">
      <c r="A145" t="str">
        <f>IFERROR(IF(0=LEN(ReferenceData!$A$145),"",ReferenceData!$A$145),"")</f>
        <v xml:space="preserve">    Ventas Inc</v>
      </c>
      <c r="B145" t="str">
        <f>IFERROR(IF(0=LEN(ReferenceData!$B$145),"",ReferenceData!$B$145),"")</f>
        <v>VTR US Equity</v>
      </c>
      <c r="C145" t="str">
        <f>IFERROR(IF(0=LEN(ReferenceData!$C$145),"",ReferenceData!$C$145),"")</f>
        <v>BE592</v>
      </c>
      <c r="D145" t="str">
        <f>IFERROR(IF(0=LEN(ReferenceData!$D$145),"",ReferenceData!$D$145),"")</f>
        <v>BEST_FFOPS_YOY_GTH</v>
      </c>
      <c r="E145" t="str">
        <f>IFERROR(IF(0=LEN(ReferenceData!$E$145),"",ReferenceData!$E$145),"")</f>
        <v>动态</v>
      </c>
      <c r="F145" t="str">
        <f ca="1">IFERROR(IF(0=LEN(ReferenceData!$F$145),"",ReferenceData!$F$145),"")</f>
        <v/>
      </c>
      <c r="G145" t="str">
        <f ca="1">IFERROR(IF(0=LEN(ReferenceData!$G$145),"",ReferenceData!$G$145),"")</f>
        <v/>
      </c>
      <c r="H145" t="str">
        <f ca="1">IFERROR(IF(0=LEN(ReferenceData!$H$145),"",ReferenceData!$H$145),"")</f>
        <v/>
      </c>
      <c r="I145" t="str">
        <f ca="1">IFERROR(IF(0=LEN(ReferenceData!$I$145),"",ReferenceData!$I$145),"")</f>
        <v/>
      </c>
      <c r="J145" t="str">
        <f ca="1">IFERROR(IF(0=LEN(ReferenceData!$J$145),"",ReferenceData!$J$145),"")</f>
        <v/>
      </c>
      <c r="K145" t="str">
        <f ca="1">IFERROR(IF(0=LEN(ReferenceData!$K$145),"",ReferenceData!$K$145),"")</f>
        <v/>
      </c>
      <c r="L145" t="str">
        <f ca="1">IFERROR(IF(0=LEN(ReferenceData!$L$145),"",ReferenceData!$L$145),"")</f>
        <v/>
      </c>
      <c r="M145" t="str">
        <f ca="1">IFERROR(IF(0=LEN(ReferenceData!$M$145),"",ReferenceData!$M$145),"")</f>
        <v/>
      </c>
      <c r="N145" t="str">
        <f ca="1">IFERROR(IF(0=LEN(ReferenceData!$N$145),"",ReferenceData!$N$145),"")</f>
        <v/>
      </c>
      <c r="O145" t="str">
        <f ca="1">IFERROR(IF(0=LEN(ReferenceData!$O$145),"",ReferenceData!$O$145),"")</f>
        <v/>
      </c>
      <c r="P145" t="str">
        <f ca="1">IFERROR(IF(0=LEN(ReferenceData!$P$145),"",ReferenceData!$P$145),"")</f>
        <v/>
      </c>
      <c r="Q145" t="str">
        <f ca="1">IFERROR(IF(0=LEN(ReferenceData!$Q$145),"",ReferenceData!$Q$145),"")</f>
        <v/>
      </c>
      <c r="R145" t="str">
        <f ca="1">IFERROR(IF(0=LEN(ReferenceData!$R$145),"",ReferenceData!$R$145),"")</f>
        <v/>
      </c>
      <c r="S145" t="str">
        <f ca="1">IFERROR(IF(0=LEN(ReferenceData!$S$145),"",ReferenceData!$S$145),"")</f>
        <v/>
      </c>
      <c r="T145" t="str">
        <f ca="1">IFERROR(IF(0=LEN(ReferenceData!$T$145),"",ReferenceData!$T$145),"")</f>
        <v/>
      </c>
      <c r="U145" t="str">
        <f ca="1">IFERROR(IF(0=LEN(ReferenceData!$U$145),"",ReferenceData!$U$145),"")</f>
        <v/>
      </c>
      <c r="V145" t="str">
        <f ca="1">IFERROR(IF(0=LEN(ReferenceData!$V$145),"",ReferenceData!$V$145),"")</f>
        <v/>
      </c>
      <c r="W145" t="str">
        <f ca="1">IFERROR(IF(0=LEN(ReferenceData!$W$145),"",ReferenceData!$W$145),"")</f>
        <v/>
      </c>
      <c r="X145" t="str">
        <f ca="1">IFERROR(IF(0=LEN(ReferenceData!$X$145),"",ReferenceData!$X$145),"")</f>
        <v/>
      </c>
      <c r="Y145" t="str">
        <f ca="1">IFERROR(IF(0=LEN(ReferenceData!$Y$145),"",ReferenceData!$Y$145),"")</f>
        <v/>
      </c>
      <c r="Z145" t="str">
        <f ca="1">IFERROR(IF(0=LEN(ReferenceData!$Z$145),"",ReferenceData!$Z$145),"")</f>
        <v/>
      </c>
      <c r="AA145" t="str">
        <f ca="1">IFERROR(IF(0=LEN(ReferenceData!$AA$145),"",ReferenceData!$AA$145),"")</f>
        <v/>
      </c>
      <c r="AB145" t="str">
        <f ca="1">IFERROR(IF(0=LEN(ReferenceData!$AB$145),"",ReferenceData!$AB$145),"")</f>
        <v/>
      </c>
      <c r="AC145" t="str">
        <f ca="1">IFERROR(IF(0=LEN(ReferenceData!$AC$145),"",ReferenceData!$AC$145),"")</f>
        <v/>
      </c>
      <c r="AD145" t="str">
        <f ca="1">IFERROR(IF(0=LEN(ReferenceData!$AD$145),"",ReferenceData!$AD$145),"")</f>
        <v/>
      </c>
      <c r="AE145" t="str">
        <f ca="1">IFERROR(IF(0=LEN(ReferenceData!$AE$145),"",ReferenceData!$AE$145),"")</f>
        <v/>
      </c>
      <c r="AF145" t="str">
        <f ca="1">IFERROR(IF(0=LEN(ReferenceData!$AF$145),"",ReferenceData!$AF$145),"")</f>
        <v/>
      </c>
      <c r="AG145" t="str">
        <f ca="1">IFERROR(IF(0=LEN(ReferenceData!$AG$145),"",ReferenceData!$AG$145),"")</f>
        <v/>
      </c>
      <c r="AH145" t="str">
        <f ca="1">IFERROR(IF(0=LEN(ReferenceData!$AH$145),"",ReferenceData!$AH$145),"")</f>
        <v/>
      </c>
      <c r="AI145" t="str">
        <f ca="1">IFERROR(IF(0=LEN(ReferenceData!$AI$145),"",ReferenceData!$AI$145),"")</f>
        <v/>
      </c>
      <c r="AJ145" t="str">
        <f ca="1">IFERROR(IF(0=LEN(ReferenceData!$AJ$145),"",ReferenceData!$AJ$145),"")</f>
        <v/>
      </c>
      <c r="AK145" t="str">
        <f ca="1">IFERROR(IF(0=LEN(ReferenceData!$AK$145),"",ReferenceData!$AK$145),"")</f>
        <v/>
      </c>
      <c r="AL145" t="str">
        <f ca="1">IFERROR(IF(0=LEN(ReferenceData!$AL$145),"",ReferenceData!$AL$145),"")</f>
        <v/>
      </c>
      <c r="AM145" t="str">
        <f ca="1">IFERROR(IF(0=LEN(ReferenceData!$AM$145),"",ReferenceData!$AM$145),"")</f>
        <v/>
      </c>
      <c r="AN145" t="str">
        <f ca="1">IFERROR(IF(0=LEN(ReferenceData!$AN$145),"",ReferenceData!$AN$145),"")</f>
        <v/>
      </c>
      <c r="AO145" t="str">
        <f ca="1">IFERROR(IF(0=LEN(ReferenceData!$AO$145),"",ReferenceData!$AO$145),"")</f>
        <v/>
      </c>
      <c r="AP145" t="str">
        <f ca="1">IFERROR(IF(0=LEN(ReferenceData!$AP$145),"",ReferenceData!$AP$145),"")</f>
        <v/>
      </c>
      <c r="AQ145" t="str">
        <f ca="1">IFERROR(IF(0=LEN(ReferenceData!$AQ$145),"",ReferenceData!$AQ$145),"")</f>
        <v/>
      </c>
      <c r="AR145" t="str">
        <f ca="1">IFERROR(IF(0=LEN(ReferenceData!$AR$145),"",ReferenceData!$AR$145),"")</f>
        <v/>
      </c>
      <c r="AS145" t="str">
        <f ca="1">IFERROR(IF(0=LEN(ReferenceData!$AS$145),"",ReferenceData!$AS$145),"")</f>
        <v/>
      </c>
      <c r="AT145" t="str">
        <f ca="1">IFERROR(IF(0=LEN(ReferenceData!$AT$145),"",ReferenceData!$AT$145),"")</f>
        <v/>
      </c>
      <c r="AU145" t="str">
        <f ca="1">IFERROR(IF(0=LEN(ReferenceData!$AU$145),"",ReferenceData!$AU$145),"")</f>
        <v/>
      </c>
      <c r="AV145" t="str">
        <f ca="1">IFERROR(IF(0=LEN(ReferenceData!$AV$145),"",ReferenceData!$AV$145),"")</f>
        <v/>
      </c>
      <c r="AW145" t="str">
        <f ca="1">IFERROR(IF(0=LEN(ReferenceData!$AW$145),"",ReferenceData!$AW$145),"")</f>
        <v/>
      </c>
      <c r="AX145" t="str">
        <f ca="1">IFERROR(IF(0=LEN(ReferenceData!$AX$145),"",ReferenceData!$AX$145),"")</f>
        <v/>
      </c>
      <c r="AY145" t="str">
        <f ca="1">IFERROR(IF(0=LEN(ReferenceData!$AY$145),"",ReferenceData!$AY$145),"")</f>
        <v/>
      </c>
      <c r="AZ145" t="str">
        <f ca="1">IFERROR(IF(0=LEN(ReferenceData!$AZ$145),"",ReferenceData!$AZ$145),"")</f>
        <v/>
      </c>
      <c r="BA145" t="str">
        <f ca="1">IFERROR(IF(0=LEN(ReferenceData!$BA$145),"",ReferenceData!$BA$145),"")</f>
        <v/>
      </c>
      <c r="BB145" t="str">
        <f ca="1">IFERROR(IF(0=LEN(ReferenceData!$BB$145),"",ReferenceData!$BB$145),"")</f>
        <v/>
      </c>
      <c r="BC145" t="str">
        <f ca="1">IFERROR(IF(0=LEN(ReferenceData!$BC$145),"",ReferenceData!$BC$145),"")</f>
        <v/>
      </c>
      <c r="BD145" t="str">
        <f ca="1">IFERROR(IF(0=LEN(ReferenceData!$BD$145),"",ReferenceData!$BD$145),"")</f>
        <v/>
      </c>
      <c r="BE145" t="str">
        <f ca="1">IFERROR(IF(0=LEN(ReferenceData!$BE$145),"",ReferenceData!$BE$145),"")</f>
        <v/>
      </c>
      <c r="BF145" t="str">
        <f ca="1">IFERROR(IF(0=LEN(ReferenceData!$BF$145),"",ReferenceData!$BF$145),"")</f>
        <v/>
      </c>
      <c r="BG145" t="str">
        <f ca="1">IFERROR(IF(0=LEN(ReferenceData!$BG$145),"",ReferenceData!$BG$145),"")</f>
        <v/>
      </c>
      <c r="BH145" t="str">
        <f ca="1">IFERROR(IF(0=LEN(ReferenceData!$BH$145),"",ReferenceData!$BH$145),"")</f>
        <v/>
      </c>
      <c r="BI145" t="str">
        <f ca="1">IFERROR(IF(0=LEN(ReferenceData!$BI$145),"",ReferenceData!$BI$145),"")</f>
        <v/>
      </c>
      <c r="BJ145" t="str">
        <f ca="1">IFERROR(IF(0=LEN(ReferenceData!$BJ$145),"",ReferenceData!$BJ$145),"")</f>
        <v/>
      </c>
      <c r="BK145" t="str">
        <f ca="1">IFERROR(IF(0=LEN(ReferenceData!$BK$145),"",ReferenceData!$BK$145),"")</f>
        <v/>
      </c>
      <c r="BL145" t="str">
        <f ca="1">IFERROR(IF(0=LEN(ReferenceData!$BL$145),"",ReferenceData!$BL$145),"")</f>
        <v/>
      </c>
      <c r="BM145" t="str">
        <f ca="1">IFERROR(IF(0=LEN(ReferenceData!$BM$145),"",ReferenceData!$BM$145),"")</f>
        <v/>
      </c>
    </row>
    <row r="146" spans="1:65">
      <c r="A146" t="str">
        <f>IFERROR(IF(0=LEN(ReferenceData!$A$146),"",ReferenceData!$A$146),"")</f>
        <v xml:space="preserve">    Welltower Inc</v>
      </c>
      <c r="B146" t="str">
        <f>IFERROR(IF(0=LEN(ReferenceData!$B$146),"",ReferenceData!$B$146),"")</f>
        <v>HCN US Equity</v>
      </c>
      <c r="C146" t="str">
        <f>IFERROR(IF(0=LEN(ReferenceData!$C$146),"",ReferenceData!$C$146),"")</f>
        <v>BE592</v>
      </c>
      <c r="D146" t="str">
        <f>IFERROR(IF(0=LEN(ReferenceData!$D$146),"",ReferenceData!$D$146),"")</f>
        <v>BEST_FFOPS_YOY_GTH</v>
      </c>
      <c r="E146" t="str">
        <f>IFERROR(IF(0=LEN(ReferenceData!$E$146),"",ReferenceData!$E$146),"")</f>
        <v>动态</v>
      </c>
      <c r="F146" t="str">
        <f ca="1">IFERROR(IF(0=LEN(ReferenceData!$F$146),"",ReferenceData!$F$146),"")</f>
        <v/>
      </c>
      <c r="G146" t="str">
        <f ca="1">IFERROR(IF(0=LEN(ReferenceData!$G$146),"",ReferenceData!$G$146),"")</f>
        <v/>
      </c>
      <c r="H146" t="str">
        <f ca="1">IFERROR(IF(0=LEN(ReferenceData!$H$146),"",ReferenceData!$H$146),"")</f>
        <v/>
      </c>
      <c r="I146" t="str">
        <f ca="1">IFERROR(IF(0=LEN(ReferenceData!$I$146),"",ReferenceData!$I$146),"")</f>
        <v/>
      </c>
      <c r="J146" t="str">
        <f ca="1">IFERROR(IF(0=LEN(ReferenceData!$J$146),"",ReferenceData!$J$146),"")</f>
        <v/>
      </c>
      <c r="K146" t="str">
        <f ca="1">IFERROR(IF(0=LEN(ReferenceData!$K$146),"",ReferenceData!$K$146),"")</f>
        <v/>
      </c>
      <c r="L146" t="str">
        <f ca="1">IFERROR(IF(0=LEN(ReferenceData!$L$146),"",ReferenceData!$L$146),"")</f>
        <v/>
      </c>
      <c r="M146" t="str">
        <f ca="1">IFERROR(IF(0=LEN(ReferenceData!$M$146),"",ReferenceData!$M$146),"")</f>
        <v/>
      </c>
      <c r="N146" t="str">
        <f ca="1">IFERROR(IF(0=LEN(ReferenceData!$N$146),"",ReferenceData!$N$146),"")</f>
        <v/>
      </c>
      <c r="O146" t="str">
        <f ca="1">IFERROR(IF(0=LEN(ReferenceData!$O$146),"",ReferenceData!$O$146),"")</f>
        <v/>
      </c>
      <c r="P146" t="str">
        <f ca="1">IFERROR(IF(0=LEN(ReferenceData!$P$146),"",ReferenceData!$P$146),"")</f>
        <v/>
      </c>
      <c r="Q146" t="str">
        <f ca="1">IFERROR(IF(0=LEN(ReferenceData!$Q$146),"",ReferenceData!$Q$146),"")</f>
        <v/>
      </c>
      <c r="R146" t="str">
        <f ca="1">IFERROR(IF(0=LEN(ReferenceData!$R$146),"",ReferenceData!$R$146),"")</f>
        <v/>
      </c>
      <c r="S146" t="str">
        <f ca="1">IFERROR(IF(0=LEN(ReferenceData!$S$146),"",ReferenceData!$S$146),"")</f>
        <v/>
      </c>
      <c r="T146" t="str">
        <f ca="1">IFERROR(IF(0=LEN(ReferenceData!$T$146),"",ReferenceData!$T$146),"")</f>
        <v/>
      </c>
      <c r="U146" t="str">
        <f ca="1">IFERROR(IF(0=LEN(ReferenceData!$U$146),"",ReferenceData!$U$146),"")</f>
        <v/>
      </c>
      <c r="V146" t="str">
        <f ca="1">IFERROR(IF(0=LEN(ReferenceData!$V$146),"",ReferenceData!$V$146),"")</f>
        <v/>
      </c>
      <c r="W146" t="str">
        <f ca="1">IFERROR(IF(0=LEN(ReferenceData!$W$146),"",ReferenceData!$W$146),"")</f>
        <v/>
      </c>
      <c r="X146" t="str">
        <f ca="1">IFERROR(IF(0=LEN(ReferenceData!$X$146),"",ReferenceData!$X$146),"")</f>
        <v/>
      </c>
      <c r="Y146" t="str">
        <f ca="1">IFERROR(IF(0=LEN(ReferenceData!$Y$146),"",ReferenceData!$Y$146),"")</f>
        <v/>
      </c>
      <c r="Z146" t="str">
        <f ca="1">IFERROR(IF(0=LEN(ReferenceData!$Z$146),"",ReferenceData!$Z$146),"")</f>
        <v/>
      </c>
      <c r="AA146" t="str">
        <f ca="1">IFERROR(IF(0=LEN(ReferenceData!$AA$146),"",ReferenceData!$AA$146),"")</f>
        <v/>
      </c>
      <c r="AB146" t="str">
        <f ca="1">IFERROR(IF(0=LEN(ReferenceData!$AB$146),"",ReferenceData!$AB$146),"")</f>
        <v/>
      </c>
      <c r="AC146" t="str">
        <f ca="1">IFERROR(IF(0=LEN(ReferenceData!$AC$146),"",ReferenceData!$AC$146),"")</f>
        <v/>
      </c>
      <c r="AD146" t="str">
        <f ca="1">IFERROR(IF(0=LEN(ReferenceData!$AD$146),"",ReferenceData!$AD$146),"")</f>
        <v/>
      </c>
      <c r="AE146" t="str">
        <f ca="1">IFERROR(IF(0=LEN(ReferenceData!$AE$146),"",ReferenceData!$AE$146),"")</f>
        <v/>
      </c>
      <c r="AF146" t="str">
        <f ca="1">IFERROR(IF(0=LEN(ReferenceData!$AF$146),"",ReferenceData!$AF$146),"")</f>
        <v/>
      </c>
      <c r="AG146" t="str">
        <f ca="1">IFERROR(IF(0=LEN(ReferenceData!$AG$146),"",ReferenceData!$AG$146),"")</f>
        <v/>
      </c>
      <c r="AH146" t="str">
        <f ca="1">IFERROR(IF(0=LEN(ReferenceData!$AH$146),"",ReferenceData!$AH$146),"")</f>
        <v/>
      </c>
      <c r="AI146" t="str">
        <f ca="1">IFERROR(IF(0=LEN(ReferenceData!$AI$146),"",ReferenceData!$AI$146),"")</f>
        <v/>
      </c>
      <c r="AJ146" t="str">
        <f ca="1">IFERROR(IF(0=LEN(ReferenceData!$AJ$146),"",ReferenceData!$AJ$146),"")</f>
        <v/>
      </c>
      <c r="AK146" t="str">
        <f ca="1">IFERROR(IF(0=LEN(ReferenceData!$AK$146),"",ReferenceData!$AK$146),"")</f>
        <v/>
      </c>
      <c r="AL146" t="str">
        <f ca="1">IFERROR(IF(0=LEN(ReferenceData!$AL$146),"",ReferenceData!$AL$146),"")</f>
        <v/>
      </c>
      <c r="AM146" t="str">
        <f ca="1">IFERROR(IF(0=LEN(ReferenceData!$AM$146),"",ReferenceData!$AM$146),"")</f>
        <v/>
      </c>
      <c r="AN146" t="str">
        <f ca="1">IFERROR(IF(0=LEN(ReferenceData!$AN$146),"",ReferenceData!$AN$146),"")</f>
        <v/>
      </c>
      <c r="AO146" t="str">
        <f ca="1">IFERROR(IF(0=LEN(ReferenceData!$AO$146),"",ReferenceData!$AO$146),"")</f>
        <v/>
      </c>
      <c r="AP146" t="str">
        <f ca="1">IFERROR(IF(0=LEN(ReferenceData!$AP$146),"",ReferenceData!$AP$146),"")</f>
        <v/>
      </c>
      <c r="AQ146" t="str">
        <f ca="1">IFERROR(IF(0=LEN(ReferenceData!$AQ$146),"",ReferenceData!$AQ$146),"")</f>
        <v/>
      </c>
      <c r="AR146" t="str">
        <f ca="1">IFERROR(IF(0=LEN(ReferenceData!$AR$146),"",ReferenceData!$AR$146),"")</f>
        <v/>
      </c>
      <c r="AS146" t="str">
        <f ca="1">IFERROR(IF(0=LEN(ReferenceData!$AS$146),"",ReferenceData!$AS$146),"")</f>
        <v/>
      </c>
      <c r="AT146" t="str">
        <f ca="1">IFERROR(IF(0=LEN(ReferenceData!$AT$146),"",ReferenceData!$AT$146),"")</f>
        <v/>
      </c>
      <c r="AU146" t="str">
        <f ca="1">IFERROR(IF(0=LEN(ReferenceData!$AU$146),"",ReferenceData!$AU$146),"")</f>
        <v/>
      </c>
      <c r="AV146" t="str">
        <f ca="1">IFERROR(IF(0=LEN(ReferenceData!$AV$146),"",ReferenceData!$AV$146),"")</f>
        <v/>
      </c>
      <c r="AW146" t="str">
        <f ca="1">IFERROR(IF(0=LEN(ReferenceData!$AW$146),"",ReferenceData!$AW$146),"")</f>
        <v/>
      </c>
      <c r="AX146" t="str">
        <f ca="1">IFERROR(IF(0=LEN(ReferenceData!$AX$146),"",ReferenceData!$AX$146),"")</f>
        <v/>
      </c>
      <c r="AY146" t="str">
        <f ca="1">IFERROR(IF(0=LEN(ReferenceData!$AY$146),"",ReferenceData!$AY$146),"")</f>
        <v/>
      </c>
      <c r="AZ146" t="str">
        <f ca="1">IFERROR(IF(0=LEN(ReferenceData!$AZ$146),"",ReferenceData!$AZ$146),"")</f>
        <v/>
      </c>
      <c r="BA146" t="str">
        <f ca="1">IFERROR(IF(0=LEN(ReferenceData!$BA$146),"",ReferenceData!$BA$146),"")</f>
        <v/>
      </c>
      <c r="BB146" t="str">
        <f ca="1">IFERROR(IF(0=LEN(ReferenceData!$BB$146),"",ReferenceData!$BB$146),"")</f>
        <v/>
      </c>
      <c r="BC146" t="str">
        <f ca="1">IFERROR(IF(0=LEN(ReferenceData!$BC$146),"",ReferenceData!$BC$146),"")</f>
        <v/>
      </c>
      <c r="BD146" t="str">
        <f ca="1">IFERROR(IF(0=LEN(ReferenceData!$BD$146),"",ReferenceData!$BD$146),"")</f>
        <v/>
      </c>
      <c r="BE146" t="str">
        <f ca="1">IFERROR(IF(0=LEN(ReferenceData!$BE$146),"",ReferenceData!$BE$146),"")</f>
        <v/>
      </c>
      <c r="BF146" t="str">
        <f ca="1">IFERROR(IF(0=LEN(ReferenceData!$BF$146),"",ReferenceData!$BF$146),"")</f>
        <v/>
      </c>
      <c r="BG146" t="str">
        <f ca="1">IFERROR(IF(0=LEN(ReferenceData!$BG$146),"",ReferenceData!$BG$146),"")</f>
        <v/>
      </c>
      <c r="BH146" t="str">
        <f ca="1">IFERROR(IF(0=LEN(ReferenceData!$BH$146),"",ReferenceData!$BH$146),"")</f>
        <v/>
      </c>
      <c r="BI146" t="str">
        <f ca="1">IFERROR(IF(0=LEN(ReferenceData!$BI$146),"",ReferenceData!$BI$146),"")</f>
        <v/>
      </c>
      <c r="BJ146" t="str">
        <f ca="1">IFERROR(IF(0=LEN(ReferenceData!$BJ$146),"",ReferenceData!$BJ$146),"")</f>
        <v/>
      </c>
      <c r="BK146" t="str">
        <f ca="1">IFERROR(IF(0=LEN(ReferenceData!$BK$146),"",ReferenceData!$BK$146),"")</f>
        <v/>
      </c>
      <c r="BL146" t="str">
        <f ca="1">IFERROR(IF(0=LEN(ReferenceData!$BL$146),"",ReferenceData!$BL$146),"")</f>
        <v/>
      </c>
      <c r="BM146" t="str">
        <f ca="1">IFERROR(IF(0=LEN(ReferenceData!$BM$146),"",ReferenceData!$BM$146),"")</f>
        <v/>
      </c>
    </row>
    <row r="147" spans="1:65">
      <c r="A147" t="str">
        <f>IFERROR(IF(0=LEN(ReferenceData!$A$147),"",ReferenceData!$A$147),"")</f>
        <v>EBITDA利润率(%)</v>
      </c>
      <c r="B147" t="str">
        <f>IFERROR(IF(0=LEN(ReferenceData!$B$147),"",ReferenceData!$B$147),"")</f>
        <v/>
      </c>
      <c r="C147" t="str">
        <f>IFERROR(IF(0=LEN(ReferenceData!$C$147),"",ReferenceData!$C$147),"")</f>
        <v/>
      </c>
      <c r="D147" t="str">
        <f>IFERROR(IF(0=LEN(ReferenceData!$D$147),"",ReferenceData!$D$147),"")</f>
        <v/>
      </c>
      <c r="E147" t="str">
        <f>IFERROR(IF(0=LEN(ReferenceData!$E$147),"",ReferenceData!$E$147),"")</f>
        <v>Median</v>
      </c>
      <c r="F147" t="str">
        <f ca="1">IFERROR(IF(0=LEN(ReferenceData!$F$147),"",ReferenceData!$F$147),"")</f>
        <v/>
      </c>
      <c r="G147">
        <f ca="1">IFERROR(IF(0=LEN(ReferenceData!$G$147),"",ReferenceData!$G$147),"")</f>
        <v>56.27443229</v>
      </c>
      <c r="H147">
        <f ca="1">IFERROR(IF(0=LEN(ReferenceData!$H$147),"",ReferenceData!$H$147),"")</f>
        <v>55.043950124999995</v>
      </c>
      <c r="I147">
        <f ca="1">IFERROR(IF(0=LEN(ReferenceData!$I$147),"",ReferenceData!$I$147),"")</f>
        <v>56.096726689999997</v>
      </c>
      <c r="J147">
        <f ca="1">IFERROR(IF(0=LEN(ReferenceData!$J$147),"",ReferenceData!$J$147),"")</f>
        <v>63.660579310000003</v>
      </c>
      <c r="K147">
        <f ca="1">IFERROR(IF(0=LEN(ReferenceData!$K$147),"",ReferenceData!$K$147),"")</f>
        <v>58.336269549999997</v>
      </c>
      <c r="L147">
        <f ca="1">IFERROR(IF(0=LEN(ReferenceData!$L$147),"",ReferenceData!$L$147),"")</f>
        <v>61.299645089999999</v>
      </c>
      <c r="M147">
        <f ca="1">IFERROR(IF(0=LEN(ReferenceData!$M$147),"",ReferenceData!$M$147),"")</f>
        <v>60.786512879999997</v>
      </c>
      <c r="N147">
        <f ca="1">IFERROR(IF(0=LEN(ReferenceData!$N$147),"",ReferenceData!$N$147),"")</f>
        <v>55.214404969999997</v>
      </c>
      <c r="O147">
        <f ca="1">IFERROR(IF(0=LEN(ReferenceData!$O$147),"",ReferenceData!$O$147),"")</f>
        <v>61.732109080000001</v>
      </c>
      <c r="P147">
        <f ca="1">IFERROR(IF(0=LEN(ReferenceData!$P$147),"",ReferenceData!$P$147),"")</f>
        <v>60.422145129999997</v>
      </c>
      <c r="Q147">
        <f ca="1">IFERROR(IF(0=LEN(ReferenceData!$Q$147),"",ReferenceData!$Q$147),"")</f>
        <v>61.842267249999999</v>
      </c>
      <c r="R147">
        <f ca="1">IFERROR(IF(0=LEN(ReferenceData!$R$147),"",ReferenceData!$R$147),"")</f>
        <v>56.396449560000001</v>
      </c>
      <c r="S147">
        <f ca="1">IFERROR(IF(0=LEN(ReferenceData!$S$147),"",ReferenceData!$S$147),"")</f>
        <v>60.947620950000001</v>
      </c>
      <c r="T147">
        <f ca="1">IFERROR(IF(0=LEN(ReferenceData!$T$147),"",ReferenceData!$T$147),"")</f>
        <v>60.882082185000002</v>
      </c>
      <c r="U147">
        <f ca="1">IFERROR(IF(0=LEN(ReferenceData!$U$147),"",ReferenceData!$U$147),"")</f>
        <v>57.877621884999996</v>
      </c>
      <c r="V147">
        <f ca="1">IFERROR(IF(0=LEN(ReferenceData!$V$147),"",ReferenceData!$V$147),"")</f>
        <v>58.806141150000002</v>
      </c>
      <c r="W147">
        <f ca="1">IFERROR(IF(0=LEN(ReferenceData!$W$147),"",ReferenceData!$W$147),"")</f>
        <v>65.04718364</v>
      </c>
      <c r="X147">
        <f ca="1">IFERROR(IF(0=LEN(ReferenceData!$X$147),"",ReferenceData!$X$147),"")</f>
        <v>60.939786679999997</v>
      </c>
      <c r="Y147">
        <f ca="1">IFERROR(IF(0=LEN(ReferenceData!$Y$147),"",ReferenceData!$Y$147),"")</f>
        <v>61.627569355000006</v>
      </c>
      <c r="Z147">
        <f ca="1">IFERROR(IF(0=LEN(ReferenceData!$Z$147),"",ReferenceData!$Z$147),"")</f>
        <v>60.302691710000005</v>
      </c>
      <c r="AA147">
        <f ca="1">IFERROR(IF(0=LEN(ReferenceData!$AA$147),"",ReferenceData!$AA$147),"")</f>
        <v>60.411307495000003</v>
      </c>
      <c r="AB147">
        <f ca="1">IFERROR(IF(0=LEN(ReferenceData!$AB$147),"",ReferenceData!$AB$147),"")</f>
        <v>61.870505890000004</v>
      </c>
      <c r="AC147">
        <f ca="1">IFERROR(IF(0=LEN(ReferenceData!$AC$147),"",ReferenceData!$AC$147),"")</f>
        <v>64.866742279999997</v>
      </c>
      <c r="AD147">
        <f ca="1">IFERROR(IF(0=LEN(ReferenceData!$AD$147),"",ReferenceData!$AD$147),"")</f>
        <v>64.375716820000008</v>
      </c>
      <c r="AE147">
        <f ca="1">IFERROR(IF(0=LEN(ReferenceData!$AE$147),"",ReferenceData!$AE$147),"")</f>
        <v>63.285271109999996</v>
      </c>
      <c r="AF147">
        <f ca="1">IFERROR(IF(0=LEN(ReferenceData!$AF$147),"",ReferenceData!$AF$147),"")</f>
        <v>69.62546054500001</v>
      </c>
      <c r="AG147">
        <f ca="1">IFERROR(IF(0=LEN(ReferenceData!$AG$147),"",ReferenceData!$AG$147),"")</f>
        <v>70.157718649999993</v>
      </c>
      <c r="AH147">
        <f ca="1">IFERROR(IF(0=LEN(ReferenceData!$AH$147),"",ReferenceData!$AH$147),"")</f>
        <v>61.353884539999996</v>
      </c>
      <c r="AI147">
        <f ca="1">IFERROR(IF(0=LEN(ReferenceData!$AI$147),"",ReferenceData!$AI$147),"")</f>
        <v>66.560433349999997</v>
      </c>
      <c r="AJ147">
        <f ca="1">IFERROR(IF(0=LEN(ReferenceData!$AJ$147),"",ReferenceData!$AJ$147),"")</f>
        <v>57.935125540000001</v>
      </c>
      <c r="AK147">
        <f ca="1">IFERROR(IF(0=LEN(ReferenceData!$AK$147),"",ReferenceData!$AK$147),"")</f>
        <v>67.276828030000004</v>
      </c>
      <c r="AL147">
        <f ca="1">IFERROR(IF(0=LEN(ReferenceData!$AL$147),"",ReferenceData!$AL$147),"")</f>
        <v>64.803893799999997</v>
      </c>
      <c r="AM147">
        <f ca="1">IFERROR(IF(0=LEN(ReferenceData!$AM$147),"",ReferenceData!$AM$147),"")</f>
        <v>65.075186115000008</v>
      </c>
      <c r="AN147">
        <f ca="1">IFERROR(IF(0=LEN(ReferenceData!$AN$147),"",ReferenceData!$AN$147),"")</f>
        <v>68.136737544999988</v>
      </c>
      <c r="AO147">
        <f ca="1">IFERROR(IF(0=LEN(ReferenceData!$AO$147),"",ReferenceData!$AO$147),"")</f>
        <v>75.880365825000013</v>
      </c>
      <c r="AP147">
        <f ca="1">IFERROR(IF(0=LEN(ReferenceData!$AP$147),"",ReferenceData!$AP$147),"")</f>
        <v>77.457969644999991</v>
      </c>
      <c r="AQ147">
        <f ca="1">IFERROR(IF(0=LEN(ReferenceData!$AQ$147),"",ReferenceData!$AQ$147),"")</f>
        <v>73.498058665000002</v>
      </c>
      <c r="AR147">
        <f ca="1">IFERROR(IF(0=LEN(ReferenceData!$AR$147),"",ReferenceData!$AR$147),"")</f>
        <v>70.051919730000009</v>
      </c>
      <c r="AS147">
        <f ca="1">IFERROR(IF(0=LEN(ReferenceData!$AS$147),"",ReferenceData!$AS$147),"")</f>
        <v>78.612975550000002</v>
      </c>
      <c r="AT147">
        <f ca="1">IFERROR(IF(0=LEN(ReferenceData!$AT$147),"",ReferenceData!$AT$147),"")</f>
        <v>78.081768535000009</v>
      </c>
      <c r="AU147">
        <f ca="1">IFERROR(IF(0=LEN(ReferenceData!$AU$147),"",ReferenceData!$AU$147),"")</f>
        <v>79.040765399999998</v>
      </c>
      <c r="AV147">
        <f ca="1">IFERROR(IF(0=LEN(ReferenceData!$AV$147),"",ReferenceData!$AV$147),"")</f>
        <v>80.114820605000006</v>
      </c>
      <c r="AW147">
        <f ca="1">IFERROR(IF(0=LEN(ReferenceData!$AW$147),"",ReferenceData!$AW$147),"")</f>
        <v>81.526047610000006</v>
      </c>
      <c r="AX147">
        <f ca="1">IFERROR(IF(0=LEN(ReferenceData!$AX$147),"",ReferenceData!$AX$147),"")</f>
        <v>78.936070229999999</v>
      </c>
      <c r="AY147">
        <f ca="1">IFERROR(IF(0=LEN(ReferenceData!$AY$147),"",ReferenceData!$AY$147),"")</f>
        <v>86.115959169999996</v>
      </c>
      <c r="AZ147">
        <f ca="1">IFERROR(IF(0=LEN(ReferenceData!$AZ$147),"",ReferenceData!$AZ$147),"")</f>
        <v>84.880873409999992</v>
      </c>
      <c r="BA147">
        <f ca="1">IFERROR(IF(0=LEN(ReferenceData!$BA$147),"",ReferenceData!$BA$147),"")</f>
        <v>86.053140124999999</v>
      </c>
      <c r="BB147">
        <f ca="1">IFERROR(IF(0=LEN(ReferenceData!$BB$147),"",ReferenceData!$BB$147),"")</f>
        <v>86.427742365</v>
      </c>
      <c r="BC147">
        <f ca="1">IFERROR(IF(0=LEN(ReferenceData!$BC$147),"",ReferenceData!$BC$147),"")</f>
        <v>85.855256435000001</v>
      </c>
      <c r="BD147">
        <f ca="1">IFERROR(IF(0=LEN(ReferenceData!$BD$147),"",ReferenceData!$BD$147),"")</f>
        <v>86.526932005000006</v>
      </c>
      <c r="BE147">
        <f ca="1">IFERROR(IF(0=LEN(ReferenceData!$BE$147),"",ReferenceData!$BE$147),"")</f>
        <v>86.217751315000001</v>
      </c>
      <c r="BF147">
        <f ca="1">IFERROR(IF(0=LEN(ReferenceData!$BF$147),"",ReferenceData!$BF$147),"")</f>
        <v>86.247437805000004</v>
      </c>
      <c r="BG147">
        <f ca="1">IFERROR(IF(0=LEN(ReferenceData!$BG$147),"",ReferenceData!$BG$147),"")</f>
        <v>92.622145840000002</v>
      </c>
      <c r="BH147">
        <f ca="1">IFERROR(IF(0=LEN(ReferenceData!$BH$147),"",ReferenceData!$BH$147),"")</f>
        <v>91.285885969999995</v>
      </c>
      <c r="BI147">
        <f ca="1">IFERROR(IF(0=LEN(ReferenceData!$BI$147),"",ReferenceData!$BI$147),"")</f>
        <v>90.870442839999995</v>
      </c>
      <c r="BJ147">
        <f ca="1">IFERROR(IF(0=LEN(ReferenceData!$BJ$147),"",ReferenceData!$BJ$147),"")</f>
        <v>90.471101939999997</v>
      </c>
      <c r="BK147">
        <f ca="1">IFERROR(IF(0=LEN(ReferenceData!$BK$147),"",ReferenceData!$BK$147),"")</f>
        <v>91.941540110000005</v>
      </c>
      <c r="BL147">
        <f ca="1">IFERROR(IF(0=LEN(ReferenceData!$BL$147),"",ReferenceData!$BL$147),"")</f>
        <v>92.248166859999998</v>
      </c>
      <c r="BM147">
        <f ca="1">IFERROR(IF(0=LEN(ReferenceData!$BM$147),"",ReferenceData!$BM$147),"")</f>
        <v>89.406710889999999</v>
      </c>
    </row>
    <row r="148" spans="1:65">
      <c r="A148" t="str">
        <f>IFERROR(IF(0=LEN(ReferenceData!$A$148),"",ReferenceData!$A$148),"")</f>
        <v xml:space="preserve">    Alexandria Real Estate Equitie</v>
      </c>
      <c r="B148" t="str">
        <f>IFERROR(IF(0=LEN(ReferenceData!$B$148),"",ReferenceData!$B$148),"")</f>
        <v>ARE US Equity</v>
      </c>
      <c r="C148" t="str">
        <f>IFERROR(IF(0=LEN(ReferenceData!$C$148),"",ReferenceData!$C$148),"")</f>
        <v>RX225</v>
      </c>
      <c r="D148" t="str">
        <f>IFERROR(IF(0=LEN(ReferenceData!$D$148),"",ReferenceData!$D$148),"")</f>
        <v>EBITDA_TO_REVENUE</v>
      </c>
      <c r="E148" t="str">
        <f>IFERROR(IF(0=LEN(ReferenceData!$E$148),"",ReferenceData!$E$148),"")</f>
        <v>动态</v>
      </c>
      <c r="F148" t="str">
        <f ca="1">IFERROR(IF(0=LEN(ReferenceData!$F$148),"",ReferenceData!$F$148),"")</f>
        <v/>
      </c>
      <c r="G148">
        <f ca="1">IFERROR(IF(0=LEN(ReferenceData!$G$148),"",ReferenceData!$G$148),"")</f>
        <v>64.194704659999999</v>
      </c>
      <c r="H148">
        <f ca="1">IFERROR(IF(0=LEN(ReferenceData!$H$148),"",ReferenceData!$H$148),"")</f>
        <v>64.570557519999994</v>
      </c>
      <c r="I148">
        <f ca="1">IFERROR(IF(0=LEN(ReferenceData!$I$148),"",ReferenceData!$I$148),"")</f>
        <v>64.690048669999996</v>
      </c>
      <c r="J148">
        <f ca="1">IFERROR(IF(0=LEN(ReferenceData!$J$148),"",ReferenceData!$J$148),"")</f>
        <v>64.442902129999993</v>
      </c>
      <c r="K148">
        <f ca="1">IFERROR(IF(0=LEN(ReferenceData!$K$148),"",ReferenceData!$K$148),"")</f>
        <v>57.166020500000002</v>
      </c>
      <c r="L148">
        <f ca="1">IFERROR(IF(0=LEN(ReferenceData!$L$148),"",ReferenceData!$L$148),"")</f>
        <v>58.34255726</v>
      </c>
      <c r="M148">
        <f ca="1">IFERROR(IF(0=LEN(ReferenceData!$M$148),"",ReferenceData!$M$148),"")</f>
        <v>-5.6511969430000004</v>
      </c>
      <c r="N148">
        <f ca="1">IFERROR(IF(0=LEN(ReferenceData!$N$148),"",ReferenceData!$N$148),"")</f>
        <v>49.09273494</v>
      </c>
      <c r="O148">
        <f ca="1">IFERROR(IF(0=LEN(ReferenceData!$O$148),"",ReferenceData!$O$148),"")</f>
        <v>58.583197519999999</v>
      </c>
      <c r="P148">
        <f ca="1">IFERROR(IF(0=LEN(ReferenceData!$P$148),"",ReferenceData!$P$148),"")</f>
        <v>61.58044005</v>
      </c>
      <c r="Q148">
        <f ca="1">IFERROR(IF(0=LEN(ReferenceData!$Q$148),"",ReferenceData!$Q$148),"")</f>
        <v>62.166676459999998</v>
      </c>
      <c r="R148">
        <f ca="1">IFERROR(IF(0=LEN(ReferenceData!$R$148),"",ReferenceData!$R$148),"")</f>
        <v>54.196378199999998</v>
      </c>
      <c r="S148">
        <f ca="1">IFERROR(IF(0=LEN(ReferenceData!$S$148),"",ReferenceData!$S$148),"")</f>
        <v>35.117186259999997</v>
      </c>
      <c r="T148">
        <f ca="1">IFERROR(IF(0=LEN(ReferenceData!$T$148),"",ReferenceData!$T$148),"")</f>
        <v>62.270290660000001</v>
      </c>
      <c r="U148">
        <f ca="1">IFERROR(IF(0=LEN(ReferenceData!$U$148),"",ReferenceData!$U$148),"")</f>
        <v>62.478316569999997</v>
      </c>
      <c r="V148">
        <f ca="1">IFERROR(IF(0=LEN(ReferenceData!$V$148),"",ReferenceData!$V$148),"")</f>
        <v>62.692268400000003</v>
      </c>
      <c r="W148">
        <f ca="1">IFERROR(IF(0=LEN(ReferenceData!$W$148),"",ReferenceData!$W$148),"")</f>
        <v>62.904343599999997</v>
      </c>
      <c r="X148">
        <f ca="1">IFERROR(IF(0=LEN(ReferenceData!$X$148),"",ReferenceData!$X$148),"")</f>
        <v>62.660518590000002</v>
      </c>
      <c r="Y148">
        <f ca="1">IFERROR(IF(0=LEN(ReferenceData!$Y$148),"",ReferenceData!$Y$148),"")</f>
        <v>61.998310920000002</v>
      </c>
      <c r="Z148">
        <f ca="1">IFERROR(IF(0=LEN(ReferenceData!$Z$148),"",ReferenceData!$Z$148),"")</f>
        <v>62.908523950000003</v>
      </c>
      <c r="AA148">
        <f ca="1">IFERROR(IF(0=LEN(ReferenceData!$AA$148),"",ReferenceData!$AA$148),"")</f>
        <v>60.316421380000001</v>
      </c>
      <c r="AB148">
        <f ca="1">IFERROR(IF(0=LEN(ReferenceData!$AB$148),"",ReferenceData!$AB$148),"")</f>
        <v>61.439271959999999</v>
      </c>
      <c r="AC148">
        <f ca="1">IFERROR(IF(0=LEN(ReferenceData!$AC$148),"",ReferenceData!$AC$148),"")</f>
        <v>63.744136050000002</v>
      </c>
      <c r="AD148">
        <f ca="1">IFERROR(IF(0=LEN(ReferenceData!$AD$148),"",ReferenceData!$AD$148),"")</f>
        <v>63.753122439999999</v>
      </c>
      <c r="AE148">
        <f ca="1">IFERROR(IF(0=LEN(ReferenceData!$AE$148),"",ReferenceData!$AE$148),"")</f>
        <v>63.410868299999997</v>
      </c>
      <c r="AF148">
        <f ca="1">IFERROR(IF(0=LEN(ReferenceData!$AF$148),"",ReferenceData!$AF$148),"")</f>
        <v>63.851101739999997</v>
      </c>
      <c r="AG148">
        <f ca="1">IFERROR(IF(0=LEN(ReferenceData!$AG$148),"",ReferenceData!$AG$148),"")</f>
        <v>64.297625609999997</v>
      </c>
      <c r="AH148">
        <f ca="1">IFERROR(IF(0=LEN(ReferenceData!$AH$148),"",ReferenceData!$AH$148),"")</f>
        <v>63.9558319</v>
      </c>
      <c r="AI148">
        <f ca="1">IFERROR(IF(0=LEN(ReferenceData!$AI$148),"",ReferenceData!$AI$148),"")</f>
        <v>65.740108359999994</v>
      </c>
      <c r="AJ148">
        <f ca="1">IFERROR(IF(0=LEN(ReferenceData!$AJ$148),"",ReferenceData!$AJ$148),"")</f>
        <v>65.968216499999997</v>
      </c>
      <c r="AK148">
        <f ca="1">IFERROR(IF(0=LEN(ReferenceData!$AK$148),"",ReferenceData!$AK$148),"")</f>
        <v>67.047260919999999</v>
      </c>
      <c r="AL148">
        <f ca="1">IFERROR(IF(0=LEN(ReferenceData!$AL$148),"",ReferenceData!$AL$148),"")</f>
        <v>64.803893799999997</v>
      </c>
      <c r="AM148">
        <f ca="1">IFERROR(IF(0=LEN(ReferenceData!$AM$148),"",ReferenceData!$AM$148),"")</f>
        <v>67.08499913</v>
      </c>
      <c r="AN148">
        <f ca="1">IFERROR(IF(0=LEN(ReferenceData!$AN$148),"",ReferenceData!$AN$148),"")</f>
        <v>64.943104309999995</v>
      </c>
      <c r="AO148">
        <f ca="1">IFERROR(IF(0=LEN(ReferenceData!$AO$148),"",ReferenceData!$AO$148),"")</f>
        <v>68.765439240000006</v>
      </c>
      <c r="AP148">
        <f ca="1">IFERROR(IF(0=LEN(ReferenceData!$AP$148),"",ReferenceData!$AP$148),"")</f>
        <v>68.342720760000006</v>
      </c>
      <c r="AQ148">
        <f ca="1">IFERROR(IF(0=LEN(ReferenceData!$AQ$148),"",ReferenceData!$AQ$148),"")</f>
        <v>70.417014710000004</v>
      </c>
      <c r="AR148">
        <f ca="1">IFERROR(IF(0=LEN(ReferenceData!$AR$148),"",ReferenceData!$AR$148),"")</f>
        <v>65.400645159999996</v>
      </c>
      <c r="AS148">
        <f ca="1">IFERROR(IF(0=LEN(ReferenceData!$AS$148),"",ReferenceData!$AS$148),"")</f>
        <v>69.194138519999996</v>
      </c>
      <c r="AT148">
        <f ca="1">IFERROR(IF(0=LEN(ReferenceData!$AT$148),"",ReferenceData!$AT$148),"")</f>
        <v>66.385243059999993</v>
      </c>
      <c r="AU148">
        <f ca="1">IFERROR(IF(0=LEN(ReferenceData!$AU$148),"",ReferenceData!$AU$148),"")</f>
        <v>67.884493849999998</v>
      </c>
      <c r="AV148">
        <f ca="1">IFERROR(IF(0=LEN(ReferenceData!$AV$148),"",ReferenceData!$AV$148),"")</f>
        <v>67.890546189999995</v>
      </c>
      <c r="AW148">
        <f ca="1">IFERROR(IF(0=LEN(ReferenceData!$AW$148),"",ReferenceData!$AW$148),"")</f>
        <v>68.585566659999998</v>
      </c>
      <c r="AX148">
        <f ca="1">IFERROR(IF(0=LEN(ReferenceData!$AX$148),"",ReferenceData!$AX$148),"")</f>
        <v>67.55533518</v>
      </c>
      <c r="AY148">
        <f ca="1">IFERROR(IF(0=LEN(ReferenceData!$AY$148),"",ReferenceData!$AY$148),"")</f>
        <v>69.579030979999999</v>
      </c>
      <c r="AZ148">
        <f ca="1">IFERROR(IF(0=LEN(ReferenceData!$AZ$148),"",ReferenceData!$AZ$148),"")</f>
        <v>68.98789438</v>
      </c>
      <c r="BA148">
        <f ca="1">IFERROR(IF(0=LEN(ReferenceData!$BA$148),"",ReferenceData!$BA$148),"")</f>
        <v>70.90629319</v>
      </c>
      <c r="BB148">
        <f ca="1">IFERROR(IF(0=LEN(ReferenceData!$BB$148),"",ReferenceData!$BB$148),"")</f>
        <v>68.446026099999997</v>
      </c>
      <c r="BC148">
        <f ca="1">IFERROR(IF(0=LEN(ReferenceData!$BC$148),"",ReferenceData!$BC$148),"")</f>
        <v>69.645656950000003</v>
      </c>
      <c r="BD148">
        <f ca="1">IFERROR(IF(0=LEN(ReferenceData!$BD$148),"",ReferenceData!$BD$148),"")</f>
        <v>68.37777706</v>
      </c>
      <c r="BE148">
        <f ca="1">IFERROR(IF(0=LEN(ReferenceData!$BE$148),"",ReferenceData!$BE$148),"")</f>
        <v>70.167781129999995</v>
      </c>
      <c r="BF148">
        <f ca="1">IFERROR(IF(0=LEN(ReferenceData!$BF$148),"",ReferenceData!$BF$148),"")</f>
        <v>69.646716920000003</v>
      </c>
      <c r="BG148">
        <f ca="1">IFERROR(IF(0=LEN(ReferenceData!$BG$148),"",ReferenceData!$BG$148),"")</f>
        <v>70.591964500000003</v>
      </c>
      <c r="BH148">
        <f ca="1">IFERROR(IF(0=LEN(ReferenceData!$BH$148),"",ReferenceData!$BH$148),"")</f>
        <v>70.229664869999993</v>
      </c>
      <c r="BI148">
        <f ca="1">IFERROR(IF(0=LEN(ReferenceData!$BI$148),"",ReferenceData!$BI$148),"")</f>
        <v>70.999241780000006</v>
      </c>
      <c r="BJ148">
        <f ca="1">IFERROR(IF(0=LEN(ReferenceData!$BJ$148),"",ReferenceData!$BJ$148),"")</f>
        <v>71.07890123</v>
      </c>
      <c r="BK148">
        <f ca="1">IFERROR(IF(0=LEN(ReferenceData!$BK$148),"",ReferenceData!$BK$148),"")</f>
        <v>101.68520650000001</v>
      </c>
      <c r="BL148">
        <f ca="1">IFERROR(IF(0=LEN(ReferenceData!$BL$148),"",ReferenceData!$BL$148),"")</f>
        <v>118.8549333</v>
      </c>
      <c r="BM148">
        <f ca="1">IFERROR(IF(0=LEN(ReferenceData!$BM$148),"",ReferenceData!$BM$148),"")</f>
        <v>70.605231140000001</v>
      </c>
    </row>
    <row r="149" spans="1:65">
      <c r="A149" t="str">
        <f>IFERROR(IF(0=LEN(ReferenceData!$A$149),"",ReferenceData!$A$149),"")</f>
        <v xml:space="preserve">    Care Capital Properties Inc</v>
      </c>
      <c r="B149" t="str">
        <f>IFERROR(IF(0=LEN(ReferenceData!$B$149),"",ReferenceData!$B$149),"")</f>
        <v>CCP US Equity</v>
      </c>
      <c r="C149" t="str">
        <f>IFERROR(IF(0=LEN(ReferenceData!$C$149),"",ReferenceData!$C$149),"")</f>
        <v>RX225</v>
      </c>
      <c r="D149" t="str">
        <f>IFERROR(IF(0=LEN(ReferenceData!$D$149),"",ReferenceData!$D$149),"")</f>
        <v>EBITDA_TO_REVENUE</v>
      </c>
      <c r="E149" t="str">
        <f>IFERROR(IF(0=LEN(ReferenceData!$E$149),"",ReferenceData!$E$149),"")</f>
        <v>动态</v>
      </c>
      <c r="F149" t="str">
        <f ca="1">IFERROR(IF(0=LEN(ReferenceData!$F$149),"",ReferenceData!$F$149),"")</f>
        <v/>
      </c>
      <c r="G149" t="str">
        <f ca="1">IFERROR(IF(0=LEN(ReferenceData!$G$149),"",ReferenceData!$G$149),"")</f>
        <v/>
      </c>
      <c r="H149" t="str">
        <f ca="1">IFERROR(IF(0=LEN(ReferenceData!$H$149),"",ReferenceData!$H$149),"")</f>
        <v/>
      </c>
      <c r="I149">
        <f ca="1">IFERROR(IF(0=LEN(ReferenceData!$I$149),"",ReferenceData!$I$149),"")</f>
        <v>106.624627</v>
      </c>
      <c r="J149">
        <f ca="1">IFERROR(IF(0=LEN(ReferenceData!$J$149),"",ReferenceData!$J$149),"")</f>
        <v>87.187331729999997</v>
      </c>
      <c r="K149">
        <f ca="1">IFERROR(IF(0=LEN(ReferenceData!$K$149),"",ReferenceData!$K$149),"")</f>
        <v>94.977740339999997</v>
      </c>
      <c r="L149">
        <f ca="1">IFERROR(IF(0=LEN(ReferenceData!$L$149),"",ReferenceData!$L$149),"")</f>
        <v>82.119577050000004</v>
      </c>
      <c r="M149">
        <f ca="1">IFERROR(IF(0=LEN(ReferenceData!$M$149),"",ReferenceData!$M$149),"")</f>
        <v>86.210921999999997</v>
      </c>
      <c r="N149">
        <f ca="1">IFERROR(IF(0=LEN(ReferenceData!$N$149),"",ReferenceData!$N$149),"")</f>
        <v>86.649397350000001</v>
      </c>
      <c r="O149">
        <f ca="1">IFERROR(IF(0=LEN(ReferenceData!$O$149),"",ReferenceData!$O$149),"")</f>
        <v>86.658803860000006</v>
      </c>
      <c r="P149">
        <f ca="1">IFERROR(IF(0=LEN(ReferenceData!$P$149),"",ReferenceData!$P$149),"")</f>
        <v>84.779571660000002</v>
      </c>
      <c r="Q149" t="str">
        <f ca="1">IFERROR(IF(0=LEN(ReferenceData!$Q$149),"",ReferenceData!$Q$149),"")</f>
        <v/>
      </c>
      <c r="R149" t="str">
        <f ca="1">IFERROR(IF(0=LEN(ReferenceData!$R$149),"",ReferenceData!$R$149),"")</f>
        <v/>
      </c>
      <c r="S149" t="str">
        <f ca="1">IFERROR(IF(0=LEN(ReferenceData!$S$149),"",ReferenceData!$S$149),"")</f>
        <v/>
      </c>
      <c r="T149" t="str">
        <f ca="1">IFERROR(IF(0=LEN(ReferenceData!$T$149),"",ReferenceData!$T$149),"")</f>
        <v/>
      </c>
      <c r="U149" t="str">
        <f ca="1">IFERROR(IF(0=LEN(ReferenceData!$U$149),"",ReferenceData!$U$149),"")</f>
        <v/>
      </c>
      <c r="V149" t="str">
        <f ca="1">IFERROR(IF(0=LEN(ReferenceData!$V$149),"",ReferenceData!$V$149),"")</f>
        <v/>
      </c>
      <c r="W149" t="str">
        <f ca="1">IFERROR(IF(0=LEN(ReferenceData!$W$149),"",ReferenceData!$W$149),"")</f>
        <v/>
      </c>
      <c r="X149" t="str">
        <f ca="1">IFERROR(IF(0=LEN(ReferenceData!$X$149),"",ReferenceData!$X$149),"")</f>
        <v/>
      </c>
      <c r="Y149" t="str">
        <f ca="1">IFERROR(IF(0=LEN(ReferenceData!$Y$149),"",ReferenceData!$Y$149),"")</f>
        <v/>
      </c>
      <c r="Z149" t="str">
        <f ca="1">IFERROR(IF(0=LEN(ReferenceData!$Z$149),"",ReferenceData!$Z$149),"")</f>
        <v/>
      </c>
      <c r="AA149" t="str">
        <f ca="1">IFERROR(IF(0=LEN(ReferenceData!$AA$149),"",ReferenceData!$AA$149),"")</f>
        <v/>
      </c>
      <c r="AB149" t="str">
        <f ca="1">IFERROR(IF(0=LEN(ReferenceData!$AB$149),"",ReferenceData!$AB$149),"")</f>
        <v/>
      </c>
      <c r="AC149" t="str">
        <f ca="1">IFERROR(IF(0=LEN(ReferenceData!$AC$149),"",ReferenceData!$AC$149),"")</f>
        <v/>
      </c>
      <c r="AD149" t="str">
        <f ca="1">IFERROR(IF(0=LEN(ReferenceData!$AD$149),"",ReferenceData!$AD$149),"")</f>
        <v/>
      </c>
      <c r="AE149" t="str">
        <f ca="1">IFERROR(IF(0=LEN(ReferenceData!$AE$149),"",ReferenceData!$AE$149),"")</f>
        <v/>
      </c>
      <c r="AF149" t="str">
        <f ca="1">IFERROR(IF(0=LEN(ReferenceData!$AF$149),"",ReferenceData!$AF$149),"")</f>
        <v/>
      </c>
      <c r="AG149" t="str">
        <f ca="1">IFERROR(IF(0=LEN(ReferenceData!$AG$149),"",ReferenceData!$AG$149),"")</f>
        <v/>
      </c>
      <c r="AH149" t="str">
        <f ca="1">IFERROR(IF(0=LEN(ReferenceData!$AH$149),"",ReferenceData!$AH$149),"")</f>
        <v/>
      </c>
      <c r="AI149" t="str">
        <f ca="1">IFERROR(IF(0=LEN(ReferenceData!$AI$149),"",ReferenceData!$AI$149),"")</f>
        <v/>
      </c>
      <c r="AJ149" t="str">
        <f ca="1">IFERROR(IF(0=LEN(ReferenceData!$AJ$149),"",ReferenceData!$AJ$149),"")</f>
        <v/>
      </c>
      <c r="AK149" t="str">
        <f ca="1">IFERROR(IF(0=LEN(ReferenceData!$AK$149),"",ReferenceData!$AK$149),"")</f>
        <v/>
      </c>
      <c r="AL149" t="str">
        <f ca="1">IFERROR(IF(0=LEN(ReferenceData!$AL$149),"",ReferenceData!$AL$149),"")</f>
        <v/>
      </c>
      <c r="AM149" t="str">
        <f ca="1">IFERROR(IF(0=LEN(ReferenceData!$AM$149),"",ReferenceData!$AM$149),"")</f>
        <v/>
      </c>
      <c r="AN149" t="str">
        <f ca="1">IFERROR(IF(0=LEN(ReferenceData!$AN$149),"",ReferenceData!$AN$149),"")</f>
        <v/>
      </c>
      <c r="AO149" t="str">
        <f ca="1">IFERROR(IF(0=LEN(ReferenceData!$AO$149),"",ReferenceData!$AO$149),"")</f>
        <v/>
      </c>
      <c r="AP149" t="str">
        <f ca="1">IFERROR(IF(0=LEN(ReferenceData!$AP$149),"",ReferenceData!$AP$149),"")</f>
        <v/>
      </c>
      <c r="AQ149" t="str">
        <f ca="1">IFERROR(IF(0=LEN(ReferenceData!$AQ$149),"",ReferenceData!$AQ$149),"")</f>
        <v/>
      </c>
      <c r="AR149" t="str">
        <f ca="1">IFERROR(IF(0=LEN(ReferenceData!$AR$149),"",ReferenceData!$AR$149),"")</f>
        <v/>
      </c>
      <c r="AS149" t="str">
        <f ca="1">IFERROR(IF(0=LEN(ReferenceData!$AS$149),"",ReferenceData!$AS$149),"")</f>
        <v/>
      </c>
      <c r="AT149" t="str">
        <f ca="1">IFERROR(IF(0=LEN(ReferenceData!$AT$149),"",ReferenceData!$AT$149),"")</f>
        <v/>
      </c>
      <c r="AU149" t="str">
        <f ca="1">IFERROR(IF(0=LEN(ReferenceData!$AU$149),"",ReferenceData!$AU$149),"")</f>
        <v/>
      </c>
      <c r="AV149" t="str">
        <f ca="1">IFERROR(IF(0=LEN(ReferenceData!$AV$149),"",ReferenceData!$AV$149),"")</f>
        <v/>
      </c>
      <c r="AW149" t="str">
        <f ca="1">IFERROR(IF(0=LEN(ReferenceData!$AW$149),"",ReferenceData!$AW$149),"")</f>
        <v/>
      </c>
      <c r="AX149" t="str">
        <f ca="1">IFERROR(IF(0=LEN(ReferenceData!$AX$149),"",ReferenceData!$AX$149),"")</f>
        <v/>
      </c>
      <c r="AY149" t="str">
        <f ca="1">IFERROR(IF(0=LEN(ReferenceData!$AY$149),"",ReferenceData!$AY$149),"")</f>
        <v/>
      </c>
      <c r="AZ149" t="str">
        <f ca="1">IFERROR(IF(0=LEN(ReferenceData!$AZ$149),"",ReferenceData!$AZ$149),"")</f>
        <v/>
      </c>
      <c r="BA149" t="str">
        <f ca="1">IFERROR(IF(0=LEN(ReferenceData!$BA$149),"",ReferenceData!$BA$149),"")</f>
        <v/>
      </c>
      <c r="BB149" t="str">
        <f ca="1">IFERROR(IF(0=LEN(ReferenceData!$BB$149),"",ReferenceData!$BB$149),"")</f>
        <v/>
      </c>
      <c r="BC149" t="str">
        <f ca="1">IFERROR(IF(0=LEN(ReferenceData!$BC$149),"",ReferenceData!$BC$149),"")</f>
        <v/>
      </c>
      <c r="BD149" t="str">
        <f ca="1">IFERROR(IF(0=LEN(ReferenceData!$BD$149),"",ReferenceData!$BD$149),"")</f>
        <v/>
      </c>
      <c r="BE149" t="str">
        <f ca="1">IFERROR(IF(0=LEN(ReferenceData!$BE$149),"",ReferenceData!$BE$149),"")</f>
        <v/>
      </c>
      <c r="BF149" t="str">
        <f ca="1">IFERROR(IF(0=LEN(ReferenceData!$BF$149),"",ReferenceData!$BF$149),"")</f>
        <v/>
      </c>
      <c r="BG149" t="str">
        <f ca="1">IFERROR(IF(0=LEN(ReferenceData!$BG$149),"",ReferenceData!$BG$149),"")</f>
        <v/>
      </c>
      <c r="BH149" t="str">
        <f ca="1">IFERROR(IF(0=LEN(ReferenceData!$BH$149),"",ReferenceData!$BH$149),"")</f>
        <v/>
      </c>
      <c r="BI149" t="str">
        <f ca="1">IFERROR(IF(0=LEN(ReferenceData!$BI$149),"",ReferenceData!$BI$149),"")</f>
        <v/>
      </c>
      <c r="BJ149" t="str">
        <f ca="1">IFERROR(IF(0=LEN(ReferenceData!$BJ$149),"",ReferenceData!$BJ$149),"")</f>
        <v/>
      </c>
      <c r="BK149" t="str">
        <f ca="1">IFERROR(IF(0=LEN(ReferenceData!$BK$149),"",ReferenceData!$BK$149),"")</f>
        <v/>
      </c>
      <c r="BL149" t="str">
        <f ca="1">IFERROR(IF(0=LEN(ReferenceData!$BL$149),"",ReferenceData!$BL$149),"")</f>
        <v/>
      </c>
      <c r="BM149" t="str">
        <f ca="1">IFERROR(IF(0=LEN(ReferenceData!$BM$149),"",ReferenceData!$BM$149),"")</f>
        <v/>
      </c>
    </row>
    <row r="150" spans="1:65">
      <c r="A150" t="str">
        <f>IFERROR(IF(0=LEN(ReferenceData!$A$150),"",ReferenceData!$A$150),"")</f>
        <v xml:space="preserve">    HCP Inc</v>
      </c>
      <c r="B150" t="str">
        <f>IFERROR(IF(0=LEN(ReferenceData!$B$150),"",ReferenceData!$B$150),"")</f>
        <v>HCP US Equity</v>
      </c>
      <c r="C150" t="str">
        <f>IFERROR(IF(0=LEN(ReferenceData!$C$150),"",ReferenceData!$C$150),"")</f>
        <v>RX225</v>
      </c>
      <c r="D150" t="str">
        <f>IFERROR(IF(0=LEN(ReferenceData!$D$150),"",ReferenceData!$D$150),"")</f>
        <v>EBITDA_TO_REVENUE</v>
      </c>
      <c r="E150" t="str">
        <f>IFERROR(IF(0=LEN(ReferenceData!$E$150),"",ReferenceData!$E$150),"")</f>
        <v>动态</v>
      </c>
      <c r="F150" t="str">
        <f ca="1">IFERROR(IF(0=LEN(ReferenceData!$F$150),"",ReferenceData!$F$150),"")</f>
        <v/>
      </c>
      <c r="G150">
        <f ca="1">IFERROR(IF(0=LEN(ReferenceData!$G$150),"",ReferenceData!$G$150),"")</f>
        <v>30.831861279999998</v>
      </c>
      <c r="H150">
        <f ca="1">IFERROR(IF(0=LEN(ReferenceData!$H$150),"",ReferenceData!$H$150),"")</f>
        <v>55.729996059999998</v>
      </c>
      <c r="I150">
        <f ca="1">IFERROR(IF(0=LEN(ReferenceData!$I$150),"",ReferenceData!$I$150),"")</f>
        <v>50.172793990000002</v>
      </c>
      <c r="J150">
        <f ca="1">IFERROR(IF(0=LEN(ReferenceData!$J$150),"",ReferenceData!$J$150),"")</f>
        <v>63.660579310000003</v>
      </c>
      <c r="K150">
        <f ca="1">IFERROR(IF(0=LEN(ReferenceData!$K$150),"",ReferenceData!$K$150),"")</f>
        <v>60.265024539999999</v>
      </c>
      <c r="L150">
        <f ca="1">IFERROR(IF(0=LEN(ReferenceData!$L$150),"",ReferenceData!$L$150),"")</f>
        <v>64.58327602</v>
      </c>
      <c r="M150">
        <f ca="1">IFERROR(IF(0=LEN(ReferenceData!$M$150),"",ReferenceData!$M$150),"")</f>
        <v>62.937390290000003</v>
      </c>
      <c r="N150">
        <f ca="1">IFERROR(IF(0=LEN(ReferenceData!$N$150),"",ReferenceData!$N$150),"")</f>
        <v>68.780021910000002</v>
      </c>
      <c r="O150">
        <f ca="1">IFERROR(IF(0=LEN(ReferenceData!$O$150),"",ReferenceData!$O$150),"")</f>
        <v>64.418968910000004</v>
      </c>
      <c r="P150">
        <f ca="1">IFERROR(IF(0=LEN(ReferenceData!$P$150),"",ReferenceData!$P$150),"")</f>
        <v>60.422145129999997</v>
      </c>
      <c r="Q150">
        <f ca="1">IFERROR(IF(0=LEN(ReferenceData!$Q$150),"",ReferenceData!$Q$150),"")</f>
        <v>63.931447230000003</v>
      </c>
      <c r="R150">
        <f ca="1">IFERROR(IF(0=LEN(ReferenceData!$R$150),"",ReferenceData!$R$150),"")</f>
        <v>-3.6149845040000002</v>
      </c>
      <c r="S150">
        <f ca="1">IFERROR(IF(0=LEN(ReferenceData!$S$150),"",ReferenceData!$S$150),"")</f>
        <v>75.270575679999993</v>
      </c>
      <c r="T150">
        <f ca="1">IFERROR(IF(0=LEN(ReferenceData!$T$150),"",ReferenceData!$T$150),"")</f>
        <v>79.993228720000005</v>
      </c>
      <c r="U150">
        <f ca="1">IFERROR(IF(0=LEN(ReferenceData!$U$150),"",ReferenceData!$U$150),"")</f>
        <v>80.976682499999995</v>
      </c>
      <c r="V150">
        <f ca="1">IFERROR(IF(0=LEN(ReferenceData!$V$150),"",ReferenceData!$V$150),"")</f>
        <v>82.569736899999995</v>
      </c>
      <c r="W150">
        <f ca="1">IFERROR(IF(0=LEN(ReferenceData!$W$150),"",ReferenceData!$W$150),"")</f>
        <v>89.727266040000003</v>
      </c>
      <c r="X150">
        <f ca="1">IFERROR(IF(0=LEN(ReferenceData!$X$150),"",ReferenceData!$X$150),"")</f>
        <v>77.773100130000003</v>
      </c>
      <c r="Y150">
        <f ca="1">IFERROR(IF(0=LEN(ReferenceData!$Y$150),"",ReferenceData!$Y$150),"")</f>
        <v>81.224779839999997</v>
      </c>
      <c r="Z150">
        <f ca="1">IFERROR(IF(0=LEN(ReferenceData!$Z$150),"",ReferenceData!$Z$150),"")</f>
        <v>83.087956239999997</v>
      </c>
      <c r="AA150">
        <f ca="1">IFERROR(IF(0=LEN(ReferenceData!$AA$150),"",ReferenceData!$AA$150),"")</f>
        <v>85.4463042</v>
      </c>
      <c r="AB150">
        <f ca="1">IFERROR(IF(0=LEN(ReferenceData!$AB$150),"",ReferenceData!$AB$150),"")</f>
        <v>79.16746784</v>
      </c>
      <c r="AC150">
        <f ca="1">IFERROR(IF(0=LEN(ReferenceData!$AC$150),"",ReferenceData!$AC$150),"")</f>
        <v>81.575752309999999</v>
      </c>
      <c r="AD150">
        <f ca="1">IFERROR(IF(0=LEN(ReferenceData!$AD$150),"",ReferenceData!$AD$150),"")</f>
        <v>81.325590629999994</v>
      </c>
      <c r="AE150">
        <f ca="1">IFERROR(IF(0=LEN(ReferenceData!$AE$150),"",ReferenceData!$AE$150),"")</f>
        <v>58.121763719999997</v>
      </c>
      <c r="AF150">
        <f ca="1">IFERROR(IF(0=LEN(ReferenceData!$AF$150),"",ReferenceData!$AF$150),"")</f>
        <v>79.148469390000002</v>
      </c>
      <c r="AG150">
        <f ca="1">IFERROR(IF(0=LEN(ReferenceData!$AG$150),"",ReferenceData!$AG$150),"")</f>
        <v>83.111702940000001</v>
      </c>
      <c r="AH150">
        <f ca="1">IFERROR(IF(0=LEN(ReferenceData!$AH$150),"",ReferenceData!$AH$150),"")</f>
        <v>79.021707620000001</v>
      </c>
      <c r="AI150">
        <f ca="1">IFERROR(IF(0=LEN(ReferenceData!$AI$150),"",ReferenceData!$AI$150),"")</f>
        <v>77.37223066</v>
      </c>
      <c r="AJ150">
        <f ca="1">IFERROR(IF(0=LEN(ReferenceData!$AJ$150),"",ReferenceData!$AJ$150),"")</f>
        <v>51.697056289999999</v>
      </c>
      <c r="AK150">
        <f ca="1">IFERROR(IF(0=LEN(ReferenceData!$AK$150),"",ReferenceData!$AK$150),"")</f>
        <v>77.972485480000003</v>
      </c>
      <c r="AL150">
        <f ca="1">IFERROR(IF(0=LEN(ReferenceData!$AL$150),"",ReferenceData!$AL$150),"")</f>
        <v>79.304321279999996</v>
      </c>
      <c r="AM150">
        <f ca="1">IFERROR(IF(0=LEN(ReferenceData!$AM$150),"",ReferenceData!$AM$150),"")</f>
        <v>59.781571450000001</v>
      </c>
      <c r="AN150">
        <f ca="1">IFERROR(IF(0=LEN(ReferenceData!$AN$150),"",ReferenceData!$AN$150),"")</f>
        <v>35.242869290000002</v>
      </c>
      <c r="AO150">
        <f ca="1">IFERROR(IF(0=LEN(ReferenceData!$AO$150),"",ReferenceData!$AO$150),"")</f>
        <v>72.885476030000007</v>
      </c>
      <c r="AP150">
        <f ca="1">IFERROR(IF(0=LEN(ReferenceData!$AP$150),"",ReferenceData!$AP$150),"")</f>
        <v>75.039168259999997</v>
      </c>
      <c r="AQ150">
        <f ca="1">IFERROR(IF(0=LEN(ReferenceData!$AQ$150),"",ReferenceData!$AQ$150),"")</f>
        <v>76.57910262</v>
      </c>
      <c r="AR150">
        <f ca="1">IFERROR(IF(0=LEN(ReferenceData!$AR$150),"",ReferenceData!$AR$150),"")</f>
        <v>74.703194300000007</v>
      </c>
      <c r="AS150">
        <f ca="1">IFERROR(IF(0=LEN(ReferenceData!$AS$150),"",ReferenceData!$AS$150),"")</f>
        <v>73.777911770000003</v>
      </c>
      <c r="AT150">
        <f ca="1">IFERROR(IF(0=LEN(ReferenceData!$AT$150),"",ReferenceData!$AT$150),"")</f>
        <v>73.000861950000001</v>
      </c>
      <c r="AU150">
        <f ca="1">IFERROR(IF(0=LEN(ReferenceData!$AU$150),"",ReferenceData!$AU$150),"")</f>
        <v>74.897455960000002</v>
      </c>
      <c r="AV150">
        <f ca="1">IFERROR(IF(0=LEN(ReferenceData!$AV$150),"",ReferenceData!$AV$150),"")</f>
        <v>73.667680709999999</v>
      </c>
      <c r="AW150">
        <f ca="1">IFERROR(IF(0=LEN(ReferenceData!$AW$150),"",ReferenceData!$AW$150),"")</f>
        <v>76.183730890000007</v>
      </c>
      <c r="AX150">
        <f ca="1">IFERROR(IF(0=LEN(ReferenceData!$AX$150),"",ReferenceData!$AX$150),"")</f>
        <v>73.531201440000004</v>
      </c>
      <c r="AY150">
        <f ca="1">IFERROR(IF(0=LEN(ReferenceData!$AY$150),"",ReferenceData!$AY$150),"")</f>
        <v>74.140818159999995</v>
      </c>
      <c r="AZ150">
        <f ca="1">IFERROR(IF(0=LEN(ReferenceData!$AZ$150),"",ReferenceData!$AZ$150),"")</f>
        <v>80.289613149999994</v>
      </c>
      <c r="BA150">
        <f ca="1">IFERROR(IF(0=LEN(ReferenceData!$BA$150),"",ReferenceData!$BA$150),"")</f>
        <v>80.302326379999997</v>
      </c>
      <c r="BB150">
        <f ca="1">IFERROR(IF(0=LEN(ReferenceData!$BB$150),"",ReferenceData!$BB$150),"")</f>
        <v>81.114125939999994</v>
      </c>
      <c r="BC150">
        <f ca="1">IFERROR(IF(0=LEN(ReferenceData!$BC$150),"",ReferenceData!$BC$150),"")</f>
        <v>81.149695800000003</v>
      </c>
      <c r="BD150">
        <f ca="1">IFERROR(IF(0=LEN(ReferenceData!$BD$150),"",ReferenceData!$BD$150),"")</f>
        <v>81.206630200000006</v>
      </c>
      <c r="BE150">
        <f ca="1">IFERROR(IF(0=LEN(ReferenceData!$BE$150),"",ReferenceData!$BE$150),"")</f>
        <v>80.809036710000001</v>
      </c>
      <c r="BF150">
        <f ca="1">IFERROR(IF(0=LEN(ReferenceData!$BF$150),"",ReferenceData!$BF$150),"")</f>
        <v>81.200717519999998</v>
      </c>
      <c r="BG150">
        <f ca="1">IFERROR(IF(0=LEN(ReferenceData!$BG$150),"",ReferenceData!$BG$150),"")</f>
        <v>81.169160539999993</v>
      </c>
      <c r="BH150">
        <f ca="1">IFERROR(IF(0=LEN(ReferenceData!$BH$150),"",ReferenceData!$BH$150),"")</f>
        <v>88.159555889999993</v>
      </c>
      <c r="BI150">
        <f ca="1">IFERROR(IF(0=LEN(ReferenceData!$BI$150),"",ReferenceData!$BI$150),"")</f>
        <v>84.963521360000001</v>
      </c>
      <c r="BJ150">
        <f ca="1">IFERROR(IF(0=LEN(ReferenceData!$BJ$150),"",ReferenceData!$BJ$150),"")</f>
        <v>84.078858850000003</v>
      </c>
      <c r="BK150">
        <f ca="1">IFERROR(IF(0=LEN(ReferenceData!$BK$150),"",ReferenceData!$BK$150),"")</f>
        <v>76.829992579999995</v>
      </c>
      <c r="BL150">
        <f ca="1">IFERROR(IF(0=LEN(ReferenceData!$BL$150),"",ReferenceData!$BL$150),"")</f>
        <v>89.313894009999999</v>
      </c>
      <c r="BM150">
        <f ca="1">IFERROR(IF(0=LEN(ReferenceData!$BM$150),"",ReferenceData!$BM$150),"")</f>
        <v>89.406710889999999</v>
      </c>
    </row>
    <row r="151" spans="1:65">
      <c r="A151" t="str">
        <f>IFERROR(IF(0=LEN(ReferenceData!$A$151),"",ReferenceData!$A$151),"")</f>
        <v xml:space="preserve">    Healthcare Realty Trust Inc</v>
      </c>
      <c r="B151" t="str">
        <f>IFERROR(IF(0=LEN(ReferenceData!$B$151),"",ReferenceData!$B$151),"")</f>
        <v>HR US Equity</v>
      </c>
      <c r="C151" t="str">
        <f>IFERROR(IF(0=LEN(ReferenceData!$C$151),"",ReferenceData!$C$151),"")</f>
        <v>RX225</v>
      </c>
      <c r="D151" t="str">
        <f>IFERROR(IF(0=LEN(ReferenceData!$D$151),"",ReferenceData!$D$151),"")</f>
        <v>EBITDA_TO_REVENUE</v>
      </c>
      <c r="E151" t="str">
        <f>IFERROR(IF(0=LEN(ReferenceData!$E$151),"",ReferenceData!$E$151),"")</f>
        <v>动态</v>
      </c>
      <c r="F151" t="str">
        <f ca="1">IFERROR(IF(0=LEN(ReferenceData!$F$151),"",ReferenceData!$F$151),"")</f>
        <v/>
      </c>
      <c r="G151">
        <f ca="1">IFERROR(IF(0=LEN(ReferenceData!$G$151),"",ReferenceData!$G$151),"")</f>
        <v>54.381747130000001</v>
      </c>
      <c r="H151">
        <f ca="1">IFERROR(IF(0=LEN(ReferenceData!$H$151),"",ReferenceData!$H$151),"")</f>
        <v>47.214196889999997</v>
      </c>
      <c r="I151">
        <f ca="1">IFERROR(IF(0=LEN(ReferenceData!$I$151),"",ReferenceData!$I$151),"")</f>
        <v>56.096726689999997</v>
      </c>
      <c r="J151">
        <f ca="1">IFERROR(IF(0=LEN(ReferenceData!$J$151),"",ReferenceData!$J$151),"")</f>
        <v>55.864548769999999</v>
      </c>
      <c r="K151">
        <f ca="1">IFERROR(IF(0=LEN(ReferenceData!$K$151),"",ReferenceData!$K$151),"")</f>
        <v>57.168902940000002</v>
      </c>
      <c r="L151">
        <f ca="1">IFERROR(IF(0=LEN(ReferenceData!$L$151),"",ReferenceData!$L$151),"")</f>
        <v>56.298054200000003</v>
      </c>
      <c r="M151">
        <f ca="1">IFERROR(IF(0=LEN(ReferenceData!$M$151),"",ReferenceData!$M$151),"")</f>
        <v>57.429707139999998</v>
      </c>
      <c r="N151">
        <f ca="1">IFERROR(IF(0=LEN(ReferenceData!$N$151),"",ReferenceData!$N$151),"")</f>
        <v>55.214404969999997</v>
      </c>
      <c r="O151">
        <f ca="1">IFERROR(IF(0=LEN(ReferenceData!$O$151),"",ReferenceData!$O$151),"")</f>
        <v>56.182670260000002</v>
      </c>
      <c r="P151">
        <f ca="1">IFERROR(IF(0=LEN(ReferenceData!$P$151),"",ReferenceData!$P$151),"")</f>
        <v>57.610752130000002</v>
      </c>
      <c r="Q151">
        <f ca="1">IFERROR(IF(0=LEN(ReferenceData!$Q$151),"",ReferenceData!$Q$151),"")</f>
        <v>52.877735039999997</v>
      </c>
      <c r="R151">
        <f ca="1">IFERROR(IF(0=LEN(ReferenceData!$R$151),"",ReferenceData!$R$151),"")</f>
        <v>55.459484119999999</v>
      </c>
      <c r="S151">
        <f ca="1">IFERROR(IF(0=LEN(ReferenceData!$S$151),"",ReferenceData!$S$151),"")</f>
        <v>59.9</v>
      </c>
      <c r="T151">
        <f ca="1">IFERROR(IF(0=LEN(ReferenceData!$T$151),"",ReferenceData!$T$151),"")</f>
        <v>59.493873710000003</v>
      </c>
      <c r="U151">
        <f ca="1">IFERROR(IF(0=LEN(ReferenceData!$U$151),"",ReferenceData!$U$151),"")</f>
        <v>58.755767910000003</v>
      </c>
      <c r="V151">
        <f ca="1">IFERROR(IF(0=LEN(ReferenceData!$V$151),"",ReferenceData!$V$151),"")</f>
        <v>58.897439579999997</v>
      </c>
      <c r="W151">
        <f ca="1">IFERROR(IF(0=LEN(ReferenceData!$W$151),"",ReferenceData!$W$151),"")</f>
        <v>60.10471441</v>
      </c>
      <c r="X151">
        <f ca="1">IFERROR(IF(0=LEN(ReferenceData!$X$151),"",ReferenceData!$X$151),"")</f>
        <v>56.800851000000002</v>
      </c>
      <c r="Y151">
        <f ca="1">IFERROR(IF(0=LEN(ReferenceData!$Y$151),"",ReferenceData!$Y$151),"")</f>
        <v>56.605277559999998</v>
      </c>
      <c r="Z151">
        <f ca="1">IFERROR(IF(0=LEN(ReferenceData!$Z$151),"",ReferenceData!$Z$151),"")</f>
        <v>57.69685947</v>
      </c>
      <c r="AA151">
        <f ca="1">IFERROR(IF(0=LEN(ReferenceData!$AA$151),"",ReferenceData!$AA$151),"")</f>
        <v>24.81022364</v>
      </c>
      <c r="AB151">
        <f ca="1">IFERROR(IF(0=LEN(ReferenceData!$AB$151),"",ReferenceData!$AB$151),"")</f>
        <v>57.81353575</v>
      </c>
      <c r="AC151">
        <f ca="1">IFERROR(IF(0=LEN(ReferenceData!$AC$151),"",ReferenceData!$AC$151),"")</f>
        <v>58.710192929999998</v>
      </c>
      <c r="AD151">
        <f ca="1">IFERROR(IF(0=LEN(ReferenceData!$AD$151),"",ReferenceData!$AD$151),"")</f>
        <v>58.282675769999997</v>
      </c>
      <c r="AE151">
        <f ca="1">IFERROR(IF(0=LEN(ReferenceData!$AE$151),"",ReferenceData!$AE$151),"")</f>
        <v>59.837361639999997</v>
      </c>
      <c r="AF151">
        <f ca="1">IFERROR(IF(0=LEN(ReferenceData!$AF$151),"",ReferenceData!$AF$151),"")</f>
        <v>55.100824750000001</v>
      </c>
      <c r="AG151">
        <f ca="1">IFERROR(IF(0=LEN(ReferenceData!$AG$151),"",ReferenceData!$AG$151),"")</f>
        <v>56.46827554</v>
      </c>
      <c r="AH151">
        <f ca="1">IFERROR(IF(0=LEN(ReferenceData!$AH$151),"",ReferenceData!$AH$151),"")</f>
        <v>55.064996389999997</v>
      </c>
      <c r="AI151">
        <f ca="1">IFERROR(IF(0=LEN(ReferenceData!$AI$151),"",ReferenceData!$AI$151),"")</f>
        <v>56.223635049999999</v>
      </c>
      <c r="AJ151">
        <f ca="1">IFERROR(IF(0=LEN(ReferenceData!$AJ$151),"",ReferenceData!$AJ$151),"")</f>
        <v>52.049326729999997</v>
      </c>
      <c r="AK151">
        <f ca="1">IFERROR(IF(0=LEN(ReferenceData!$AK$151),"",ReferenceData!$AK$151),"")</f>
        <v>59.011496049999998</v>
      </c>
      <c r="AL151">
        <f ca="1">IFERROR(IF(0=LEN(ReferenceData!$AL$151),"",ReferenceData!$AL$151),"")</f>
        <v>56.531263389999999</v>
      </c>
      <c r="AM151">
        <f ca="1">IFERROR(IF(0=LEN(ReferenceData!$AM$151),"",ReferenceData!$AM$151),"")</f>
        <v>55.311785729999997</v>
      </c>
      <c r="AN151">
        <f ca="1">IFERROR(IF(0=LEN(ReferenceData!$AN$151),"",ReferenceData!$AN$151),"")</f>
        <v>55.758956499999996</v>
      </c>
      <c r="AO151">
        <f ca="1">IFERROR(IF(0=LEN(ReferenceData!$AO$151),"",ReferenceData!$AO$151),"")</f>
        <v>56.012332989999997</v>
      </c>
      <c r="AP151">
        <f ca="1">IFERROR(IF(0=LEN(ReferenceData!$AP$151),"",ReferenceData!$AP$151),"")</f>
        <v>52.133090690000003</v>
      </c>
      <c r="AQ151">
        <f ca="1">IFERROR(IF(0=LEN(ReferenceData!$AQ$151),"",ReferenceData!$AQ$151),"")</f>
        <v>46.168265519999999</v>
      </c>
      <c r="AR151">
        <f ca="1">IFERROR(IF(0=LEN(ReferenceData!$AR$151),"",ReferenceData!$AR$151),"")</f>
        <v>50.64381607</v>
      </c>
      <c r="AS151">
        <f ca="1">IFERROR(IF(0=LEN(ReferenceData!$AS$151),"",ReferenceData!$AS$151),"")</f>
        <v>54.166904119999998</v>
      </c>
      <c r="AT151">
        <f ca="1">IFERROR(IF(0=LEN(ReferenceData!$AT$151),"",ReferenceData!$AT$151),"")</f>
        <v>55.181793800000001</v>
      </c>
      <c r="AU151">
        <f ca="1">IFERROR(IF(0=LEN(ReferenceData!$AU$151),"",ReferenceData!$AU$151),"")</f>
        <v>56.128202129999998</v>
      </c>
      <c r="AV151">
        <f ca="1">IFERROR(IF(0=LEN(ReferenceData!$AV$151),"",ReferenceData!$AV$151),"")</f>
        <v>56.297675890000001</v>
      </c>
      <c r="AW151">
        <f ca="1">IFERROR(IF(0=LEN(ReferenceData!$AW$151),"",ReferenceData!$AW$151),"")</f>
        <v>55.854719109999998</v>
      </c>
      <c r="AX151">
        <f ca="1">IFERROR(IF(0=LEN(ReferenceData!$AX$151),"",ReferenceData!$AX$151),"")</f>
        <v>58.551319309999997</v>
      </c>
      <c r="AY151">
        <f ca="1">IFERROR(IF(0=LEN(ReferenceData!$AY$151),"",ReferenceData!$AY$151),"")</f>
        <v>63.781338499999997</v>
      </c>
      <c r="AZ151">
        <f ca="1">IFERROR(IF(0=LEN(ReferenceData!$AZ$151),"",ReferenceData!$AZ$151),"")</f>
        <v>66.502726199999998</v>
      </c>
      <c r="BA151">
        <f ca="1">IFERROR(IF(0=LEN(ReferenceData!$BA$151),"",ReferenceData!$BA$151),"")</f>
        <v>62.592612920000001</v>
      </c>
      <c r="BB151">
        <f ca="1">IFERROR(IF(0=LEN(ReferenceData!$BB$151),"",ReferenceData!$BB$151),"")</f>
        <v>63.792571449999997</v>
      </c>
      <c r="BC151">
        <f ca="1">IFERROR(IF(0=LEN(ReferenceData!$BC$151),"",ReferenceData!$BC$151),"")</f>
        <v>53.115278910000001</v>
      </c>
      <c r="BD151">
        <f ca="1">IFERROR(IF(0=LEN(ReferenceData!$BD$151),"",ReferenceData!$BD$151),"")</f>
        <v>59.651927639999997</v>
      </c>
      <c r="BE151">
        <f ca="1">IFERROR(IF(0=LEN(ReferenceData!$BE$151),"",ReferenceData!$BE$151),"")</f>
        <v>59.276553870000001</v>
      </c>
      <c r="BF151">
        <f ca="1">IFERROR(IF(0=LEN(ReferenceData!$BF$151),"",ReferenceData!$BF$151),"")</f>
        <v>63.293885930000002</v>
      </c>
      <c r="BG151">
        <f ca="1">IFERROR(IF(0=LEN(ReferenceData!$BG$151),"",ReferenceData!$BG$151),"")</f>
        <v>46.048841770000003</v>
      </c>
      <c r="BH151">
        <f ca="1">IFERROR(IF(0=LEN(ReferenceData!$BH$151),"",ReferenceData!$BH$151),"")</f>
        <v>66.435835679999997</v>
      </c>
      <c r="BI151">
        <f ca="1">IFERROR(IF(0=LEN(ReferenceData!$BI$151),"",ReferenceData!$BI$151),"")</f>
        <v>67.088517089999996</v>
      </c>
      <c r="BJ151">
        <f ca="1">IFERROR(IF(0=LEN(ReferenceData!$BJ$151),"",ReferenceData!$BJ$151),"")</f>
        <v>67.457064389999999</v>
      </c>
      <c r="BK151">
        <f ca="1">IFERROR(IF(0=LEN(ReferenceData!$BK$151),"",ReferenceData!$BK$151),"")</f>
        <v>52.125330890000001</v>
      </c>
      <c r="BL151">
        <f ca="1">IFERROR(IF(0=LEN(ReferenceData!$BL$151),"",ReferenceData!$BL$151),"")</f>
        <v>77.127882339999999</v>
      </c>
      <c r="BM151">
        <f ca="1">IFERROR(IF(0=LEN(ReferenceData!$BM$151),"",ReferenceData!$BM$151),"")</f>
        <v>77.058009949999999</v>
      </c>
    </row>
    <row r="152" spans="1:65">
      <c r="A152" t="str">
        <f>IFERROR(IF(0=LEN(ReferenceData!$A$152),"",ReferenceData!$A$152),"")</f>
        <v xml:space="preserve">    Healthcare Trust of America In</v>
      </c>
      <c r="B152" t="str">
        <f>IFERROR(IF(0=LEN(ReferenceData!$B$152),"",ReferenceData!$B$152),"")</f>
        <v>HTA US Equity</v>
      </c>
      <c r="C152" t="str">
        <f>IFERROR(IF(0=LEN(ReferenceData!$C$152),"",ReferenceData!$C$152),"")</f>
        <v>RX225</v>
      </c>
      <c r="D152" t="str">
        <f>IFERROR(IF(0=LEN(ReferenceData!$D$152),"",ReferenceData!$D$152),"")</f>
        <v>EBITDA_TO_REVENUE</v>
      </c>
      <c r="E152" t="str">
        <f>IFERROR(IF(0=LEN(ReferenceData!$E$152),"",ReferenceData!$E$152),"")</f>
        <v>动态</v>
      </c>
      <c r="F152" t="str">
        <f ca="1">IFERROR(IF(0=LEN(ReferenceData!$F$152),"",ReferenceData!$F$152),"")</f>
        <v/>
      </c>
      <c r="G152">
        <f ca="1">IFERROR(IF(0=LEN(ReferenceData!$G$152),"",ReferenceData!$G$152),"")</f>
        <v>58.167117449999999</v>
      </c>
      <c r="H152">
        <f ca="1">IFERROR(IF(0=LEN(ReferenceData!$H$152),"",ReferenceData!$H$152),"")</f>
        <v>62.018591540000003</v>
      </c>
      <c r="I152">
        <f ca="1">IFERROR(IF(0=LEN(ReferenceData!$I$152),"",ReferenceData!$I$152),"")</f>
        <v>54.824526910000003</v>
      </c>
      <c r="J152">
        <f ca="1">IFERROR(IF(0=LEN(ReferenceData!$J$152),"",ReferenceData!$J$152),"")</f>
        <v>60.9399503</v>
      </c>
      <c r="K152">
        <f ca="1">IFERROR(IF(0=LEN(ReferenceData!$K$152),"",ReferenceData!$K$152),"")</f>
        <v>58.336269549999997</v>
      </c>
      <c r="L152">
        <f ca="1">IFERROR(IF(0=LEN(ReferenceData!$L$152),"",ReferenceData!$L$152),"")</f>
        <v>61.299645089999999</v>
      </c>
      <c r="M152">
        <f ca="1">IFERROR(IF(0=LEN(ReferenceData!$M$152),"",ReferenceData!$M$152),"")</f>
        <v>60.786512879999997</v>
      </c>
      <c r="N152">
        <f ca="1">IFERROR(IF(0=LEN(ReferenceData!$N$152),"",ReferenceData!$N$152),"")</f>
        <v>60.232959049999998</v>
      </c>
      <c r="O152">
        <f ca="1">IFERROR(IF(0=LEN(ReferenceData!$O$152),"",ReferenceData!$O$152),"")</f>
        <v>61.732109080000001</v>
      </c>
      <c r="P152">
        <f ca="1">IFERROR(IF(0=LEN(ReferenceData!$P$152),"",ReferenceData!$P$152),"")</f>
        <v>59.67077793</v>
      </c>
      <c r="Q152">
        <f ca="1">IFERROR(IF(0=LEN(ReferenceData!$Q$152),"",ReferenceData!$Q$152),"")</f>
        <v>61.51785804</v>
      </c>
      <c r="R152">
        <f ca="1">IFERROR(IF(0=LEN(ReferenceData!$R$152),"",ReferenceData!$R$152),"")</f>
        <v>59.971579370000001</v>
      </c>
      <c r="S152">
        <f ca="1">IFERROR(IF(0=LEN(ReferenceData!$S$152),"",ReferenceData!$S$152),"")</f>
        <v>61.995241900000003</v>
      </c>
      <c r="T152">
        <f ca="1">IFERROR(IF(0=LEN(ReferenceData!$T$152),"",ReferenceData!$T$152),"")</f>
        <v>59.295120060000002</v>
      </c>
      <c r="U152">
        <f ca="1">IFERROR(IF(0=LEN(ReferenceData!$U$152),"",ReferenceData!$U$152),"")</f>
        <v>56.999475859999997</v>
      </c>
      <c r="V152">
        <f ca="1">IFERROR(IF(0=LEN(ReferenceData!$V$152),"",ReferenceData!$V$152),"")</f>
        <v>58.71484272</v>
      </c>
      <c r="W152">
        <f ca="1">IFERROR(IF(0=LEN(ReferenceData!$W$152),"",ReferenceData!$W$152),"")</f>
        <v>59.324632719999997</v>
      </c>
      <c r="X152">
        <f ca="1">IFERROR(IF(0=LEN(ReferenceData!$X$152),"",ReferenceData!$X$152),"")</f>
        <v>59.21905477</v>
      </c>
      <c r="Y152">
        <f ca="1">IFERROR(IF(0=LEN(ReferenceData!$Y$152),"",ReferenceData!$Y$152),"")</f>
        <v>61.256827790000003</v>
      </c>
      <c r="Z152">
        <f ca="1">IFERROR(IF(0=LEN(ReferenceData!$Z$152),"",ReferenceData!$Z$152),"")</f>
        <v>53.365165689999998</v>
      </c>
      <c r="AA152">
        <f ca="1">IFERROR(IF(0=LEN(ReferenceData!$AA$152),"",ReferenceData!$AA$152),"")</f>
        <v>52.265396389999999</v>
      </c>
      <c r="AB152">
        <f ca="1">IFERROR(IF(0=LEN(ReferenceData!$AB$152),"",ReferenceData!$AB$152),"")</f>
        <v>51.500025800000003</v>
      </c>
      <c r="AC152">
        <f ca="1">IFERROR(IF(0=LEN(ReferenceData!$AC$152),"",ReferenceData!$AC$152),"")</f>
        <v>37.543099460000001</v>
      </c>
      <c r="AD152">
        <f ca="1">IFERROR(IF(0=LEN(ReferenceData!$AD$152),"",ReferenceData!$AD$152),"")</f>
        <v>52.585035939999997</v>
      </c>
      <c r="AE152">
        <f ca="1">IFERROR(IF(0=LEN(ReferenceData!$AE$152),"",ReferenceData!$AE$152),"")</f>
        <v>45.179454309999997</v>
      </c>
      <c r="AF152">
        <f ca="1">IFERROR(IF(0=LEN(ReferenceData!$AF$152),"",ReferenceData!$AF$152),"")</f>
        <v>49.971404059999998</v>
      </c>
      <c r="AG152">
        <f ca="1">IFERROR(IF(0=LEN(ReferenceData!$AG$152),"",ReferenceData!$AG$152),"")</f>
        <v>59.131239530000002</v>
      </c>
      <c r="AH152">
        <f ca="1">IFERROR(IF(0=LEN(ReferenceData!$AH$152),"",ReferenceData!$AH$152),"")</f>
        <v>50.657337920000003</v>
      </c>
      <c r="AI152">
        <f ca="1">IFERROR(IF(0=LEN(ReferenceData!$AI$152),"",ReferenceData!$AI$152),"")</f>
        <v>42.689317109999998</v>
      </c>
      <c r="AJ152">
        <f ca="1">IFERROR(IF(0=LEN(ReferenceData!$AJ$152),"",ReferenceData!$AJ$152),"")</f>
        <v>51.908716849999998</v>
      </c>
      <c r="AK152">
        <f ca="1">IFERROR(IF(0=LEN(ReferenceData!$AK$152),"",ReferenceData!$AK$152),"")</f>
        <v>41.330983189999998</v>
      </c>
      <c r="AL152">
        <f ca="1">IFERROR(IF(0=LEN(ReferenceData!$AL$152),"",ReferenceData!$AL$152),"")</f>
        <v>58.752336030000002</v>
      </c>
      <c r="AM152" t="str">
        <f ca="1">IFERROR(IF(0=LEN(ReferenceData!$AM$152),"",ReferenceData!$AM$152),"")</f>
        <v/>
      </c>
      <c r="AN152" t="str">
        <f ca="1">IFERROR(IF(0=LEN(ReferenceData!$AN$152),"",ReferenceData!$AN$152),"")</f>
        <v/>
      </c>
      <c r="AO152" t="str">
        <f ca="1">IFERROR(IF(0=LEN(ReferenceData!$AO$152),"",ReferenceData!$AO$152),"")</f>
        <v/>
      </c>
      <c r="AP152" t="str">
        <f ca="1">IFERROR(IF(0=LEN(ReferenceData!$AP$152),"",ReferenceData!$AP$152),"")</f>
        <v/>
      </c>
      <c r="AQ152" t="str">
        <f ca="1">IFERROR(IF(0=LEN(ReferenceData!$AQ$152),"",ReferenceData!$AQ$152),"")</f>
        <v/>
      </c>
      <c r="AR152" t="str">
        <f ca="1">IFERROR(IF(0=LEN(ReferenceData!$AR$152),"",ReferenceData!$AR$152),"")</f>
        <v/>
      </c>
      <c r="AS152" t="str">
        <f ca="1">IFERROR(IF(0=LEN(ReferenceData!$AS$152),"",ReferenceData!$AS$152),"")</f>
        <v/>
      </c>
      <c r="AT152" t="str">
        <f ca="1">IFERROR(IF(0=LEN(ReferenceData!$AT$152),"",ReferenceData!$AT$152),"")</f>
        <v/>
      </c>
      <c r="AU152" t="str">
        <f ca="1">IFERROR(IF(0=LEN(ReferenceData!$AU$152),"",ReferenceData!$AU$152),"")</f>
        <v/>
      </c>
      <c r="AV152" t="str">
        <f ca="1">IFERROR(IF(0=LEN(ReferenceData!$AV$152),"",ReferenceData!$AV$152),"")</f>
        <v/>
      </c>
      <c r="AW152" t="str">
        <f ca="1">IFERROR(IF(0=LEN(ReferenceData!$AW$152),"",ReferenceData!$AW$152),"")</f>
        <v/>
      </c>
      <c r="AX152" t="str">
        <f ca="1">IFERROR(IF(0=LEN(ReferenceData!$AX$152),"",ReferenceData!$AX$152),"")</f>
        <v/>
      </c>
      <c r="AY152" t="str">
        <f ca="1">IFERROR(IF(0=LEN(ReferenceData!$AY$152),"",ReferenceData!$AY$152),"")</f>
        <v/>
      </c>
      <c r="AZ152" t="str">
        <f ca="1">IFERROR(IF(0=LEN(ReferenceData!$AZ$152),"",ReferenceData!$AZ$152),"")</f>
        <v/>
      </c>
      <c r="BA152" t="str">
        <f ca="1">IFERROR(IF(0=LEN(ReferenceData!$BA$152),"",ReferenceData!$BA$152),"")</f>
        <v/>
      </c>
      <c r="BB152" t="str">
        <f ca="1">IFERROR(IF(0=LEN(ReferenceData!$BB$152),"",ReferenceData!$BB$152),"")</f>
        <v/>
      </c>
      <c r="BC152" t="str">
        <f ca="1">IFERROR(IF(0=LEN(ReferenceData!$BC$152),"",ReferenceData!$BC$152),"")</f>
        <v/>
      </c>
      <c r="BD152" t="str">
        <f ca="1">IFERROR(IF(0=LEN(ReferenceData!$BD$152),"",ReferenceData!$BD$152),"")</f>
        <v/>
      </c>
      <c r="BE152" t="str">
        <f ca="1">IFERROR(IF(0=LEN(ReferenceData!$BE$152),"",ReferenceData!$BE$152),"")</f>
        <v/>
      </c>
      <c r="BF152" t="str">
        <f ca="1">IFERROR(IF(0=LEN(ReferenceData!$BF$152),"",ReferenceData!$BF$152),"")</f>
        <v/>
      </c>
      <c r="BG152" t="str">
        <f ca="1">IFERROR(IF(0=LEN(ReferenceData!$BG$152),"",ReferenceData!$BG$152),"")</f>
        <v/>
      </c>
      <c r="BH152" t="str">
        <f ca="1">IFERROR(IF(0=LEN(ReferenceData!$BH$152),"",ReferenceData!$BH$152),"")</f>
        <v/>
      </c>
      <c r="BI152" t="str">
        <f ca="1">IFERROR(IF(0=LEN(ReferenceData!$BI$152),"",ReferenceData!$BI$152),"")</f>
        <v/>
      </c>
      <c r="BJ152" t="str">
        <f ca="1">IFERROR(IF(0=LEN(ReferenceData!$BJ$152),"",ReferenceData!$BJ$152),"")</f>
        <v/>
      </c>
      <c r="BK152" t="str">
        <f ca="1">IFERROR(IF(0=LEN(ReferenceData!$BK$152),"",ReferenceData!$BK$152),"")</f>
        <v/>
      </c>
      <c r="BL152" t="str">
        <f ca="1">IFERROR(IF(0=LEN(ReferenceData!$BL$152),"",ReferenceData!$BL$152),"")</f>
        <v/>
      </c>
      <c r="BM152" t="str">
        <f ca="1">IFERROR(IF(0=LEN(ReferenceData!$BM$152),"",ReferenceData!$BM$152),"")</f>
        <v/>
      </c>
    </row>
    <row r="153" spans="1:65">
      <c r="A153" t="str">
        <f>IFERROR(IF(0=LEN(ReferenceData!$A$153),"",ReferenceData!$A$153),"")</f>
        <v xml:space="preserve">    Medical Properties Trust Inc</v>
      </c>
      <c r="B153" t="str">
        <f>IFERROR(IF(0=LEN(ReferenceData!$B$153),"",ReferenceData!$B$153),"")</f>
        <v>MPW US Equity</v>
      </c>
      <c r="C153" t="str">
        <f>IFERROR(IF(0=LEN(ReferenceData!$C$153),"",ReferenceData!$C$153),"")</f>
        <v>RX225</v>
      </c>
      <c r="D153" t="str">
        <f>IFERROR(IF(0=LEN(ReferenceData!$D$153),"",ReferenceData!$D$153),"")</f>
        <v>EBITDA_TO_REVENUE</v>
      </c>
      <c r="E153" t="str">
        <f>IFERROR(IF(0=LEN(ReferenceData!$E$153),"",ReferenceData!$E$153),"")</f>
        <v>动态</v>
      </c>
      <c r="F153" t="str">
        <f ca="1">IFERROR(IF(0=LEN(ReferenceData!$F$153),"",ReferenceData!$F$153),"")</f>
        <v/>
      </c>
      <c r="G153">
        <f ca="1">IFERROR(IF(0=LEN(ReferenceData!$G$153),"",ReferenceData!$G$153),"")</f>
        <v>88.431945589999998</v>
      </c>
      <c r="H153">
        <f ca="1">IFERROR(IF(0=LEN(ReferenceData!$H$153),"",ReferenceData!$H$153),"")</f>
        <v>87.598255750000007</v>
      </c>
      <c r="I153">
        <f ca="1">IFERROR(IF(0=LEN(ReferenceData!$I$153),"",ReferenceData!$I$153),"")</f>
        <v>84.616952530000006</v>
      </c>
      <c r="J153">
        <f ca="1">IFERROR(IF(0=LEN(ReferenceData!$J$153),"",ReferenceData!$J$153),"")</f>
        <v>89.825252399999997</v>
      </c>
      <c r="K153">
        <f ca="1">IFERROR(IF(0=LEN(ReferenceData!$K$153),"",ReferenceData!$K$153),"")</f>
        <v>65.631544270000006</v>
      </c>
      <c r="L153">
        <f ca="1">IFERROR(IF(0=LEN(ReferenceData!$L$153),"",ReferenceData!$L$153),"")</f>
        <v>88.830943070000004</v>
      </c>
      <c r="M153">
        <f ca="1">IFERROR(IF(0=LEN(ReferenceData!$M$153),"",ReferenceData!$M$153),"")</f>
        <v>80.738717339999994</v>
      </c>
      <c r="N153">
        <f ca="1">IFERROR(IF(0=LEN(ReferenceData!$N$153),"",ReferenceData!$N$153),"")</f>
        <v>92.033274320000004</v>
      </c>
      <c r="O153">
        <f ca="1">IFERROR(IF(0=LEN(ReferenceData!$O$153),"",ReferenceData!$O$153),"")</f>
        <v>87.605096320000001</v>
      </c>
      <c r="P153">
        <f ca="1">IFERROR(IF(0=LEN(ReferenceData!$P$153),"",ReferenceData!$P$153),"")</f>
        <v>67.805708300000006</v>
      </c>
      <c r="Q153">
        <f ca="1">IFERROR(IF(0=LEN(ReferenceData!$Q$153),"",ReferenceData!$Q$153),"")</f>
        <v>63.48032585</v>
      </c>
      <c r="R153">
        <f ca="1">IFERROR(IF(0=LEN(ReferenceData!$R$153),"",ReferenceData!$R$153),"")</f>
        <v>82.100019799999998</v>
      </c>
      <c r="S153">
        <f ca="1">IFERROR(IF(0=LEN(ReferenceData!$S$153),"",ReferenceData!$S$153),"")</f>
        <v>63.41647167</v>
      </c>
      <c r="T153">
        <f ca="1">IFERROR(IF(0=LEN(ReferenceData!$T$153),"",ReferenceData!$T$153),"")</f>
        <v>82.762420000000006</v>
      </c>
      <c r="U153">
        <f ca="1">IFERROR(IF(0=LEN(ReferenceData!$U$153),"",ReferenceData!$U$153),"")</f>
        <v>47.710292580000001</v>
      </c>
      <c r="V153">
        <f ca="1">IFERROR(IF(0=LEN(ReferenceData!$V$153),"",ReferenceData!$V$153),"")</f>
        <v>58.306995579999999</v>
      </c>
      <c r="W153">
        <f ca="1">IFERROR(IF(0=LEN(ReferenceData!$W$153),"",ReferenceData!$W$153),"")</f>
        <v>67.190023679999996</v>
      </c>
      <c r="X153">
        <f ca="1">IFERROR(IF(0=LEN(ReferenceData!$X$153),"",ReferenceData!$X$153),"")</f>
        <v>82.426047319999995</v>
      </c>
      <c r="Y153">
        <f ca="1">IFERROR(IF(0=LEN(ReferenceData!$Y$153),"",ReferenceData!$Y$153),"")</f>
        <v>83.381765979999997</v>
      </c>
      <c r="Z153">
        <f ca="1">IFERROR(IF(0=LEN(ReferenceData!$Z$153),"",ReferenceData!$Z$153),"")</f>
        <v>85.886865810000003</v>
      </c>
      <c r="AA153">
        <f ca="1">IFERROR(IF(0=LEN(ReferenceData!$AA$153),"",ReferenceData!$AA$153),"")</f>
        <v>84.831410160000004</v>
      </c>
      <c r="AB153">
        <f ca="1">IFERROR(IF(0=LEN(ReferenceData!$AB$153),"",ReferenceData!$AB$153),"")</f>
        <v>86.714093809999994</v>
      </c>
      <c r="AC153">
        <f ca="1">IFERROR(IF(0=LEN(ReferenceData!$AC$153),"",ReferenceData!$AC$153),"")</f>
        <v>85.954045550000004</v>
      </c>
      <c r="AD153">
        <f ca="1">IFERROR(IF(0=LEN(ReferenceData!$AD$153),"",ReferenceData!$AD$153),"")</f>
        <v>74.245765379999995</v>
      </c>
      <c r="AE153">
        <f ca="1">IFERROR(IF(0=LEN(ReferenceData!$AE$153),"",ReferenceData!$AE$153),"")</f>
        <v>80.866046150000003</v>
      </c>
      <c r="AF153">
        <f ca="1">IFERROR(IF(0=LEN(ReferenceData!$AF$153),"",ReferenceData!$AF$153),"")</f>
        <v>83.824208819999996</v>
      </c>
      <c r="AG153">
        <f ca="1">IFERROR(IF(0=LEN(ReferenceData!$AG$153),"",ReferenceData!$AG$153),"")</f>
        <v>75.454857540000006</v>
      </c>
      <c r="AH153">
        <f ca="1">IFERROR(IF(0=LEN(ReferenceData!$AH$153),"",ReferenceData!$AH$153),"")</f>
        <v>75.374850789999996</v>
      </c>
      <c r="AI153">
        <f ca="1">IFERROR(IF(0=LEN(ReferenceData!$AI$153),"",ReferenceData!$AI$153),"")</f>
        <v>72.566904559999998</v>
      </c>
      <c r="AJ153">
        <f ca="1">IFERROR(IF(0=LEN(ReferenceData!$AJ$153),"",ReferenceData!$AJ$153),"")</f>
        <v>77.05976819</v>
      </c>
      <c r="AK153">
        <f ca="1">IFERROR(IF(0=LEN(ReferenceData!$AK$153),"",ReferenceData!$AK$153),"")</f>
        <v>67.276828030000004</v>
      </c>
      <c r="AL153">
        <f ca="1">IFERROR(IF(0=LEN(ReferenceData!$AL$153),"",ReferenceData!$AL$153),"")</f>
        <v>42.368267549999999</v>
      </c>
      <c r="AM153">
        <f ca="1">IFERROR(IF(0=LEN(ReferenceData!$AM$153),"",ReferenceData!$AM$153),"")</f>
        <v>84.126235070000007</v>
      </c>
      <c r="AN153">
        <f ca="1">IFERROR(IF(0=LEN(ReferenceData!$AN$153),"",ReferenceData!$AN$153),"")</f>
        <v>83.174319539999999</v>
      </c>
      <c r="AO153">
        <f ca="1">IFERROR(IF(0=LEN(ReferenceData!$AO$153),"",ReferenceData!$AO$153),"")</f>
        <v>78.875255620000004</v>
      </c>
      <c r="AP153">
        <f ca="1">IFERROR(IF(0=LEN(ReferenceData!$AP$153),"",ReferenceData!$AP$153),"")</f>
        <v>79.87677103</v>
      </c>
      <c r="AQ153">
        <f ca="1">IFERROR(IF(0=LEN(ReferenceData!$AQ$153),"",ReferenceData!$AQ$153),"")</f>
        <v>64.65568322</v>
      </c>
      <c r="AR153">
        <f ca="1">IFERROR(IF(0=LEN(ReferenceData!$AR$153),"",ReferenceData!$AR$153),"")</f>
        <v>86.973457740000001</v>
      </c>
      <c r="AS153">
        <f ca="1">IFERROR(IF(0=LEN(ReferenceData!$AS$153),"",ReferenceData!$AS$153),"")</f>
        <v>85.563504539999997</v>
      </c>
      <c r="AT153">
        <f ca="1">IFERROR(IF(0=LEN(ReferenceData!$AT$153),"",ReferenceData!$AT$153),"")</f>
        <v>83.162675120000003</v>
      </c>
      <c r="AU153">
        <f ca="1">IFERROR(IF(0=LEN(ReferenceData!$AU$153),"",ReferenceData!$AU$153),"")</f>
        <v>83.755059450000005</v>
      </c>
      <c r="AV153">
        <f ca="1">IFERROR(IF(0=LEN(ReferenceData!$AV$153),"",ReferenceData!$AV$153),"")</f>
        <v>87.548813170000003</v>
      </c>
      <c r="AW153">
        <f ca="1">IFERROR(IF(0=LEN(ReferenceData!$AW$153),"",ReferenceData!$AW$153),"")</f>
        <v>89.215167859999994</v>
      </c>
      <c r="AX153">
        <f ca="1">IFERROR(IF(0=LEN(ReferenceData!$AX$153),"",ReferenceData!$AX$153),"")</f>
        <v>73.746121070000001</v>
      </c>
      <c r="AY153">
        <f ca="1">IFERROR(IF(0=LEN(ReferenceData!$AY$153),"",ReferenceData!$AY$153),"")</f>
        <v>88.287826390000006</v>
      </c>
      <c r="AZ153">
        <f ca="1">IFERROR(IF(0=LEN(ReferenceData!$AZ$153),"",ReferenceData!$AZ$153),"")</f>
        <v>89.472133670000005</v>
      </c>
      <c r="BA153">
        <f ca="1">IFERROR(IF(0=LEN(ReferenceData!$BA$153),"",ReferenceData!$BA$153),"")</f>
        <v>78.313695289999998</v>
      </c>
      <c r="BB153">
        <f ca="1">IFERROR(IF(0=LEN(ReferenceData!$BB$153),"",ReferenceData!$BB$153),"")</f>
        <v>80.397088049999994</v>
      </c>
      <c r="BC153">
        <f ca="1">IFERROR(IF(0=LEN(ReferenceData!$BC$153),"",ReferenceData!$BC$153),"")</f>
        <v>78.081480900000003</v>
      </c>
      <c r="BD153">
        <f ca="1">IFERROR(IF(0=LEN(ReferenceData!$BD$153),"",ReferenceData!$BD$153),"")</f>
        <v>72.148338910000007</v>
      </c>
      <c r="BE153">
        <f ca="1">IFERROR(IF(0=LEN(ReferenceData!$BE$153),"",ReferenceData!$BE$153),"")</f>
        <v>81.873542979999996</v>
      </c>
      <c r="BF153">
        <f ca="1">IFERROR(IF(0=LEN(ReferenceData!$BF$153),"",ReferenceData!$BF$153),"")</f>
        <v>74.981786839999998</v>
      </c>
      <c r="BG153" t="str">
        <f ca="1">IFERROR(IF(0=LEN(ReferenceData!$BG$153),"",ReferenceData!$BG$153),"")</f>
        <v/>
      </c>
      <c r="BH153" t="str">
        <f ca="1">IFERROR(IF(0=LEN(ReferenceData!$BH$153),"",ReferenceData!$BH$153),"")</f>
        <v/>
      </c>
      <c r="BI153" t="str">
        <f ca="1">IFERROR(IF(0=LEN(ReferenceData!$BI$153),"",ReferenceData!$BI$153),"")</f>
        <v/>
      </c>
      <c r="BJ153" t="str">
        <f ca="1">IFERROR(IF(0=LEN(ReferenceData!$BJ$153),"",ReferenceData!$BJ$153),"")</f>
        <v/>
      </c>
      <c r="BK153" t="str">
        <f ca="1">IFERROR(IF(0=LEN(ReferenceData!$BK$153),"",ReferenceData!$BK$153),"")</f>
        <v/>
      </c>
      <c r="BL153" t="str">
        <f ca="1">IFERROR(IF(0=LEN(ReferenceData!$BL$153),"",ReferenceData!$BL$153),"")</f>
        <v/>
      </c>
      <c r="BM153" t="str">
        <f ca="1">IFERROR(IF(0=LEN(ReferenceData!$BM$153),"",ReferenceData!$BM$153),"")</f>
        <v/>
      </c>
    </row>
    <row r="154" spans="1:65">
      <c r="A154" t="str">
        <f>IFERROR(IF(0=LEN(ReferenceData!$A$154),"",ReferenceData!$A$154),"")</f>
        <v xml:space="preserve">    Omega Healthcare Investors Inc</v>
      </c>
      <c r="B154" t="str">
        <f>IFERROR(IF(0=LEN(ReferenceData!$B$154),"",ReferenceData!$B$154),"")</f>
        <v>OHI US Equity</v>
      </c>
      <c r="C154" t="str">
        <f>IFERROR(IF(0=LEN(ReferenceData!$C$154),"",ReferenceData!$C$154),"")</f>
        <v>RX225</v>
      </c>
      <c r="D154" t="str">
        <f>IFERROR(IF(0=LEN(ReferenceData!$D$154),"",ReferenceData!$D$154),"")</f>
        <v>EBITDA_TO_REVENUE</v>
      </c>
      <c r="E154" t="str">
        <f>IFERROR(IF(0=LEN(ReferenceData!$E$154),"",ReferenceData!$E$154),"")</f>
        <v>动态</v>
      </c>
      <c r="F154" t="str">
        <f ca="1">IFERROR(IF(0=LEN(ReferenceData!$F$154),"",ReferenceData!$F$154),"")</f>
        <v/>
      </c>
      <c r="G154">
        <f ca="1">IFERROR(IF(0=LEN(ReferenceData!$G$154),"",ReferenceData!$G$154),"")</f>
        <v>65.33367088</v>
      </c>
      <c r="H154">
        <f ca="1">IFERROR(IF(0=LEN(ReferenceData!$H$154),"",ReferenceData!$H$154),"")</f>
        <v>-7.4290423329999999</v>
      </c>
      <c r="I154">
        <f ca="1">IFERROR(IF(0=LEN(ReferenceData!$I$154),"",ReferenceData!$I$154),"")</f>
        <v>89.665687009999999</v>
      </c>
      <c r="J154">
        <f ca="1">IFERROR(IF(0=LEN(ReferenceData!$J$154),"",ReferenceData!$J$154),"")</f>
        <v>90.280223000000007</v>
      </c>
      <c r="K154">
        <f ca="1">IFERROR(IF(0=LEN(ReferenceData!$K$154),"",ReferenceData!$K$154),"")</f>
        <v>92.738159210000006</v>
      </c>
      <c r="L154">
        <f ca="1">IFERROR(IF(0=LEN(ReferenceData!$L$154),"",ReferenceData!$L$154),"")</f>
        <v>85.750852480000006</v>
      </c>
      <c r="M154">
        <f ca="1">IFERROR(IF(0=LEN(ReferenceData!$M$154),"",ReferenceData!$M$154),"")</f>
        <v>90.789864699999995</v>
      </c>
      <c r="N154">
        <f ca="1">IFERROR(IF(0=LEN(ReferenceData!$N$154),"",ReferenceData!$N$154),"")</f>
        <v>74.676694269999999</v>
      </c>
      <c r="O154">
        <f ca="1">IFERROR(IF(0=LEN(ReferenceData!$O$154),"",ReferenceData!$O$154),"")</f>
        <v>88.255776389999994</v>
      </c>
      <c r="P154">
        <f ca="1">IFERROR(IF(0=LEN(ReferenceData!$P$154),"",ReferenceData!$P$154),"")</f>
        <v>92.197510570000006</v>
      </c>
      <c r="Q154">
        <f ca="1">IFERROR(IF(0=LEN(ReferenceData!$Q$154),"",ReferenceData!$Q$154),"")</f>
        <v>67.477277439999995</v>
      </c>
      <c r="R154">
        <f ca="1">IFERROR(IF(0=LEN(ReferenceData!$R$154),"",ReferenceData!$R$154),"")</f>
        <v>87.361714890000002</v>
      </c>
      <c r="S154">
        <f ca="1">IFERROR(IF(0=LEN(ReferenceData!$S$154),"",ReferenceData!$S$154),"")</f>
        <v>91.890862850000005</v>
      </c>
      <c r="T154">
        <f ca="1">IFERROR(IF(0=LEN(ReferenceData!$T$154),"",ReferenceData!$T$154),"")</f>
        <v>93.622622739999997</v>
      </c>
      <c r="U154">
        <f ca="1">IFERROR(IF(0=LEN(ReferenceData!$U$154),"",ReferenceData!$U$154),"")</f>
        <v>91.247126440000002</v>
      </c>
      <c r="V154">
        <f ca="1">IFERROR(IF(0=LEN(ReferenceData!$V$154),"",ReferenceData!$V$154),"")</f>
        <v>94.56533417</v>
      </c>
      <c r="W154">
        <f ca="1">IFERROR(IF(0=LEN(ReferenceData!$W$154),"",ReferenceData!$W$154),"")</f>
        <v>94.846900669999997</v>
      </c>
      <c r="X154">
        <f ca="1">IFERROR(IF(0=LEN(ReferenceData!$X$154),"",ReferenceData!$X$154),"")</f>
        <v>92.474419420000004</v>
      </c>
      <c r="Y154">
        <f ca="1">IFERROR(IF(0=LEN(ReferenceData!$Y$154),"",ReferenceData!$Y$154),"")</f>
        <v>94.579329849999993</v>
      </c>
      <c r="Z154">
        <f ca="1">IFERROR(IF(0=LEN(ReferenceData!$Z$154),"",ReferenceData!$Z$154),"")</f>
        <v>94.761254309999998</v>
      </c>
      <c r="AA154">
        <f ca="1">IFERROR(IF(0=LEN(ReferenceData!$AA$154),"",ReferenceData!$AA$154),"")</f>
        <v>93.790258069999993</v>
      </c>
      <c r="AB154">
        <f ca="1">IFERROR(IF(0=LEN(ReferenceData!$AB$154),"",ReferenceData!$AB$154),"")</f>
        <v>93.506910959999999</v>
      </c>
      <c r="AC154">
        <f ca="1">IFERROR(IF(0=LEN(ReferenceData!$AC$154),"",ReferenceData!$AC$154),"")</f>
        <v>93.973158369999993</v>
      </c>
      <c r="AD154">
        <f ca="1">IFERROR(IF(0=LEN(ReferenceData!$AD$154),"",ReferenceData!$AD$154),"")</f>
        <v>93.015441050000007</v>
      </c>
      <c r="AE154">
        <f ca="1">IFERROR(IF(0=LEN(ReferenceData!$AE$154),"",ReferenceData!$AE$154),"")</f>
        <v>87.202505770000002</v>
      </c>
      <c r="AF154">
        <f ca="1">IFERROR(IF(0=LEN(ReferenceData!$AF$154),"",ReferenceData!$AF$154),"")</f>
        <v>93.763904530000005</v>
      </c>
      <c r="AG154">
        <f ca="1">IFERROR(IF(0=LEN(ReferenceData!$AG$154),"",ReferenceData!$AG$154),"")</f>
        <v>87.199405010000007</v>
      </c>
      <c r="AH154">
        <f ca="1">IFERROR(IF(0=LEN(ReferenceData!$AH$154),"",ReferenceData!$AH$154),"")</f>
        <v>56.76258584</v>
      </c>
      <c r="AI154">
        <f ca="1">IFERROR(IF(0=LEN(ReferenceData!$AI$154),"",ReferenceData!$AI$154),"")</f>
        <v>95.065669209999996</v>
      </c>
      <c r="AJ154">
        <f ca="1">IFERROR(IF(0=LEN(ReferenceData!$AJ$154),"",ReferenceData!$AJ$154),"")</f>
        <v>92.923527050000004</v>
      </c>
      <c r="AK154">
        <f ca="1">IFERROR(IF(0=LEN(ReferenceData!$AK$154),"",ReferenceData!$AK$154),"")</f>
        <v>86.708613209999996</v>
      </c>
      <c r="AL154">
        <f ca="1">IFERROR(IF(0=LEN(ReferenceData!$AL$154),"",ReferenceData!$AL$154),"")</f>
        <v>85.510753600000001</v>
      </c>
      <c r="AM154">
        <f ca="1">IFERROR(IF(0=LEN(ReferenceData!$AM$154),"",ReferenceData!$AM$154),"")</f>
        <v>75.634456080000007</v>
      </c>
      <c r="AN154">
        <f ca="1">IFERROR(IF(0=LEN(ReferenceData!$AN$154),"",ReferenceData!$AN$154),"")</f>
        <v>84.597913689999999</v>
      </c>
      <c r="AO154">
        <f ca="1">IFERROR(IF(0=LEN(ReferenceData!$AO$154),"",ReferenceData!$AO$154),"")</f>
        <v>82.535807289999994</v>
      </c>
      <c r="AP154">
        <f ca="1">IFERROR(IF(0=LEN(ReferenceData!$AP$154),"",ReferenceData!$AP$154),"")</f>
        <v>82.542717659999994</v>
      </c>
      <c r="AQ154">
        <f ca="1">IFERROR(IF(0=LEN(ReferenceData!$AQ$154),"",ReferenceData!$AQ$154),"")</f>
        <v>80.759529720000003</v>
      </c>
      <c r="AR154">
        <f ca="1">IFERROR(IF(0=LEN(ReferenceData!$AR$154),"",ReferenceData!$AR$154),"")</f>
        <v>60.402673380000003</v>
      </c>
      <c r="AS154">
        <f ca="1">IFERROR(IF(0=LEN(ReferenceData!$AS$154),"",ReferenceData!$AS$154),"")</f>
        <v>83.44803933</v>
      </c>
      <c r="AT154">
        <f ca="1">IFERROR(IF(0=LEN(ReferenceData!$AT$154),"",ReferenceData!$AT$154),"")</f>
        <v>92.44093719</v>
      </c>
      <c r="AU154">
        <f ca="1">IFERROR(IF(0=LEN(ReferenceData!$AU$154),"",ReferenceData!$AU$154),"")</f>
        <v>96.019336809999999</v>
      </c>
      <c r="AV154">
        <f ca="1">IFERROR(IF(0=LEN(ReferenceData!$AV$154),"",ReferenceData!$AV$154),"")</f>
        <v>93.033622010000002</v>
      </c>
      <c r="AW154">
        <f ca="1">IFERROR(IF(0=LEN(ReferenceData!$AW$154),"",ReferenceData!$AW$154),"")</f>
        <v>92.772253849999998</v>
      </c>
      <c r="AX154">
        <f ca="1">IFERROR(IF(0=LEN(ReferenceData!$AX$154),"",ReferenceData!$AX$154),"")</f>
        <v>93.994796429999994</v>
      </c>
      <c r="AY154">
        <f ca="1">IFERROR(IF(0=LEN(ReferenceData!$AY$154),"",ReferenceData!$AY$154),"")</f>
        <v>127.8251009</v>
      </c>
      <c r="AZ154">
        <f ca="1">IFERROR(IF(0=LEN(ReferenceData!$AZ$154),"",ReferenceData!$AZ$154),"")</f>
        <v>56.597251739999997</v>
      </c>
      <c r="BA154">
        <f ca="1">IFERROR(IF(0=LEN(ReferenceData!$BA$154),"",ReferenceData!$BA$154),"")</f>
        <v>92.955963190000006</v>
      </c>
      <c r="BB154">
        <f ca="1">IFERROR(IF(0=LEN(ReferenceData!$BB$154),"",ReferenceData!$BB$154),"")</f>
        <v>92.830950900000005</v>
      </c>
      <c r="BC154">
        <f ca="1">IFERROR(IF(0=LEN(ReferenceData!$BC$154),"",ReferenceData!$BC$154),"")</f>
        <v>95.277153060000003</v>
      </c>
      <c r="BD154">
        <f ca="1">IFERROR(IF(0=LEN(ReferenceData!$BD$154),"",ReferenceData!$BD$154),"")</f>
        <v>92.623192680000002</v>
      </c>
      <c r="BE154">
        <f ca="1">IFERROR(IF(0=LEN(ReferenceData!$BE$154),"",ReferenceData!$BE$154),"")</f>
        <v>91.410170300000004</v>
      </c>
      <c r="BF154">
        <f ca="1">IFERROR(IF(0=LEN(ReferenceData!$BF$154),"",ReferenceData!$BF$154),"")</f>
        <v>94.272252080000001</v>
      </c>
      <c r="BG154">
        <f ca="1">IFERROR(IF(0=LEN(ReferenceData!$BG$154),"",ReferenceData!$BG$154),"")</f>
        <v>97.322989509999999</v>
      </c>
      <c r="BH154">
        <f ca="1">IFERROR(IF(0=LEN(ReferenceData!$BH$154),"",ReferenceData!$BH$154),"")</f>
        <v>91.285885969999995</v>
      </c>
      <c r="BI154">
        <f ca="1">IFERROR(IF(0=LEN(ReferenceData!$BI$154),"",ReferenceData!$BI$154),"")</f>
        <v>90.870442839999995</v>
      </c>
      <c r="BJ154">
        <f ca="1">IFERROR(IF(0=LEN(ReferenceData!$BJ$154),"",ReferenceData!$BJ$154),"")</f>
        <v>91.163637690000002</v>
      </c>
      <c r="BK154">
        <f ca="1">IFERROR(IF(0=LEN(ReferenceData!$BK$154),"",ReferenceData!$BK$154),"")</f>
        <v>88.152318280000003</v>
      </c>
      <c r="BL154">
        <f ca="1">IFERROR(IF(0=LEN(ReferenceData!$BL$154),"",ReferenceData!$BL$154),"")</f>
        <v>120.3287711</v>
      </c>
      <c r="BM154">
        <f ca="1">IFERROR(IF(0=LEN(ReferenceData!$BM$154),"",ReferenceData!$BM$154),"")</f>
        <v>87.921498229999997</v>
      </c>
    </row>
    <row r="155" spans="1:65">
      <c r="A155" t="str">
        <f>IFERROR(IF(0=LEN(ReferenceData!$A$155),"",ReferenceData!$A$155),"")</f>
        <v xml:space="preserve">    Sabra Health Care REIT Inc</v>
      </c>
      <c r="B155" t="str">
        <f>IFERROR(IF(0=LEN(ReferenceData!$B$155),"",ReferenceData!$B$155),"")</f>
        <v>SBRA US Equity</v>
      </c>
      <c r="C155" t="str">
        <f>IFERROR(IF(0=LEN(ReferenceData!$C$155),"",ReferenceData!$C$155),"")</f>
        <v>RX225</v>
      </c>
      <c r="D155" t="str">
        <f>IFERROR(IF(0=LEN(ReferenceData!$D$155),"",ReferenceData!$D$155),"")</f>
        <v>EBITDA_TO_REVENUE</v>
      </c>
      <c r="E155" t="str">
        <f>IFERROR(IF(0=LEN(ReferenceData!$E$155),"",ReferenceData!$E$155),"")</f>
        <v>动态</v>
      </c>
      <c r="F155" t="str">
        <f ca="1">IFERROR(IF(0=LEN(ReferenceData!$F$155),"",ReferenceData!$F$155),"")</f>
        <v/>
      </c>
      <c r="G155">
        <f ca="1">IFERROR(IF(0=LEN(ReferenceData!$G$155),"",ReferenceData!$G$155),"")</f>
        <v>84.584194339999996</v>
      </c>
      <c r="H155">
        <f ca="1">IFERROR(IF(0=LEN(ReferenceData!$H$155),"",ReferenceData!$H$155),"")</f>
        <v>58.409145799999997</v>
      </c>
      <c r="I155">
        <f ca="1">IFERROR(IF(0=LEN(ReferenceData!$I$155),"",ReferenceData!$I$155),"")</f>
        <v>75.143660409999995</v>
      </c>
      <c r="J155">
        <f ca="1">IFERROR(IF(0=LEN(ReferenceData!$J$155),"",ReferenceData!$J$155),"")</f>
        <v>82.341580210000004</v>
      </c>
      <c r="K155">
        <f ca="1">IFERROR(IF(0=LEN(ReferenceData!$K$155),"",ReferenceData!$K$155),"")</f>
        <v>86.889676489999999</v>
      </c>
      <c r="L155">
        <f ca="1">IFERROR(IF(0=LEN(ReferenceData!$L$155),"",ReferenceData!$L$155),"")</f>
        <v>86.895861260000004</v>
      </c>
      <c r="M155">
        <f ca="1">IFERROR(IF(0=LEN(ReferenceData!$M$155),"",ReferenceData!$M$155),"")</f>
        <v>91.516384059999993</v>
      </c>
      <c r="N155">
        <f ca="1">IFERROR(IF(0=LEN(ReferenceData!$N$155),"",ReferenceData!$N$155),"")</f>
        <v>38.522035199999998</v>
      </c>
      <c r="O155">
        <f ca="1">IFERROR(IF(0=LEN(ReferenceData!$O$155),"",ReferenceData!$O$155),"")</f>
        <v>82.079314679999996</v>
      </c>
      <c r="P155">
        <f ca="1">IFERROR(IF(0=LEN(ReferenceData!$P$155),"",ReferenceData!$P$155),"")</f>
        <v>89.188106919999996</v>
      </c>
      <c r="Q155">
        <f ca="1">IFERROR(IF(0=LEN(ReferenceData!$Q$155),"",ReferenceData!$Q$155),"")</f>
        <v>77.319478320000002</v>
      </c>
      <c r="R155">
        <f ca="1">IFERROR(IF(0=LEN(ReferenceData!$R$155),"",ReferenceData!$R$155),"")</f>
        <v>85.598862740000001</v>
      </c>
      <c r="S155">
        <f ca="1">IFERROR(IF(0=LEN(ReferenceData!$S$155),"",ReferenceData!$S$155),"")</f>
        <v>83.245678589999997</v>
      </c>
      <c r="T155">
        <f ca="1">IFERROR(IF(0=LEN(ReferenceData!$T$155),"",ReferenceData!$T$155),"")</f>
        <v>85.844852669999995</v>
      </c>
      <c r="U155">
        <f ca="1">IFERROR(IF(0=LEN(ReferenceData!$U$155),"",ReferenceData!$U$155),"")</f>
        <v>81.555860659999993</v>
      </c>
      <c r="V155">
        <f ca="1">IFERROR(IF(0=LEN(ReferenceData!$V$155),"",ReferenceData!$V$155),"")</f>
        <v>85.671970619999996</v>
      </c>
      <c r="W155">
        <f ca="1">IFERROR(IF(0=LEN(ReferenceData!$W$155),"",ReferenceData!$W$155),"")</f>
        <v>86.082487950000001</v>
      </c>
      <c r="X155">
        <f ca="1">IFERROR(IF(0=LEN(ReferenceData!$X$155),"",ReferenceData!$X$155),"")</f>
        <v>90.715543949999997</v>
      </c>
      <c r="Y155">
        <f ca="1">IFERROR(IF(0=LEN(ReferenceData!$Y$155),"",ReferenceData!$Y$155),"")</f>
        <v>89.397366379999994</v>
      </c>
      <c r="Z155">
        <f ca="1">IFERROR(IF(0=LEN(ReferenceData!$Z$155),"",ReferenceData!$Z$155),"")</f>
        <v>85.269502220000007</v>
      </c>
      <c r="AA155">
        <f ca="1">IFERROR(IF(0=LEN(ReferenceData!$AA$155),"",ReferenceData!$AA$155),"")</f>
        <v>75.26513009</v>
      </c>
      <c r="AB155">
        <f ca="1">IFERROR(IF(0=LEN(ReferenceData!$AB$155),"",ReferenceData!$AB$155),"")</f>
        <v>85.490437049999997</v>
      </c>
      <c r="AC155">
        <f ca="1">IFERROR(IF(0=LEN(ReferenceData!$AC$155),"",ReferenceData!$AC$155),"")</f>
        <v>86.109009830000005</v>
      </c>
      <c r="AD155">
        <f ca="1">IFERROR(IF(0=LEN(ReferenceData!$AD$155),"",ReferenceData!$AD$155),"")</f>
        <v>81.788679560000006</v>
      </c>
      <c r="AE155">
        <f ca="1">IFERROR(IF(0=LEN(ReferenceData!$AE$155),"",ReferenceData!$AE$155),"")</f>
        <v>83.946259819999995</v>
      </c>
      <c r="AF155">
        <f ca="1">IFERROR(IF(0=LEN(ReferenceData!$AF$155),"",ReferenceData!$AF$155),"")</f>
        <v>78.332557059999999</v>
      </c>
      <c r="AG155">
        <f ca="1">IFERROR(IF(0=LEN(ReferenceData!$AG$155),"",ReferenceData!$AG$155),"")</f>
        <v>84.461579369999995</v>
      </c>
      <c r="AH155">
        <f ca="1">IFERROR(IF(0=LEN(ReferenceData!$AH$155),"",ReferenceData!$AH$155),"")</f>
        <v>84.830407359999995</v>
      </c>
      <c r="AI155" t="str">
        <f ca="1">IFERROR(IF(0=LEN(ReferenceData!$AI$155),"",ReferenceData!$AI$155),"")</f>
        <v/>
      </c>
      <c r="AJ155" t="str">
        <f ca="1">IFERROR(IF(0=LEN(ReferenceData!$AJ$155),"",ReferenceData!$AJ$155),"")</f>
        <v/>
      </c>
      <c r="AK155" t="str">
        <f ca="1">IFERROR(IF(0=LEN(ReferenceData!$AK$155),"",ReferenceData!$AK$155),"")</f>
        <v/>
      </c>
      <c r="AL155" t="str">
        <f ca="1">IFERROR(IF(0=LEN(ReferenceData!$AL$155),"",ReferenceData!$AL$155),"")</f>
        <v/>
      </c>
      <c r="AM155" t="str">
        <f ca="1">IFERROR(IF(0=LEN(ReferenceData!$AM$155),"",ReferenceData!$AM$155),"")</f>
        <v/>
      </c>
      <c r="AN155" t="str">
        <f ca="1">IFERROR(IF(0=LEN(ReferenceData!$AN$155),"",ReferenceData!$AN$155),"")</f>
        <v/>
      </c>
      <c r="AO155" t="str">
        <f ca="1">IFERROR(IF(0=LEN(ReferenceData!$AO$155),"",ReferenceData!$AO$155),"")</f>
        <v/>
      </c>
      <c r="AP155" t="str">
        <f ca="1">IFERROR(IF(0=LEN(ReferenceData!$AP$155),"",ReferenceData!$AP$155),"")</f>
        <v/>
      </c>
      <c r="AQ155" t="str">
        <f ca="1">IFERROR(IF(0=LEN(ReferenceData!$AQ$155),"",ReferenceData!$AQ$155),"")</f>
        <v/>
      </c>
      <c r="AR155" t="str">
        <f ca="1">IFERROR(IF(0=LEN(ReferenceData!$AR$155),"",ReferenceData!$AR$155),"")</f>
        <v/>
      </c>
      <c r="AS155" t="str">
        <f ca="1">IFERROR(IF(0=LEN(ReferenceData!$AS$155),"",ReferenceData!$AS$155),"")</f>
        <v/>
      </c>
      <c r="AT155" t="str">
        <f ca="1">IFERROR(IF(0=LEN(ReferenceData!$AT$155),"",ReferenceData!$AT$155),"")</f>
        <v/>
      </c>
      <c r="AU155" t="str">
        <f ca="1">IFERROR(IF(0=LEN(ReferenceData!$AU$155),"",ReferenceData!$AU$155),"")</f>
        <v/>
      </c>
      <c r="AV155" t="str">
        <f ca="1">IFERROR(IF(0=LEN(ReferenceData!$AV$155),"",ReferenceData!$AV$155),"")</f>
        <v/>
      </c>
      <c r="AW155" t="str">
        <f ca="1">IFERROR(IF(0=LEN(ReferenceData!$AW$155),"",ReferenceData!$AW$155),"")</f>
        <v/>
      </c>
      <c r="AX155" t="str">
        <f ca="1">IFERROR(IF(0=LEN(ReferenceData!$AX$155),"",ReferenceData!$AX$155),"")</f>
        <v/>
      </c>
      <c r="AY155" t="str">
        <f ca="1">IFERROR(IF(0=LEN(ReferenceData!$AY$155),"",ReferenceData!$AY$155),"")</f>
        <v/>
      </c>
      <c r="AZ155" t="str">
        <f ca="1">IFERROR(IF(0=LEN(ReferenceData!$AZ$155),"",ReferenceData!$AZ$155),"")</f>
        <v/>
      </c>
      <c r="BA155" t="str">
        <f ca="1">IFERROR(IF(0=LEN(ReferenceData!$BA$155),"",ReferenceData!$BA$155),"")</f>
        <v/>
      </c>
      <c r="BB155" t="str">
        <f ca="1">IFERROR(IF(0=LEN(ReferenceData!$BB$155),"",ReferenceData!$BB$155),"")</f>
        <v/>
      </c>
      <c r="BC155" t="str">
        <f ca="1">IFERROR(IF(0=LEN(ReferenceData!$BC$155),"",ReferenceData!$BC$155),"")</f>
        <v/>
      </c>
      <c r="BD155" t="str">
        <f ca="1">IFERROR(IF(0=LEN(ReferenceData!$BD$155),"",ReferenceData!$BD$155),"")</f>
        <v/>
      </c>
      <c r="BE155" t="str">
        <f ca="1">IFERROR(IF(0=LEN(ReferenceData!$BE$155),"",ReferenceData!$BE$155),"")</f>
        <v/>
      </c>
      <c r="BF155" t="str">
        <f ca="1">IFERROR(IF(0=LEN(ReferenceData!$BF$155),"",ReferenceData!$BF$155),"")</f>
        <v/>
      </c>
      <c r="BG155" t="str">
        <f ca="1">IFERROR(IF(0=LEN(ReferenceData!$BG$155),"",ReferenceData!$BG$155),"")</f>
        <v/>
      </c>
      <c r="BH155" t="str">
        <f ca="1">IFERROR(IF(0=LEN(ReferenceData!$BH$155),"",ReferenceData!$BH$155),"")</f>
        <v/>
      </c>
      <c r="BI155" t="str">
        <f ca="1">IFERROR(IF(0=LEN(ReferenceData!$BI$155),"",ReferenceData!$BI$155),"")</f>
        <v/>
      </c>
      <c r="BJ155" t="str">
        <f ca="1">IFERROR(IF(0=LEN(ReferenceData!$BJ$155),"",ReferenceData!$BJ$155),"")</f>
        <v/>
      </c>
      <c r="BK155" t="str">
        <f ca="1">IFERROR(IF(0=LEN(ReferenceData!$BK$155),"",ReferenceData!$BK$155),"")</f>
        <v/>
      </c>
      <c r="BL155" t="str">
        <f ca="1">IFERROR(IF(0=LEN(ReferenceData!$BL$155),"",ReferenceData!$BL$155),"")</f>
        <v/>
      </c>
      <c r="BM155" t="str">
        <f ca="1">IFERROR(IF(0=LEN(ReferenceData!$BM$155),"",ReferenceData!$BM$155),"")</f>
        <v/>
      </c>
    </row>
    <row r="156" spans="1:65">
      <c r="A156" t="str">
        <f>IFERROR(IF(0=LEN(ReferenceData!$A$156),"",ReferenceData!$A$156),"")</f>
        <v xml:space="preserve">    Senior Housing Properties Trus</v>
      </c>
      <c r="B156" t="str">
        <f>IFERROR(IF(0=LEN(ReferenceData!$B$156),"",ReferenceData!$B$156),"")</f>
        <v>SNH US Equity</v>
      </c>
      <c r="C156" t="str">
        <f>IFERROR(IF(0=LEN(ReferenceData!$C$156),"",ReferenceData!$C$156),"")</f>
        <v>RX225</v>
      </c>
      <c r="D156" t="str">
        <f>IFERROR(IF(0=LEN(ReferenceData!$D$156),"",ReferenceData!$D$156),"")</f>
        <v>EBITDA_TO_REVENUE</v>
      </c>
      <c r="E156" t="str">
        <f>IFERROR(IF(0=LEN(ReferenceData!$E$156),"",ReferenceData!$E$156),"")</f>
        <v>动态</v>
      </c>
      <c r="F156" t="str">
        <f ca="1">IFERROR(IF(0=LEN(ReferenceData!$F$156),"",ReferenceData!$F$156),"")</f>
        <v/>
      </c>
      <c r="G156">
        <f ca="1">IFERROR(IF(0=LEN(ReferenceData!$G$156),"",ReferenceData!$G$156),"")</f>
        <v>45.817867219999997</v>
      </c>
      <c r="H156">
        <f ca="1">IFERROR(IF(0=LEN(ReferenceData!$H$156),"",ReferenceData!$H$156),"")</f>
        <v>53.278285879999999</v>
      </c>
      <c r="I156">
        <f ca="1">IFERROR(IF(0=LEN(ReferenceData!$I$156),"",ReferenceData!$I$156),"")</f>
        <v>50.644308019999997</v>
      </c>
      <c r="J156">
        <f ca="1">IFERROR(IF(0=LEN(ReferenceData!$J$156),"",ReferenceData!$J$156),"")</f>
        <v>55.990489910000001</v>
      </c>
      <c r="K156">
        <f ca="1">IFERROR(IF(0=LEN(ReferenceData!$K$156),"",ReferenceData!$K$156),"")</f>
        <v>58.065010059999999</v>
      </c>
      <c r="L156">
        <f ca="1">IFERROR(IF(0=LEN(ReferenceData!$L$156),"",ReferenceData!$L$156),"")</f>
        <v>54.218264050000002</v>
      </c>
      <c r="M156">
        <f ca="1">IFERROR(IF(0=LEN(ReferenceData!$M$156),"",ReferenceData!$M$156),"")</f>
        <v>56.160877229999997</v>
      </c>
      <c r="N156">
        <f ca="1">IFERROR(IF(0=LEN(ReferenceData!$N$156),"",ReferenceData!$N$156),"")</f>
        <v>54.855926459999999</v>
      </c>
      <c r="O156">
        <f ca="1">IFERROR(IF(0=LEN(ReferenceData!$O$156),"",ReferenceData!$O$156),"")</f>
        <v>58.073632150000002</v>
      </c>
      <c r="P156">
        <f ca="1">IFERROR(IF(0=LEN(ReferenceData!$P$156),"",ReferenceData!$P$156),"")</f>
        <v>57.736950350000001</v>
      </c>
      <c r="Q156">
        <f ca="1">IFERROR(IF(0=LEN(ReferenceData!$Q$156),"",ReferenceData!$Q$156),"")</f>
        <v>55.585241830000001</v>
      </c>
      <c r="R156">
        <f ca="1">IFERROR(IF(0=LEN(ReferenceData!$R$156),"",ReferenceData!$R$156),"")</f>
        <v>57.333415000000002</v>
      </c>
      <c r="S156">
        <f ca="1">IFERROR(IF(0=LEN(ReferenceData!$S$156),"",ReferenceData!$S$156),"")</f>
        <v>57.83063327</v>
      </c>
      <c r="T156">
        <f ca="1">IFERROR(IF(0=LEN(ReferenceData!$T$156),"",ReferenceData!$T$156),"")</f>
        <v>57.069344729999997</v>
      </c>
      <c r="U156">
        <f ca="1">IFERROR(IF(0=LEN(ReferenceData!$U$156),"",ReferenceData!$U$156),"")</f>
        <v>55.553244190000001</v>
      </c>
      <c r="V156">
        <f ca="1">IFERROR(IF(0=LEN(ReferenceData!$V$156),"",ReferenceData!$V$156),"")</f>
        <v>54.978929170000001</v>
      </c>
      <c r="W156">
        <f ca="1">IFERROR(IF(0=LEN(ReferenceData!$W$156),"",ReferenceData!$W$156),"")</f>
        <v>56.007906720000001</v>
      </c>
      <c r="X156">
        <f ca="1">IFERROR(IF(0=LEN(ReferenceData!$X$156),"",ReferenceData!$X$156),"")</f>
        <v>55.720503030000003</v>
      </c>
      <c r="Y156">
        <f ca="1">IFERROR(IF(0=LEN(ReferenceData!$Y$156),"",ReferenceData!$Y$156),"")</f>
        <v>53.396494910000001</v>
      </c>
      <c r="Z156">
        <f ca="1">IFERROR(IF(0=LEN(ReferenceData!$Z$156),"",ReferenceData!$Z$156),"")</f>
        <v>54.557857339999998</v>
      </c>
      <c r="AA156">
        <f ca="1">IFERROR(IF(0=LEN(ReferenceData!$AA$156),"",ReferenceData!$AA$156),"")</f>
        <v>57.057435980000001</v>
      </c>
      <c r="AB156">
        <f ca="1">IFERROR(IF(0=LEN(ReferenceData!$AB$156),"",ReferenceData!$AB$156),"")</f>
        <v>62.301739820000002</v>
      </c>
      <c r="AC156">
        <f ca="1">IFERROR(IF(0=LEN(ReferenceData!$AC$156),"",ReferenceData!$AC$156),"")</f>
        <v>65.989348509999999</v>
      </c>
      <c r="AD156">
        <f ca="1">IFERROR(IF(0=LEN(ReferenceData!$AD$156),"",ReferenceData!$AD$156),"")</f>
        <v>64.998311200000003</v>
      </c>
      <c r="AE156">
        <f ca="1">IFERROR(IF(0=LEN(ReferenceData!$AE$156),"",ReferenceData!$AE$156),"")</f>
        <v>70.648521630000005</v>
      </c>
      <c r="AF156">
        <f ca="1">IFERROR(IF(0=LEN(ReferenceData!$AF$156),"",ReferenceData!$AF$156),"")</f>
        <v>73.293755500000003</v>
      </c>
      <c r="AG156">
        <f ca="1">IFERROR(IF(0=LEN(ReferenceData!$AG$156),"",ReferenceData!$AG$156),"")</f>
        <v>79.331171780000005</v>
      </c>
      <c r="AH156">
        <f ca="1">IFERROR(IF(0=LEN(ReferenceData!$AH$156),"",ReferenceData!$AH$156),"")</f>
        <v>81.86946992</v>
      </c>
      <c r="AI156">
        <f ca="1">IFERROR(IF(0=LEN(ReferenceData!$AI$156),"",ReferenceData!$AI$156),"")</f>
        <v>79.967749560000001</v>
      </c>
      <c r="AJ156">
        <f ca="1">IFERROR(IF(0=LEN(ReferenceData!$AJ$156),"",ReferenceData!$AJ$156),"")</f>
        <v>87.117253989999995</v>
      </c>
      <c r="AK156">
        <f ca="1">IFERROR(IF(0=LEN(ReferenceData!$AK$156),"",ReferenceData!$AK$156),"")</f>
        <v>87.666687300000007</v>
      </c>
      <c r="AL156">
        <f ca="1">IFERROR(IF(0=LEN(ReferenceData!$AL$156),"",ReferenceData!$AL$156),"")</f>
        <v>87.680087510000007</v>
      </c>
      <c r="AM156">
        <f ca="1">IFERROR(IF(0=LEN(ReferenceData!$AM$156),"",ReferenceData!$AM$156),"")</f>
        <v>84.735377970000002</v>
      </c>
      <c r="AN156">
        <f ca="1">IFERROR(IF(0=LEN(ReferenceData!$AN$156),"",ReferenceData!$AN$156),"")</f>
        <v>71.330370779999996</v>
      </c>
      <c r="AO156">
        <f ca="1">IFERROR(IF(0=LEN(ReferenceData!$AO$156),"",ReferenceData!$AO$156),"")</f>
        <v>87.82403205</v>
      </c>
      <c r="AP156">
        <f ca="1">IFERROR(IF(0=LEN(ReferenceData!$AP$156),"",ReferenceData!$AP$156),"")</f>
        <v>88.629217429999997</v>
      </c>
      <c r="AQ156">
        <f ca="1">IFERROR(IF(0=LEN(ReferenceData!$AQ$156),"",ReferenceData!$AQ$156),"")</f>
        <v>91.361884779999997</v>
      </c>
      <c r="AR156">
        <f ca="1">IFERROR(IF(0=LEN(ReferenceData!$AR$156),"",ReferenceData!$AR$156),"")</f>
        <v>91.203726979999999</v>
      </c>
      <c r="AS156">
        <f ca="1">IFERROR(IF(0=LEN(ReferenceData!$AS$156),"",ReferenceData!$AS$156),"")</f>
        <v>91.371043270000001</v>
      </c>
      <c r="AT156">
        <f ca="1">IFERROR(IF(0=LEN(ReferenceData!$AT$156),"",ReferenceData!$AT$156),"")</f>
        <v>92.541319400000006</v>
      </c>
      <c r="AU156">
        <f ca="1">IFERROR(IF(0=LEN(ReferenceData!$AU$156),"",ReferenceData!$AU$156),"")</f>
        <v>93.553613139999996</v>
      </c>
      <c r="AV156">
        <f ca="1">IFERROR(IF(0=LEN(ReferenceData!$AV$156),"",ReferenceData!$AV$156),"")</f>
        <v>92.112595080000006</v>
      </c>
      <c r="AW156">
        <f ca="1">IFERROR(IF(0=LEN(ReferenceData!$AW$156),"",ReferenceData!$AW$156),"")</f>
        <v>92.329077889999994</v>
      </c>
      <c r="AX156">
        <f ca="1">IFERROR(IF(0=LEN(ReferenceData!$AX$156),"",ReferenceData!$AX$156),"")</f>
        <v>91.696460490000007</v>
      </c>
      <c r="AY156">
        <f ca="1">IFERROR(IF(0=LEN(ReferenceData!$AY$156),"",ReferenceData!$AY$156),"")</f>
        <v>93.143666879999998</v>
      </c>
      <c r="AZ156">
        <f ca="1">IFERROR(IF(0=LEN(ReferenceData!$AZ$156),"",ReferenceData!$AZ$156),"")</f>
        <v>90.339579839999999</v>
      </c>
      <c r="BA156">
        <f ca="1">IFERROR(IF(0=LEN(ReferenceData!$BA$156),"",ReferenceData!$BA$156),"")</f>
        <v>91.803953870000001</v>
      </c>
      <c r="BB156">
        <f ca="1">IFERROR(IF(0=LEN(ReferenceData!$BB$156),"",ReferenceData!$BB$156),"")</f>
        <v>91.741358790000007</v>
      </c>
      <c r="BC156">
        <f ca="1">IFERROR(IF(0=LEN(ReferenceData!$BC$156),"",ReferenceData!$BC$156),"")</f>
        <v>92.391920380000002</v>
      </c>
      <c r="BD156">
        <f ca="1">IFERROR(IF(0=LEN(ReferenceData!$BD$156),"",ReferenceData!$BD$156),"")</f>
        <v>91.847233810000006</v>
      </c>
      <c r="BE156">
        <f ca="1">IFERROR(IF(0=LEN(ReferenceData!$BE$156),"",ReferenceData!$BE$156),"")</f>
        <v>92.205529780000006</v>
      </c>
      <c r="BF156">
        <f ca="1">IFERROR(IF(0=LEN(ReferenceData!$BF$156),"",ReferenceData!$BF$156),"")</f>
        <v>91.350341720000003</v>
      </c>
      <c r="BG156">
        <f ca="1">IFERROR(IF(0=LEN(ReferenceData!$BG$156),"",ReferenceData!$BG$156),"")</f>
        <v>92.622145840000002</v>
      </c>
      <c r="BH156">
        <f ca="1">IFERROR(IF(0=LEN(ReferenceData!$BH$156),"",ReferenceData!$BH$156),"")</f>
        <v>92.174910550000007</v>
      </c>
      <c r="BI156">
        <f ca="1">IFERROR(IF(0=LEN(ReferenceData!$BI$156),"",ReferenceData!$BI$156),"")</f>
        <v>92.277360049999999</v>
      </c>
      <c r="BJ156">
        <f ca="1">IFERROR(IF(0=LEN(ReferenceData!$BJ$156),"",ReferenceData!$BJ$156),"")</f>
        <v>93.038339149999999</v>
      </c>
      <c r="BK156">
        <f ca="1">IFERROR(IF(0=LEN(ReferenceData!$BK$156),"",ReferenceData!$BK$156),"")</f>
        <v>91.970437189999998</v>
      </c>
      <c r="BL156">
        <f ca="1">IFERROR(IF(0=LEN(ReferenceData!$BL$156),"",ReferenceData!$BL$156),"")</f>
        <v>90.047039029999993</v>
      </c>
      <c r="BM156">
        <f ca="1">IFERROR(IF(0=LEN(ReferenceData!$BM$156),"",ReferenceData!$BM$156),"")</f>
        <v>90.484266059999996</v>
      </c>
    </row>
    <row r="157" spans="1:65">
      <c r="A157" t="str">
        <f>IFERROR(IF(0=LEN(ReferenceData!$A$157),"",ReferenceData!$A$157),"")</f>
        <v xml:space="preserve">    Ventas Inc</v>
      </c>
      <c r="B157" t="str">
        <f>IFERROR(IF(0=LEN(ReferenceData!$B$157),"",ReferenceData!$B$157),"")</f>
        <v>VTR US Equity</v>
      </c>
      <c r="C157" t="str">
        <f>IFERROR(IF(0=LEN(ReferenceData!$C$157),"",ReferenceData!$C$157),"")</f>
        <v>RX225</v>
      </c>
      <c r="D157" t="str">
        <f>IFERROR(IF(0=LEN(ReferenceData!$D$157),"",ReferenceData!$D$157),"")</f>
        <v>EBITDA_TO_REVENUE</v>
      </c>
      <c r="E157" t="str">
        <f>IFERROR(IF(0=LEN(ReferenceData!$E$157),"",ReferenceData!$E$157),"")</f>
        <v>动态</v>
      </c>
      <c r="F157" t="str">
        <f ca="1">IFERROR(IF(0=LEN(ReferenceData!$F$157),"",ReferenceData!$F$157),"")</f>
        <v/>
      </c>
      <c r="G157">
        <f ca="1">IFERROR(IF(0=LEN(ReferenceData!$G$157),"",ReferenceData!$G$157),"")</f>
        <v>54.171953610000003</v>
      </c>
      <c r="H157">
        <f ca="1">IFERROR(IF(0=LEN(ReferenceData!$H$157),"",ReferenceData!$H$157),"")</f>
        <v>54.357904189999999</v>
      </c>
      <c r="I157">
        <f ca="1">IFERROR(IF(0=LEN(ReferenceData!$I$157),"",ReferenceData!$I$157),"")</f>
        <v>54.694413109999999</v>
      </c>
      <c r="J157">
        <f ca="1">IFERROR(IF(0=LEN(ReferenceData!$J$157),"",ReferenceData!$J$157),"")</f>
        <v>54.072645319999999</v>
      </c>
      <c r="K157">
        <f ca="1">IFERROR(IF(0=LEN(ReferenceData!$K$157),"",ReferenceData!$K$157),"")</f>
        <v>54.602478210000001</v>
      </c>
      <c r="L157">
        <f ca="1">IFERROR(IF(0=LEN(ReferenceData!$L$157),"",ReferenceData!$L$157),"")</f>
        <v>52.731237800000002</v>
      </c>
      <c r="M157">
        <f ca="1">IFERROR(IF(0=LEN(ReferenceData!$M$157),"",ReferenceData!$M$157),"")</f>
        <v>53.662995459999998</v>
      </c>
      <c r="N157">
        <f ca="1">IFERROR(IF(0=LEN(ReferenceData!$N$157),"",ReferenceData!$N$157),"")</f>
        <v>53.885243150000001</v>
      </c>
      <c r="O157">
        <f ca="1">IFERROR(IF(0=LEN(ReferenceData!$O$157),"",ReferenceData!$O$157),"")</f>
        <v>54.193283039999997</v>
      </c>
      <c r="P157">
        <f ca="1">IFERROR(IF(0=LEN(ReferenceData!$P$157),"",ReferenceData!$P$157),"")</f>
        <v>47.482014390000003</v>
      </c>
      <c r="Q157">
        <f ca="1">IFERROR(IF(0=LEN(ReferenceData!$Q$157),"",ReferenceData!$Q$157),"")</f>
        <v>55.64168884</v>
      </c>
      <c r="R157">
        <f ca="1">IFERROR(IF(0=LEN(ReferenceData!$R$157),"",ReferenceData!$R$157),"")</f>
        <v>52.653556739999999</v>
      </c>
      <c r="S157">
        <f ca="1">IFERROR(IF(0=LEN(ReferenceData!$S$157),"",ReferenceData!$S$157),"")</f>
        <v>54.633310109999996</v>
      </c>
      <c r="T157">
        <f ca="1">IFERROR(IF(0=LEN(ReferenceData!$T$157),"",ReferenceData!$T$157),"")</f>
        <v>53.396072250000003</v>
      </c>
      <c r="U157">
        <f ca="1">IFERROR(IF(0=LEN(ReferenceData!$U$157),"",ReferenceData!$U$157),"")</f>
        <v>56.06758833</v>
      </c>
      <c r="V157">
        <f ca="1">IFERROR(IF(0=LEN(ReferenceData!$V$157),"",ReferenceData!$V$157),"")</f>
        <v>54.90646958</v>
      </c>
      <c r="W157">
        <f ca="1">IFERROR(IF(0=LEN(ReferenceData!$W$157),"",ReferenceData!$W$157),"")</f>
        <v>55.843204649999997</v>
      </c>
      <c r="X157">
        <f ca="1">IFERROR(IF(0=LEN(ReferenceData!$X$157),"",ReferenceData!$X$157),"")</f>
        <v>56.408374559999999</v>
      </c>
      <c r="Y157">
        <f ca="1">IFERROR(IF(0=LEN(ReferenceData!$Y$157),"",ReferenceData!$Y$157),"")</f>
        <v>58.678514679999999</v>
      </c>
      <c r="Z157">
        <f ca="1">IFERROR(IF(0=LEN(ReferenceData!$Z$157),"",ReferenceData!$Z$157),"")</f>
        <v>57.475886250000002</v>
      </c>
      <c r="AA157">
        <f ca="1">IFERROR(IF(0=LEN(ReferenceData!$AA$157),"",ReferenceData!$AA$157),"")</f>
        <v>57.317188479999999</v>
      </c>
      <c r="AB157">
        <f ca="1">IFERROR(IF(0=LEN(ReferenceData!$AB$157),"",ReferenceData!$AB$157),"")</f>
        <v>56.527546170000001</v>
      </c>
      <c r="AC157">
        <f ca="1">IFERROR(IF(0=LEN(ReferenceData!$AC$157),"",ReferenceData!$AC$157),"")</f>
        <v>52.745586340000003</v>
      </c>
      <c r="AD157">
        <f ca="1">IFERROR(IF(0=LEN(ReferenceData!$AD$157),"",ReferenceData!$AD$157),"")</f>
        <v>56.783434319999998</v>
      </c>
      <c r="AE157">
        <f ca="1">IFERROR(IF(0=LEN(ReferenceData!$AE$157),"",ReferenceData!$AE$157),"")</f>
        <v>22.971525979999999</v>
      </c>
      <c r="AF157">
        <f ca="1">IFERROR(IF(0=LEN(ReferenceData!$AF$157),"",ReferenceData!$AF$157),"")</f>
        <v>60.86395212</v>
      </c>
      <c r="AG157">
        <f ca="1">IFERROR(IF(0=LEN(ReferenceData!$AG$157),"",ReferenceData!$AG$157),"")</f>
        <v>38.440248560000001</v>
      </c>
      <c r="AH157">
        <f ca="1">IFERROR(IF(0=LEN(ReferenceData!$AH$157),"",ReferenceData!$AH$157),"")</f>
        <v>58.751937179999999</v>
      </c>
      <c r="AI157">
        <f ca="1">IFERROR(IF(0=LEN(ReferenceData!$AI$157),"",ReferenceData!$AI$157),"")</f>
        <v>60.178970919999998</v>
      </c>
      <c r="AJ157">
        <f ca="1">IFERROR(IF(0=LEN(ReferenceData!$AJ$157),"",ReferenceData!$AJ$157),"")</f>
        <v>57.935125540000001</v>
      </c>
      <c r="AK157">
        <f ca="1">IFERROR(IF(0=LEN(ReferenceData!$AK$157),"",ReferenceData!$AK$157),"")</f>
        <v>64.289824100000004</v>
      </c>
      <c r="AL157">
        <f ca="1">IFERROR(IF(0=LEN(ReferenceData!$AL$157),"",ReferenceData!$AL$157),"")</f>
        <v>62.844143340000002</v>
      </c>
      <c r="AM157">
        <f ca="1">IFERROR(IF(0=LEN(ReferenceData!$AM$157),"",ReferenceData!$AM$157),"")</f>
        <v>63.065373100000002</v>
      </c>
      <c r="AN157">
        <f ca="1">IFERROR(IF(0=LEN(ReferenceData!$AN$157),"",ReferenceData!$AN$157),"")</f>
        <v>60.994216600000001</v>
      </c>
      <c r="AO157">
        <f ca="1">IFERROR(IF(0=LEN(ReferenceData!$AO$157),"",ReferenceData!$AO$157),"")</f>
        <v>62.775435080000001</v>
      </c>
      <c r="AP157">
        <f ca="1">IFERROR(IF(0=LEN(ReferenceData!$AP$157),"",ReferenceData!$AP$157),"")</f>
        <v>61.68262678</v>
      </c>
      <c r="AQ157">
        <f ca="1">IFERROR(IF(0=LEN(ReferenceData!$AQ$157),"",ReferenceData!$AQ$157),"")</f>
        <v>140.78114719999999</v>
      </c>
      <c r="AR157">
        <f ca="1">IFERROR(IF(0=LEN(ReferenceData!$AR$157),"",ReferenceData!$AR$157),"")</f>
        <v>-14.62778739</v>
      </c>
      <c r="AS157">
        <f ca="1">IFERROR(IF(0=LEN(ReferenceData!$AS$157),"",ReferenceData!$AS$157),"")</f>
        <v>64.347621059999994</v>
      </c>
      <c r="AT157">
        <f ca="1">IFERROR(IF(0=LEN(ReferenceData!$AT$157),"",ReferenceData!$AT$157),"")</f>
        <v>63.985096560000002</v>
      </c>
      <c r="AU157">
        <f ca="1">IFERROR(IF(0=LEN(ReferenceData!$AU$157),"",ReferenceData!$AU$157),"")</f>
        <v>61.121185910000001</v>
      </c>
      <c r="AV157">
        <f ca="1">IFERROR(IF(0=LEN(ReferenceData!$AV$157),"",ReferenceData!$AV$157),"")</f>
        <v>64.431836489999995</v>
      </c>
      <c r="AW157">
        <f ca="1">IFERROR(IF(0=LEN(ReferenceData!$AW$157),"",ReferenceData!$AW$157),"")</f>
        <v>70.301745030000006</v>
      </c>
      <c r="AX157">
        <f ca="1">IFERROR(IF(0=LEN(ReferenceData!$AX$157),"",ReferenceData!$AX$157),"")</f>
        <v>94.670277729999995</v>
      </c>
      <c r="AY157">
        <f ca="1">IFERROR(IF(0=LEN(ReferenceData!$AY$157),"",ReferenceData!$AY$157),"")</f>
        <v>92.274153100000007</v>
      </c>
      <c r="AZ157">
        <f ca="1">IFERROR(IF(0=LEN(ReferenceData!$AZ$157),"",ReferenceData!$AZ$157),"")</f>
        <v>90.646222929999993</v>
      </c>
      <c r="BA157">
        <f ca="1">IFERROR(IF(0=LEN(ReferenceData!$BA$157),"",ReferenceData!$BA$157),"")</f>
        <v>93.458484949999999</v>
      </c>
      <c r="BB157">
        <f ca="1">IFERROR(IF(0=LEN(ReferenceData!$BB$157),"",ReferenceData!$BB$157),"")</f>
        <v>92.584906050000001</v>
      </c>
      <c r="BC157">
        <f ca="1">IFERROR(IF(0=LEN(ReferenceData!$BC$157),"",ReferenceData!$BC$157),"")</f>
        <v>90.560817069999999</v>
      </c>
      <c r="BD157">
        <f ca="1">IFERROR(IF(0=LEN(ReferenceData!$BD$157),"",ReferenceData!$BD$157),"")</f>
        <v>93.939520290000004</v>
      </c>
      <c r="BE157">
        <f ca="1">IFERROR(IF(0=LEN(ReferenceData!$BE$157),"",ReferenceData!$BE$157),"")</f>
        <v>90.561959650000006</v>
      </c>
      <c r="BF157">
        <f ca="1">IFERROR(IF(0=LEN(ReferenceData!$BF$157),"",ReferenceData!$BF$157),"")</f>
        <v>91.294158089999996</v>
      </c>
      <c r="BG157">
        <f ca="1">IFERROR(IF(0=LEN(ReferenceData!$BG$157),"",ReferenceData!$BG$157),"")</f>
        <v>92.713656670000006</v>
      </c>
      <c r="BH157">
        <f ca="1">IFERROR(IF(0=LEN(ReferenceData!$BH$157),"",ReferenceData!$BH$157),"")</f>
        <v>93.767751619999999</v>
      </c>
      <c r="BI157">
        <f ca="1">IFERROR(IF(0=LEN(ReferenceData!$BI$157),"",ReferenceData!$BI$157),"")</f>
        <v>91.075342579999997</v>
      </c>
      <c r="BJ157">
        <f ca="1">IFERROR(IF(0=LEN(ReferenceData!$BJ$157),"",ReferenceData!$BJ$157),"")</f>
        <v>90.471101939999997</v>
      </c>
      <c r="BK157">
        <f ca="1">IFERROR(IF(0=LEN(ReferenceData!$BK$157),"",ReferenceData!$BK$157),"")</f>
        <v>91.949811010000005</v>
      </c>
      <c r="BL157">
        <f ca="1">IFERROR(IF(0=LEN(ReferenceData!$BL$157),"",ReferenceData!$BL$157),"")</f>
        <v>92.248166859999998</v>
      </c>
      <c r="BM157">
        <f ca="1">IFERROR(IF(0=LEN(ReferenceData!$BM$157),"",ReferenceData!$BM$157),"")</f>
        <v>90.332389199999994</v>
      </c>
    </row>
    <row r="158" spans="1:65">
      <c r="A158" t="str">
        <f>IFERROR(IF(0=LEN(ReferenceData!$A$158),"",ReferenceData!$A$158),"")</f>
        <v xml:space="preserve">    Welltower Inc</v>
      </c>
      <c r="B158" t="str">
        <f>IFERROR(IF(0=LEN(ReferenceData!$B$158),"",ReferenceData!$B$158),"")</f>
        <v>HCN US Equity</v>
      </c>
      <c r="C158" t="str">
        <f>IFERROR(IF(0=LEN(ReferenceData!$C$158),"",ReferenceData!$C$158),"")</f>
        <v>RX225</v>
      </c>
      <c r="D158" t="str">
        <f>IFERROR(IF(0=LEN(ReferenceData!$D$158),"",ReferenceData!$D$158),"")</f>
        <v>EBITDA_TO_REVENUE</v>
      </c>
      <c r="E158" t="str">
        <f>IFERROR(IF(0=LEN(ReferenceData!$E$158),"",ReferenceData!$E$158),"")</f>
        <v>动态</v>
      </c>
      <c r="F158" t="str">
        <f ca="1">IFERROR(IF(0=LEN(ReferenceData!$F$158),"",ReferenceData!$F$158),"")</f>
        <v/>
      </c>
      <c r="G158">
        <f ca="1">IFERROR(IF(0=LEN(ReferenceData!$G$158),"",ReferenceData!$G$158),"")</f>
        <v>27.63948972</v>
      </c>
      <c r="H158">
        <f ca="1">IFERROR(IF(0=LEN(ReferenceData!$H$158),"",ReferenceData!$H$158),"")</f>
        <v>40.10928251</v>
      </c>
      <c r="I158">
        <f ca="1">IFERROR(IF(0=LEN(ReferenceData!$I$158),"",ReferenceData!$I$158),"")</f>
        <v>47.55800575</v>
      </c>
      <c r="J158">
        <f ca="1">IFERROR(IF(0=LEN(ReferenceData!$J$158),"",ReferenceData!$J$158),"")</f>
        <v>46.795343680000002</v>
      </c>
      <c r="K158">
        <f ca="1">IFERROR(IF(0=LEN(ReferenceData!$K$158),"",ReferenceData!$K$158),"")</f>
        <v>47.168422020000001</v>
      </c>
      <c r="L158">
        <f ca="1">IFERROR(IF(0=LEN(ReferenceData!$L$158),"",ReferenceData!$L$158),"")</f>
        <v>50.190662320000001</v>
      </c>
      <c r="M158">
        <f ca="1">IFERROR(IF(0=LEN(ReferenceData!$M$158),"",ReferenceData!$M$158),"")</f>
        <v>52.913323370000001</v>
      </c>
      <c r="N158">
        <f ca="1">IFERROR(IF(0=LEN(ReferenceData!$N$158),"",ReferenceData!$N$158),"")</f>
        <v>50.564060929999997</v>
      </c>
      <c r="O158">
        <f ca="1">IFERROR(IF(0=LEN(ReferenceData!$O$158),"",ReferenceData!$O$158),"")</f>
        <v>46.513787489999999</v>
      </c>
      <c r="P158">
        <f ca="1">IFERROR(IF(0=LEN(ReferenceData!$P$158),"",ReferenceData!$P$158),"")</f>
        <v>53.728969550000002</v>
      </c>
      <c r="Q158">
        <f ca="1">IFERROR(IF(0=LEN(ReferenceData!$Q$158),"",ReferenceData!$Q$158),"")</f>
        <v>52.03093707</v>
      </c>
      <c r="R158">
        <f ca="1">IFERROR(IF(0=LEN(ReferenceData!$R$158),"",ReferenceData!$R$158),"")</f>
        <v>48.303300129999997</v>
      </c>
      <c r="S158">
        <f ca="1">IFERROR(IF(0=LEN(ReferenceData!$S$158),"",ReferenceData!$S$158),"")</f>
        <v>49.481140719999999</v>
      </c>
      <c r="T158">
        <f ca="1">IFERROR(IF(0=LEN(ReferenceData!$T$158),"",ReferenceData!$T$158),"")</f>
        <v>51.66656244</v>
      </c>
      <c r="U158">
        <f ca="1">IFERROR(IF(0=LEN(ReferenceData!$U$158),"",ReferenceData!$U$158),"")</f>
        <v>51.31490745</v>
      </c>
      <c r="V158">
        <f ca="1">IFERROR(IF(0=LEN(ReferenceData!$V$158),"",ReferenceData!$V$158),"")</f>
        <v>53.23288522</v>
      </c>
      <c r="W158">
        <f ca="1">IFERROR(IF(0=LEN(ReferenceData!$W$158),"",ReferenceData!$W$158),"")</f>
        <v>75.698758650000002</v>
      </c>
      <c r="X158">
        <f ca="1">IFERROR(IF(0=LEN(ReferenceData!$X$158),"",ReferenceData!$X$158),"")</f>
        <v>49.954894090000003</v>
      </c>
      <c r="Y158">
        <f ca="1">IFERROR(IF(0=LEN(ReferenceData!$Y$158),"",ReferenceData!$Y$158),"")</f>
        <v>51.732929720000001</v>
      </c>
      <c r="Z158">
        <f ca="1">IFERROR(IF(0=LEN(ReferenceData!$Z$158),"",ReferenceData!$Z$158),"")</f>
        <v>55.949590610000001</v>
      </c>
      <c r="AA158">
        <f ca="1">IFERROR(IF(0=LEN(ReferenceData!$AA$158),"",ReferenceData!$AA$158),"")</f>
        <v>60.506193609999997</v>
      </c>
      <c r="AB158">
        <f ca="1">IFERROR(IF(0=LEN(ReferenceData!$AB$158),"",ReferenceData!$AB$158),"")</f>
        <v>57.261174490000002</v>
      </c>
      <c r="AC158">
        <f ca="1">IFERROR(IF(0=LEN(ReferenceData!$AC$158),"",ReferenceData!$AC$158),"")</f>
        <v>57.834285729999998</v>
      </c>
      <c r="AD158">
        <f ca="1">IFERROR(IF(0=LEN(ReferenceData!$AD$158),"",ReferenceData!$AD$158),"")</f>
        <v>62.710647950000002</v>
      </c>
      <c r="AE158">
        <f ca="1">IFERROR(IF(0=LEN(ReferenceData!$AE$158),"",ReferenceData!$AE$158),"")</f>
        <v>63.159673920000003</v>
      </c>
      <c r="AF158">
        <f ca="1">IFERROR(IF(0=LEN(ReferenceData!$AF$158),"",ReferenceData!$AF$158),"")</f>
        <v>65.957165590000002</v>
      </c>
      <c r="AG158">
        <f ca="1">IFERROR(IF(0=LEN(ReferenceData!$AG$158),"",ReferenceData!$AG$158),"")</f>
        <v>64.860579759999993</v>
      </c>
      <c r="AH158">
        <f ca="1">IFERROR(IF(0=LEN(ReferenceData!$AH$158),"",ReferenceData!$AH$158),"")</f>
        <v>53.52178584</v>
      </c>
      <c r="AI158">
        <f ca="1">IFERROR(IF(0=LEN(ReferenceData!$AI$158),"",ReferenceData!$AI$158),"")</f>
        <v>66.560433349999997</v>
      </c>
      <c r="AJ158">
        <f ca="1">IFERROR(IF(0=LEN(ReferenceData!$AJ$158),"",ReferenceData!$AJ$158),"")</f>
        <v>52.945668070000004</v>
      </c>
      <c r="AK158">
        <f ca="1">IFERROR(IF(0=LEN(ReferenceData!$AK$158),"",ReferenceData!$AK$158),"")</f>
        <v>85.694215900000003</v>
      </c>
      <c r="AL158">
        <f ca="1">IFERROR(IF(0=LEN(ReferenceData!$AL$158),"",ReferenceData!$AL$158),"")</f>
        <v>76.195684319999998</v>
      </c>
      <c r="AM158">
        <f ca="1">IFERROR(IF(0=LEN(ReferenceData!$AM$158),"",ReferenceData!$AM$158),"")</f>
        <v>60.817662990000002</v>
      </c>
      <c r="AN158">
        <f ca="1">IFERROR(IF(0=LEN(ReferenceData!$AN$158),"",ReferenceData!$AN$158),"")</f>
        <v>93.653670509999998</v>
      </c>
      <c r="AO158">
        <f ca="1">IFERROR(IF(0=LEN(ReferenceData!$AO$158),"",ReferenceData!$AO$158),"")</f>
        <v>85.576708690000004</v>
      </c>
      <c r="AP158">
        <f ca="1">IFERROR(IF(0=LEN(ReferenceData!$AP$158),"",ReferenceData!$AP$158),"")</f>
        <v>81.434106850000006</v>
      </c>
      <c r="AQ158">
        <f ca="1">IFERROR(IF(0=LEN(ReferenceData!$AQ$158),"",ReferenceData!$AQ$158),"")</f>
        <v>35.676132860000003</v>
      </c>
      <c r="AR158">
        <f ca="1">IFERROR(IF(0=LEN(ReferenceData!$AR$158),"",ReferenceData!$AR$158),"")</f>
        <v>89.971940950000004</v>
      </c>
      <c r="AS158">
        <f ca="1">IFERROR(IF(0=LEN(ReferenceData!$AS$158),"",ReferenceData!$AS$158),"")</f>
        <v>91.541587649999997</v>
      </c>
      <c r="AT158">
        <f ca="1">IFERROR(IF(0=LEN(ReferenceData!$AT$158),"",ReferenceData!$AT$158),"")</f>
        <v>84.147102259999997</v>
      </c>
      <c r="AU158">
        <f ca="1">IFERROR(IF(0=LEN(ReferenceData!$AU$158),"",ReferenceData!$AU$158),"")</f>
        <v>83.184074839999994</v>
      </c>
      <c r="AV158">
        <f ca="1">IFERROR(IF(0=LEN(ReferenceData!$AV$158),"",ReferenceData!$AV$158),"")</f>
        <v>86.561960499999998</v>
      </c>
      <c r="AW158">
        <f ca="1">IFERROR(IF(0=LEN(ReferenceData!$AW$158),"",ReferenceData!$AW$158),"")</f>
        <v>86.868364330000006</v>
      </c>
      <c r="AX158">
        <f ca="1">IFERROR(IF(0=LEN(ReferenceData!$AX$158),"",ReferenceData!$AX$158),"")</f>
        <v>84.126019389999996</v>
      </c>
      <c r="AY158">
        <f ca="1">IFERROR(IF(0=LEN(ReferenceData!$AY$158),"",ReferenceData!$AY$158),"")</f>
        <v>83.944091950000001</v>
      </c>
      <c r="AZ158">
        <f ca="1">IFERROR(IF(0=LEN(ReferenceData!$AZ$158),"",ReferenceData!$AZ$158),"")</f>
        <v>95.326402900000005</v>
      </c>
      <c r="BA158">
        <f ca="1">IFERROR(IF(0=LEN(ReferenceData!$BA$158),"",ReferenceData!$BA$158),"")</f>
        <v>92.038715310000001</v>
      </c>
      <c r="BB158">
        <f ca="1">IFERROR(IF(0=LEN(ReferenceData!$BB$158),"",ReferenceData!$BB$158),"")</f>
        <v>96.983212289999997</v>
      </c>
      <c r="BC158">
        <f ca="1">IFERROR(IF(0=LEN(ReferenceData!$BC$158),"",ReferenceData!$BC$158),"")</f>
        <v>96.763754050000003</v>
      </c>
      <c r="BD158">
        <f ca="1">IFERROR(IF(0=LEN(ReferenceData!$BD$158),"",ReferenceData!$BD$158),"")</f>
        <v>96.373388730000002</v>
      </c>
      <c r="BE158">
        <f ca="1">IFERROR(IF(0=LEN(ReferenceData!$BE$158),"",ReferenceData!$BE$158),"")</f>
        <v>98.018136499999997</v>
      </c>
      <c r="BF158">
        <f ca="1">IFERROR(IF(0=LEN(ReferenceData!$BF$158),"",ReferenceData!$BF$158),"")</f>
        <v>96.438541060000006</v>
      </c>
      <c r="BG158">
        <f ca="1">IFERROR(IF(0=LEN(ReferenceData!$BG$158),"",ReferenceData!$BG$158),"")</f>
        <v>96.305164059999996</v>
      </c>
      <c r="BH158">
        <f ca="1">IFERROR(IF(0=LEN(ReferenceData!$BH$158),"",ReferenceData!$BH$158),"")</f>
        <v>94.181898189999998</v>
      </c>
      <c r="BI158">
        <f ca="1">IFERROR(IF(0=LEN(ReferenceData!$BI$158),"",ReferenceData!$BI$158),"")</f>
        <v>94.252873559999998</v>
      </c>
      <c r="BJ158">
        <f ca="1">IFERROR(IF(0=LEN(ReferenceData!$BJ$158),"",ReferenceData!$BJ$158),"")</f>
        <v>94.698249700000005</v>
      </c>
      <c r="BK158">
        <f ca="1">IFERROR(IF(0=LEN(ReferenceData!$BK$158),"",ReferenceData!$BK$158),"")</f>
        <v>91.941540110000005</v>
      </c>
      <c r="BL158">
        <f ca="1">IFERROR(IF(0=LEN(ReferenceData!$BL$158),"",ReferenceData!$BL$158),"")</f>
        <v>95.167664909999999</v>
      </c>
      <c r="BM158">
        <f ca="1">IFERROR(IF(0=LEN(ReferenceData!$BM$158),"",ReferenceData!$BM$158),"")</f>
        <v>95.609298999999993</v>
      </c>
    </row>
    <row r="159" spans="1:65">
      <c r="A159" t="str">
        <f>IFERROR(IF(0=LEN(ReferenceData!$A$159),"",ReferenceData!$A$159),"")</f>
        <v>资产回报率(NOI/总资产)(%)</v>
      </c>
      <c r="B159" t="str">
        <f>IFERROR(IF(0=LEN(ReferenceData!$B$159),"",ReferenceData!$B$159),"")</f>
        <v/>
      </c>
      <c r="C159" t="str">
        <f>IFERROR(IF(0=LEN(ReferenceData!$C$159),"",ReferenceData!$C$159),"")</f>
        <v/>
      </c>
      <c r="D159" t="str">
        <f>IFERROR(IF(0=LEN(ReferenceData!$D$159),"",ReferenceData!$D$159),"")</f>
        <v/>
      </c>
      <c r="E159" t="str">
        <f>IFERROR(IF(0=LEN(ReferenceData!$E$159),"",ReferenceData!$E$159),"")</f>
        <v>Median</v>
      </c>
      <c r="F159" t="str">
        <f ca="1">IFERROR(IF(0=LEN(ReferenceData!$F$159),"",ReferenceData!$F$159),"")</f>
        <v/>
      </c>
      <c r="G159">
        <f ca="1">IFERROR(IF(0=LEN(ReferenceData!$G$159),"",ReferenceData!$G$159),"")</f>
        <v>6.6116690724999998</v>
      </c>
      <c r="H159">
        <f ca="1">IFERROR(IF(0=LEN(ReferenceData!$H$159),"",ReferenceData!$H$159),"")</f>
        <v>6.6783889710000004</v>
      </c>
      <c r="I159">
        <f ca="1">IFERROR(IF(0=LEN(ReferenceData!$I$159),"",ReferenceData!$I$159),"")</f>
        <v>7.0991303520000004</v>
      </c>
      <c r="J159">
        <f ca="1">IFERROR(IF(0=LEN(ReferenceData!$J$159),"",ReferenceData!$J$159),"")</f>
        <v>7.0718230799999997</v>
      </c>
      <c r="K159">
        <f ca="1">IFERROR(IF(0=LEN(ReferenceData!$K$159),"",ReferenceData!$K$159),"")</f>
        <v>7.3209492589999998</v>
      </c>
      <c r="L159">
        <f ca="1">IFERROR(IF(0=LEN(ReferenceData!$L$159),"",ReferenceData!$L$159),"")</f>
        <v>7.1603797140000003</v>
      </c>
      <c r="M159">
        <f ca="1">IFERROR(IF(0=LEN(ReferenceData!$M$159),"",ReferenceData!$M$159),"")</f>
        <v>7.3587382100000003</v>
      </c>
      <c r="N159">
        <f ca="1">IFERROR(IF(0=LEN(ReferenceData!$N$159),"",ReferenceData!$N$159),"")</f>
        <v>7.35409779</v>
      </c>
      <c r="O159">
        <f ca="1">IFERROR(IF(0=LEN(ReferenceData!$O$159),"",ReferenceData!$O$159),"")</f>
        <v>7.1339971660000003</v>
      </c>
      <c r="P159">
        <f ca="1">IFERROR(IF(0=LEN(ReferenceData!$P$159),"",ReferenceData!$P$159),"")</f>
        <v>7.434408779</v>
      </c>
      <c r="Q159">
        <f ca="1">IFERROR(IF(0=LEN(ReferenceData!$Q$159),"",ReferenceData!$Q$159),"")</f>
        <v>7.0264824539999999</v>
      </c>
      <c r="R159">
        <f ca="1">IFERROR(IF(0=LEN(ReferenceData!$R$159),"",ReferenceData!$R$159),"")</f>
        <v>6.9399675905000002</v>
      </c>
      <c r="S159">
        <f ca="1">IFERROR(IF(0=LEN(ReferenceData!$S$159),"",ReferenceData!$S$159),"")</f>
        <v>7.0311775579999996</v>
      </c>
      <c r="T159">
        <f ca="1">IFERROR(IF(0=LEN(ReferenceData!$T$159),"",ReferenceData!$T$159),"")</f>
        <v>7.4651071140000003</v>
      </c>
      <c r="U159">
        <f ca="1">IFERROR(IF(0=LEN(ReferenceData!$U$159),"",ReferenceData!$U$159),"")</f>
        <v>7.3113188574999999</v>
      </c>
      <c r="V159">
        <f ca="1">IFERROR(IF(0=LEN(ReferenceData!$V$159),"",ReferenceData!$V$159),"")</f>
        <v>7.7196991895</v>
      </c>
      <c r="W159">
        <f ca="1">IFERROR(IF(0=LEN(ReferenceData!$W$159),"",ReferenceData!$W$159),"")</f>
        <v>7.4290690179999999</v>
      </c>
      <c r="X159">
        <f ca="1">IFERROR(IF(0=LEN(ReferenceData!$X$159),"",ReferenceData!$X$159),"")</f>
        <v>7.3649983744999998</v>
      </c>
      <c r="Y159">
        <f ca="1">IFERROR(IF(0=LEN(ReferenceData!$Y$159),"",ReferenceData!$Y$159),"")</f>
        <v>7.2445011560000001</v>
      </c>
      <c r="Z159">
        <f ca="1">IFERROR(IF(0=LEN(ReferenceData!$Z$159),"",ReferenceData!$Z$159),"")</f>
        <v>7.4157621305000001</v>
      </c>
      <c r="AA159">
        <f ca="1">IFERROR(IF(0=LEN(ReferenceData!$AA$159),"",ReferenceData!$AA$159),"")</f>
        <v>7.1538024359999994</v>
      </c>
      <c r="AB159">
        <f ca="1">IFERROR(IF(0=LEN(ReferenceData!$AB$159),"",ReferenceData!$AB$159),"")</f>
        <v>7.0686542350000003</v>
      </c>
      <c r="AC159">
        <f ca="1">IFERROR(IF(0=LEN(ReferenceData!$AC$159),"",ReferenceData!$AC$159),"")</f>
        <v>7.0464174939999999</v>
      </c>
      <c r="AD159">
        <f ca="1">IFERROR(IF(0=LEN(ReferenceData!$AD$159),"",ReferenceData!$AD$159),"")</f>
        <v>6.9825392439999998</v>
      </c>
      <c r="AE159">
        <f ca="1">IFERROR(IF(0=LEN(ReferenceData!$AE$159),"",ReferenceData!$AE$159),"")</f>
        <v>7.3825750750000001</v>
      </c>
      <c r="AF159">
        <f ca="1">IFERROR(IF(0=LEN(ReferenceData!$AF$159),"",ReferenceData!$AF$159),"")</f>
        <v>7.1791435979999996</v>
      </c>
      <c r="AG159">
        <f ca="1">IFERROR(IF(0=LEN(ReferenceData!$AG$159),"",ReferenceData!$AG$159),"")</f>
        <v>7.4198308399999995</v>
      </c>
      <c r="AH159">
        <f ca="1">IFERROR(IF(0=LEN(ReferenceData!$AH$159),"",ReferenceData!$AH$159),"")</f>
        <v>6.6350562029999995</v>
      </c>
      <c r="AI159">
        <f ca="1">IFERROR(IF(0=LEN(ReferenceData!$AI$159),"",ReferenceData!$AI$159),"")</f>
        <v>6.8114758689999997</v>
      </c>
      <c r="AJ159">
        <f ca="1">IFERROR(IF(0=LEN(ReferenceData!$AJ$159),"",ReferenceData!$AJ$159),"")</f>
        <v>6.5772990774999993</v>
      </c>
      <c r="AK159">
        <f ca="1">IFERROR(IF(0=LEN(ReferenceData!$AK$159),"",ReferenceData!$AK$159),"")</f>
        <v>6.541725284</v>
      </c>
      <c r="AL159">
        <f ca="1">IFERROR(IF(0=LEN(ReferenceData!$AL$159),"",ReferenceData!$AL$159),"")</f>
        <v>6.9208759640000004</v>
      </c>
      <c r="AM159">
        <f ca="1">IFERROR(IF(0=LEN(ReferenceData!$AM$159),"",ReferenceData!$AM$159),"")</f>
        <v>8.2706166060000008</v>
      </c>
      <c r="AN159">
        <f ca="1">IFERROR(IF(0=LEN(ReferenceData!$AN$159),"",ReferenceData!$AN$159),"")</f>
        <v>7.6053024909999998</v>
      </c>
      <c r="AO159">
        <f ca="1">IFERROR(IF(0=LEN(ReferenceData!$AO$159),"",ReferenceData!$AO$159),"")</f>
        <v>7.7413311829999998</v>
      </c>
      <c r="AP159">
        <f ca="1">IFERROR(IF(0=LEN(ReferenceData!$AP$159),"",ReferenceData!$AP$159),"")</f>
        <v>7.9388278220000004</v>
      </c>
      <c r="AQ159">
        <f ca="1">IFERROR(IF(0=LEN(ReferenceData!$AQ$159),"",ReferenceData!$AQ$159),"")</f>
        <v>8.0347286570000005</v>
      </c>
      <c r="AR159">
        <f ca="1">IFERROR(IF(0=LEN(ReferenceData!$AR$159),"",ReferenceData!$AR$159),"")</f>
        <v>7.4907365044999992</v>
      </c>
      <c r="AS159">
        <f ca="1">IFERROR(IF(0=LEN(ReferenceData!$AS$159),"",ReferenceData!$AS$159),"")</f>
        <v>7.1870632185000005</v>
      </c>
      <c r="AT159">
        <f ca="1">IFERROR(IF(0=LEN(ReferenceData!$AT$159),"",ReferenceData!$AT$159),"")</f>
        <v>8.4408604789999995</v>
      </c>
      <c r="AU159">
        <f ca="1">IFERROR(IF(0=LEN(ReferenceData!$AU$159),"",ReferenceData!$AU$159),"")</f>
        <v>8.6454005980000002</v>
      </c>
      <c r="AV159">
        <f ca="1">IFERROR(IF(0=LEN(ReferenceData!$AV$159),"",ReferenceData!$AV$159),"")</f>
        <v>7.2709135304999997</v>
      </c>
      <c r="AW159">
        <f ca="1">IFERROR(IF(0=LEN(ReferenceData!$AW$159),"",ReferenceData!$AW$159),"")</f>
        <v>7.7341052065000007</v>
      </c>
      <c r="AX159">
        <f ca="1">IFERROR(IF(0=LEN(ReferenceData!$AX$159),"",ReferenceData!$AX$159),"")</f>
        <v>8.7387414559999996</v>
      </c>
      <c r="AY159">
        <f ca="1">IFERROR(IF(0=LEN(ReferenceData!$AY$159),"",ReferenceData!$AY$159),"")</f>
        <v>7.2826251610000003</v>
      </c>
      <c r="AZ159">
        <f ca="1">IFERROR(IF(0=LEN(ReferenceData!$AZ$159),"",ReferenceData!$AZ$159),"")</f>
        <v>9.2546340239999996</v>
      </c>
      <c r="BA159">
        <f ca="1">IFERROR(IF(0=LEN(ReferenceData!$BA$159),"",ReferenceData!$BA$159),"")</f>
        <v>9.5072723779999997</v>
      </c>
      <c r="BB159">
        <f ca="1">IFERROR(IF(0=LEN(ReferenceData!$BB$159),"",ReferenceData!$BB$159),"")</f>
        <v>9.4025546989999995</v>
      </c>
      <c r="BC159">
        <f ca="1">IFERROR(IF(0=LEN(ReferenceData!$BC$159),"",ReferenceData!$BC$159),"")</f>
        <v>15.27717689</v>
      </c>
      <c r="BD159">
        <f ca="1">IFERROR(IF(0=LEN(ReferenceData!$BD$159),"",ReferenceData!$BD$159),"")</f>
        <v>4.4101332900000001</v>
      </c>
      <c r="BE159">
        <f ca="1">IFERROR(IF(0=LEN(ReferenceData!$BE$159),"",ReferenceData!$BE$159),"")</f>
        <v>4.5876196509999998</v>
      </c>
      <c r="BF159">
        <f ca="1">IFERROR(IF(0=LEN(ReferenceData!$BF$159),"",ReferenceData!$BF$159),"")</f>
        <v>9.8597433799999994</v>
      </c>
      <c r="BG159" t="str">
        <f ca="1">IFERROR(IF(0=LEN(ReferenceData!$BG$159),"",ReferenceData!$BG$159),"")</f>
        <v/>
      </c>
      <c r="BH159" t="str">
        <f ca="1">IFERROR(IF(0=LEN(ReferenceData!$BH$159),"",ReferenceData!$BH$159),"")</f>
        <v/>
      </c>
      <c r="BI159" t="str">
        <f ca="1">IFERROR(IF(0=LEN(ReferenceData!$BI$159),"",ReferenceData!$BI$159),"")</f>
        <v/>
      </c>
      <c r="BJ159" t="str">
        <f ca="1">IFERROR(IF(0=LEN(ReferenceData!$BJ$159),"",ReferenceData!$BJ$159),"")</f>
        <v/>
      </c>
      <c r="BK159" t="str">
        <f ca="1">IFERROR(IF(0=LEN(ReferenceData!$BK$159),"",ReferenceData!$BK$159),"")</f>
        <v/>
      </c>
      <c r="BL159" t="str">
        <f ca="1">IFERROR(IF(0=LEN(ReferenceData!$BL$159),"",ReferenceData!$BL$159),"")</f>
        <v/>
      </c>
      <c r="BM159" t="str">
        <f ca="1">IFERROR(IF(0=LEN(ReferenceData!$BM$159),"",ReferenceData!$BM$159),"")</f>
        <v/>
      </c>
    </row>
    <row r="160" spans="1:65">
      <c r="A160" t="str">
        <f>IFERROR(IF(0=LEN(ReferenceData!$A$160),"",ReferenceData!$A$160),"")</f>
        <v xml:space="preserve">    Alexandria Real Estate Equitie</v>
      </c>
      <c r="B160" t="str">
        <f>IFERROR(IF(0=LEN(ReferenceData!$B$160),"",ReferenceData!$B$160),"")</f>
        <v>ARE US Equity</v>
      </c>
      <c r="C160" t="str">
        <f>IFERROR(IF(0=LEN(ReferenceData!$C$160),"",ReferenceData!$C$160),"")</f>
        <v>RX902</v>
      </c>
      <c r="D160" t="str">
        <f>IFERROR(IF(0=LEN(ReferenceData!$D$160),"",ReferenceData!$D$160),"")</f>
        <v>ANN_NOI_GR_AST_NET_RTL_DEV_CTD_%</v>
      </c>
      <c r="E160" t="str">
        <f>IFERROR(IF(0=LEN(ReferenceData!$E$160),"",ReferenceData!$E$160),"")</f>
        <v>动态</v>
      </c>
      <c r="F160" t="str">
        <f ca="1">IFERROR(IF(0=LEN(ReferenceData!$F$160),"",ReferenceData!$F$160),"")</f>
        <v/>
      </c>
      <c r="G160">
        <f ca="1">IFERROR(IF(0=LEN(ReferenceData!$G$160),"",ReferenceData!$G$160),"")</f>
        <v>6.029229537</v>
      </c>
      <c r="H160">
        <f ca="1">IFERROR(IF(0=LEN(ReferenceData!$H$160),"",ReferenceData!$H$160),"")</f>
        <v>6.0583455700000002</v>
      </c>
      <c r="I160">
        <f ca="1">IFERROR(IF(0=LEN(ReferenceData!$I$160),"",ReferenceData!$I$160),"")</f>
        <v>6.0612116570000003</v>
      </c>
      <c r="J160">
        <f ca="1">IFERROR(IF(0=LEN(ReferenceData!$J$160),"",ReferenceData!$J$160),"")</f>
        <v>6.2053238850000003</v>
      </c>
      <c r="K160">
        <f ca="1">IFERROR(IF(0=LEN(ReferenceData!$K$160),"",ReferenceData!$K$160),"")</f>
        <v>5.9123724150000001</v>
      </c>
      <c r="L160">
        <f ca="1">IFERROR(IF(0=LEN(ReferenceData!$L$160),"",ReferenceData!$L$160),"")</f>
        <v>5.8838121980000002</v>
      </c>
      <c r="M160">
        <f ca="1">IFERROR(IF(0=LEN(ReferenceData!$M$160),"",ReferenceData!$M$160),"")</f>
        <v>5.8237463800000002</v>
      </c>
      <c r="N160">
        <f ca="1">IFERROR(IF(0=LEN(ReferenceData!$N$160),"",ReferenceData!$N$160),"")</f>
        <v>5.6151240549999999</v>
      </c>
      <c r="O160">
        <f ca="1">IFERROR(IF(0=LEN(ReferenceData!$O$160),"",ReferenceData!$O$160),"")</f>
        <v>6.0916854809999998</v>
      </c>
      <c r="P160">
        <f ca="1">IFERROR(IF(0=LEN(ReferenceData!$P$160),"",ReferenceData!$P$160),"")</f>
        <v>6.0482036560000001</v>
      </c>
      <c r="Q160">
        <f ca="1">IFERROR(IF(0=LEN(ReferenceData!$Q$160),"",ReferenceData!$Q$160),"")</f>
        <v>5.8720753600000002</v>
      </c>
      <c r="R160">
        <f ca="1">IFERROR(IF(0=LEN(ReferenceData!$R$160),"",ReferenceData!$R$160),"")</f>
        <v>5.7226365330000002</v>
      </c>
      <c r="S160">
        <f ca="1">IFERROR(IF(0=LEN(ReferenceData!$S$160),"",ReferenceData!$S$160),"")</f>
        <v>5.7349598610000001</v>
      </c>
      <c r="T160">
        <f ca="1">IFERROR(IF(0=LEN(ReferenceData!$T$160),"",ReferenceData!$T$160),"")</f>
        <v>5.6326573030000002</v>
      </c>
      <c r="U160">
        <f ca="1">IFERROR(IF(0=LEN(ReferenceData!$U$160),"",ReferenceData!$U$160),"")</f>
        <v>5.6032781590000003</v>
      </c>
      <c r="V160">
        <f ca="1">IFERROR(IF(0=LEN(ReferenceData!$V$160),"",ReferenceData!$V$160),"")</f>
        <v>5.6546358000000003</v>
      </c>
      <c r="W160">
        <f ca="1">IFERROR(IF(0=LEN(ReferenceData!$W$160),"",ReferenceData!$W$160),"")</f>
        <v>5.6072540609999999</v>
      </c>
      <c r="X160">
        <f ca="1">IFERROR(IF(0=LEN(ReferenceData!$X$160),"",ReferenceData!$X$160),"")</f>
        <v>5.3484569420000003</v>
      </c>
      <c r="Y160">
        <f ca="1">IFERROR(IF(0=LEN(ReferenceData!$Y$160),"",ReferenceData!$Y$160),"")</f>
        <v>5.2148062460000002</v>
      </c>
      <c r="Z160">
        <f ca="1">IFERROR(IF(0=LEN(ReferenceData!$Z$160),"",ReferenceData!$Z$160),"")</f>
        <v>5.2839445850000004</v>
      </c>
      <c r="AA160">
        <f ca="1">IFERROR(IF(0=LEN(ReferenceData!$AA$160),"",ReferenceData!$AA$160),"")</f>
        <v>5.2385307140000004</v>
      </c>
      <c r="AB160">
        <f ca="1">IFERROR(IF(0=LEN(ReferenceData!$AB$160),"",ReferenceData!$AB$160),"")</f>
        <v>5.1585368550000004</v>
      </c>
      <c r="AC160">
        <f ca="1">IFERROR(IF(0=LEN(ReferenceData!$AC$160),"",ReferenceData!$AC$160),"")</f>
        <v>5.4013330709999998</v>
      </c>
      <c r="AD160">
        <f ca="1">IFERROR(IF(0=LEN(ReferenceData!$AD$160),"",ReferenceData!$AD$160),"")</f>
        <v>5.0822779709999999</v>
      </c>
      <c r="AE160">
        <f ca="1">IFERROR(IF(0=LEN(ReferenceData!$AE$160),"",ReferenceData!$AE$160),"")</f>
        <v>5.3410133359999996</v>
      </c>
      <c r="AF160">
        <f ca="1">IFERROR(IF(0=LEN(ReferenceData!$AF$160),"",ReferenceData!$AF$160),"")</f>
        <v>5.4252389289999998</v>
      </c>
      <c r="AG160">
        <f ca="1">IFERROR(IF(0=LEN(ReferenceData!$AG$160),"",ReferenceData!$AG$160),"")</f>
        <v>5.8513620409999998</v>
      </c>
      <c r="AH160">
        <f ca="1">IFERROR(IF(0=LEN(ReferenceData!$AH$160),"",ReferenceData!$AH$160),"")</f>
        <v>5.9862659389999999</v>
      </c>
      <c r="AI160">
        <f ca="1">IFERROR(IF(0=LEN(ReferenceData!$AI$160),"",ReferenceData!$AI$160),"")</f>
        <v>5.8320714249999996</v>
      </c>
      <c r="AJ160">
        <f ca="1">IFERROR(IF(0=LEN(ReferenceData!$AJ$160),"",ReferenceData!$AJ$160),"")</f>
        <v>5.5018375229999998</v>
      </c>
      <c r="AK160">
        <f ca="1">IFERROR(IF(0=LEN(ReferenceData!$AK$160),"",ReferenceData!$AK$160),"")</f>
        <v>5.657716476</v>
      </c>
      <c r="AL160">
        <f ca="1">IFERROR(IF(0=LEN(ReferenceData!$AL$160),"",ReferenceData!$AL$160),"")</f>
        <v>5.6563029370000004</v>
      </c>
      <c r="AM160" t="str">
        <f ca="1">IFERROR(IF(0=LEN(ReferenceData!$AM$160),"",ReferenceData!$AM$160),"")</f>
        <v/>
      </c>
      <c r="AN160" t="str">
        <f ca="1">IFERROR(IF(0=LEN(ReferenceData!$AN$160),"",ReferenceData!$AN$160),"")</f>
        <v/>
      </c>
      <c r="AO160" t="str">
        <f ca="1">IFERROR(IF(0=LEN(ReferenceData!$AO$160),"",ReferenceData!$AO$160),"")</f>
        <v/>
      </c>
      <c r="AP160" t="str">
        <f ca="1">IFERROR(IF(0=LEN(ReferenceData!$AP$160),"",ReferenceData!$AP$160),"")</f>
        <v/>
      </c>
      <c r="AQ160" t="str">
        <f ca="1">IFERROR(IF(0=LEN(ReferenceData!$AQ$160),"",ReferenceData!$AQ$160),"")</f>
        <v/>
      </c>
      <c r="AR160">
        <f ca="1">IFERROR(IF(0=LEN(ReferenceData!$AR$160),"",ReferenceData!$AR$160),"")</f>
        <v>4.9244428229999997</v>
      </c>
      <c r="AS160">
        <f ca="1">IFERROR(IF(0=LEN(ReferenceData!$AS$160),"",ReferenceData!$AS$160),"")</f>
        <v>4.7875108810000002</v>
      </c>
      <c r="AT160" t="str">
        <f ca="1">IFERROR(IF(0=LEN(ReferenceData!$AT$160),"",ReferenceData!$AT$160),"")</f>
        <v/>
      </c>
      <c r="AU160" t="str">
        <f ca="1">IFERROR(IF(0=LEN(ReferenceData!$AU$160),"",ReferenceData!$AU$160),"")</f>
        <v/>
      </c>
      <c r="AV160">
        <f ca="1">IFERROR(IF(0=LEN(ReferenceData!$AV$160),"",ReferenceData!$AV$160),"")</f>
        <v>5.3615685610000003</v>
      </c>
      <c r="AW160">
        <f ca="1">IFERROR(IF(0=LEN(ReferenceData!$AW$160),"",ReferenceData!$AW$160),"")</f>
        <v>5.7520512500000001</v>
      </c>
      <c r="AX160" t="str">
        <f ca="1">IFERROR(IF(0=LEN(ReferenceData!$AX$160),"",ReferenceData!$AX$160),"")</f>
        <v/>
      </c>
      <c r="AY160" t="str">
        <f ca="1">IFERROR(IF(0=LEN(ReferenceData!$AY$160),"",ReferenceData!$AY$160),"")</f>
        <v/>
      </c>
      <c r="AZ160" t="str">
        <f ca="1">IFERROR(IF(0=LEN(ReferenceData!$AZ$160),"",ReferenceData!$AZ$160),"")</f>
        <v/>
      </c>
      <c r="BA160" t="str">
        <f ca="1">IFERROR(IF(0=LEN(ReferenceData!$BA$160),"",ReferenceData!$BA$160),"")</f>
        <v/>
      </c>
      <c r="BB160" t="str">
        <f ca="1">IFERROR(IF(0=LEN(ReferenceData!$BB$160),"",ReferenceData!$BB$160),"")</f>
        <v/>
      </c>
      <c r="BC160" t="str">
        <f ca="1">IFERROR(IF(0=LEN(ReferenceData!$BC$160),"",ReferenceData!$BC$160),"")</f>
        <v/>
      </c>
      <c r="BD160" t="str">
        <f ca="1">IFERROR(IF(0=LEN(ReferenceData!$BD$160),"",ReferenceData!$BD$160),"")</f>
        <v/>
      </c>
      <c r="BE160" t="str">
        <f ca="1">IFERROR(IF(0=LEN(ReferenceData!$BE$160),"",ReferenceData!$BE$160),"")</f>
        <v/>
      </c>
      <c r="BF160" t="str">
        <f ca="1">IFERROR(IF(0=LEN(ReferenceData!$BF$160),"",ReferenceData!$BF$160),"")</f>
        <v/>
      </c>
      <c r="BG160" t="str">
        <f ca="1">IFERROR(IF(0=LEN(ReferenceData!$BG$160),"",ReferenceData!$BG$160),"")</f>
        <v/>
      </c>
      <c r="BH160" t="str">
        <f ca="1">IFERROR(IF(0=LEN(ReferenceData!$BH$160),"",ReferenceData!$BH$160),"")</f>
        <v/>
      </c>
      <c r="BI160" t="str">
        <f ca="1">IFERROR(IF(0=LEN(ReferenceData!$BI$160),"",ReferenceData!$BI$160),"")</f>
        <v/>
      </c>
      <c r="BJ160" t="str">
        <f ca="1">IFERROR(IF(0=LEN(ReferenceData!$BJ$160),"",ReferenceData!$BJ$160),"")</f>
        <v/>
      </c>
      <c r="BK160" t="str">
        <f ca="1">IFERROR(IF(0=LEN(ReferenceData!$BK$160),"",ReferenceData!$BK$160),"")</f>
        <v/>
      </c>
      <c r="BL160" t="str">
        <f ca="1">IFERROR(IF(0=LEN(ReferenceData!$BL$160),"",ReferenceData!$BL$160),"")</f>
        <v/>
      </c>
      <c r="BM160" t="str">
        <f ca="1">IFERROR(IF(0=LEN(ReferenceData!$BM$160),"",ReferenceData!$BM$160),"")</f>
        <v/>
      </c>
    </row>
    <row r="161" spans="1:65">
      <c r="A161" t="str">
        <f>IFERROR(IF(0=LEN(ReferenceData!$A$161),"",ReferenceData!$A$161),"")</f>
        <v xml:space="preserve">    Care Capital Properties Inc</v>
      </c>
      <c r="B161" t="str">
        <f>IFERROR(IF(0=LEN(ReferenceData!$B$161),"",ReferenceData!$B$161),"")</f>
        <v>CCP US Equity</v>
      </c>
      <c r="C161" t="str">
        <f>IFERROR(IF(0=LEN(ReferenceData!$C$161),"",ReferenceData!$C$161),"")</f>
        <v>RX902</v>
      </c>
      <c r="D161" t="str">
        <f>IFERROR(IF(0=LEN(ReferenceData!$D$161),"",ReferenceData!$D$161),"")</f>
        <v>ANN_NOI_GR_AST_NET_RTL_DEV_CTD_%</v>
      </c>
      <c r="E161" t="str">
        <f>IFERROR(IF(0=LEN(ReferenceData!$E$161),"",ReferenceData!$E$161),"")</f>
        <v>动态</v>
      </c>
      <c r="F161" t="str">
        <f ca="1">IFERROR(IF(0=LEN(ReferenceData!$F$161),"",ReferenceData!$F$161),"")</f>
        <v/>
      </c>
      <c r="G161" t="str">
        <f ca="1">IFERROR(IF(0=LEN(ReferenceData!$G$161),"",ReferenceData!$G$161),"")</f>
        <v/>
      </c>
      <c r="H161" t="str">
        <f ca="1">IFERROR(IF(0=LEN(ReferenceData!$H$161),"",ReferenceData!$H$161),"")</f>
        <v/>
      </c>
      <c r="I161">
        <f ca="1">IFERROR(IF(0=LEN(ReferenceData!$I$161),"",ReferenceData!$I$161),"")</f>
        <v>8.8794506779999995</v>
      </c>
      <c r="J161">
        <f ca="1">IFERROR(IF(0=LEN(ReferenceData!$J$161),"",ReferenceData!$J$161),"")</f>
        <v>9.0066223680000004</v>
      </c>
      <c r="K161">
        <f ca="1">IFERROR(IF(0=LEN(ReferenceData!$K$161),"",ReferenceData!$K$161),"")</f>
        <v>9.2527915380000003</v>
      </c>
      <c r="L161">
        <f ca="1">IFERROR(IF(0=LEN(ReferenceData!$L$161),"",ReferenceData!$L$161),"")</f>
        <v>9.7220228530000004</v>
      </c>
      <c r="M161">
        <f ca="1">IFERROR(IF(0=LEN(ReferenceData!$M$161),"",ReferenceData!$M$161),"")</f>
        <v>9.3932079179999999</v>
      </c>
      <c r="N161">
        <f ca="1">IFERROR(IF(0=LEN(ReferenceData!$N$161),"",ReferenceData!$N$161),"")</f>
        <v>9.0821656869999998</v>
      </c>
      <c r="O161">
        <f ca="1">IFERROR(IF(0=LEN(ReferenceData!$O$161),"",ReferenceData!$O$161),"")</f>
        <v>9.5438894899999998</v>
      </c>
      <c r="P161">
        <f ca="1">IFERROR(IF(0=LEN(ReferenceData!$P$161),"",ReferenceData!$P$161),"")</f>
        <v>9.003340992</v>
      </c>
      <c r="Q161">
        <f ca="1">IFERROR(IF(0=LEN(ReferenceData!$Q$161),"",ReferenceData!$Q$161),"")</f>
        <v>9.2813718040000008</v>
      </c>
      <c r="R161" t="str">
        <f ca="1">IFERROR(IF(0=LEN(ReferenceData!$R$161),"",ReferenceData!$R$161),"")</f>
        <v/>
      </c>
      <c r="S161" t="str">
        <f ca="1">IFERROR(IF(0=LEN(ReferenceData!$S$161),"",ReferenceData!$S$161),"")</f>
        <v/>
      </c>
      <c r="T161" t="str">
        <f ca="1">IFERROR(IF(0=LEN(ReferenceData!$T$161),"",ReferenceData!$T$161),"")</f>
        <v/>
      </c>
      <c r="U161" t="str">
        <f ca="1">IFERROR(IF(0=LEN(ReferenceData!$U$161),"",ReferenceData!$U$161),"")</f>
        <v/>
      </c>
      <c r="V161" t="str">
        <f ca="1">IFERROR(IF(0=LEN(ReferenceData!$V$161),"",ReferenceData!$V$161),"")</f>
        <v/>
      </c>
      <c r="W161" t="str">
        <f ca="1">IFERROR(IF(0=LEN(ReferenceData!$W$161),"",ReferenceData!$W$161),"")</f>
        <v/>
      </c>
      <c r="X161" t="str">
        <f ca="1">IFERROR(IF(0=LEN(ReferenceData!$X$161),"",ReferenceData!$X$161),"")</f>
        <v/>
      </c>
      <c r="Y161" t="str">
        <f ca="1">IFERROR(IF(0=LEN(ReferenceData!$Y$161),"",ReferenceData!$Y$161),"")</f>
        <v/>
      </c>
      <c r="Z161" t="str">
        <f ca="1">IFERROR(IF(0=LEN(ReferenceData!$Z$161),"",ReferenceData!$Z$161),"")</f>
        <v/>
      </c>
      <c r="AA161" t="str">
        <f ca="1">IFERROR(IF(0=LEN(ReferenceData!$AA$161),"",ReferenceData!$AA$161),"")</f>
        <v/>
      </c>
      <c r="AB161" t="str">
        <f ca="1">IFERROR(IF(0=LEN(ReferenceData!$AB$161),"",ReferenceData!$AB$161),"")</f>
        <v/>
      </c>
      <c r="AC161" t="str">
        <f ca="1">IFERROR(IF(0=LEN(ReferenceData!$AC$161),"",ReferenceData!$AC$161),"")</f>
        <v/>
      </c>
      <c r="AD161" t="str">
        <f ca="1">IFERROR(IF(0=LEN(ReferenceData!$AD$161),"",ReferenceData!$AD$161),"")</f>
        <v/>
      </c>
      <c r="AE161" t="str">
        <f ca="1">IFERROR(IF(0=LEN(ReferenceData!$AE$161),"",ReferenceData!$AE$161),"")</f>
        <v/>
      </c>
      <c r="AF161" t="str">
        <f ca="1">IFERROR(IF(0=LEN(ReferenceData!$AF$161),"",ReferenceData!$AF$161),"")</f>
        <v/>
      </c>
      <c r="AG161" t="str">
        <f ca="1">IFERROR(IF(0=LEN(ReferenceData!$AG$161),"",ReferenceData!$AG$161),"")</f>
        <v/>
      </c>
      <c r="AH161" t="str">
        <f ca="1">IFERROR(IF(0=LEN(ReferenceData!$AH$161),"",ReferenceData!$AH$161),"")</f>
        <v/>
      </c>
      <c r="AI161" t="str">
        <f ca="1">IFERROR(IF(0=LEN(ReferenceData!$AI$161),"",ReferenceData!$AI$161),"")</f>
        <v/>
      </c>
      <c r="AJ161" t="str">
        <f ca="1">IFERROR(IF(0=LEN(ReferenceData!$AJ$161),"",ReferenceData!$AJ$161),"")</f>
        <v/>
      </c>
      <c r="AK161" t="str">
        <f ca="1">IFERROR(IF(0=LEN(ReferenceData!$AK$161),"",ReferenceData!$AK$161),"")</f>
        <v/>
      </c>
      <c r="AL161" t="str">
        <f ca="1">IFERROR(IF(0=LEN(ReferenceData!$AL$161),"",ReferenceData!$AL$161),"")</f>
        <v/>
      </c>
      <c r="AM161" t="str">
        <f ca="1">IFERROR(IF(0=LEN(ReferenceData!$AM$161),"",ReferenceData!$AM$161),"")</f>
        <v/>
      </c>
      <c r="AN161" t="str">
        <f ca="1">IFERROR(IF(0=LEN(ReferenceData!$AN$161),"",ReferenceData!$AN$161),"")</f>
        <v/>
      </c>
      <c r="AO161" t="str">
        <f ca="1">IFERROR(IF(0=LEN(ReferenceData!$AO$161),"",ReferenceData!$AO$161),"")</f>
        <v/>
      </c>
      <c r="AP161" t="str">
        <f ca="1">IFERROR(IF(0=LEN(ReferenceData!$AP$161),"",ReferenceData!$AP$161),"")</f>
        <v/>
      </c>
      <c r="AQ161" t="str">
        <f ca="1">IFERROR(IF(0=LEN(ReferenceData!$AQ$161),"",ReferenceData!$AQ$161),"")</f>
        <v/>
      </c>
      <c r="AR161" t="str">
        <f ca="1">IFERROR(IF(0=LEN(ReferenceData!$AR$161),"",ReferenceData!$AR$161),"")</f>
        <v/>
      </c>
      <c r="AS161" t="str">
        <f ca="1">IFERROR(IF(0=LEN(ReferenceData!$AS$161),"",ReferenceData!$AS$161),"")</f>
        <v/>
      </c>
      <c r="AT161" t="str">
        <f ca="1">IFERROR(IF(0=LEN(ReferenceData!$AT$161),"",ReferenceData!$AT$161),"")</f>
        <v/>
      </c>
      <c r="AU161" t="str">
        <f ca="1">IFERROR(IF(0=LEN(ReferenceData!$AU$161),"",ReferenceData!$AU$161),"")</f>
        <v/>
      </c>
      <c r="AV161" t="str">
        <f ca="1">IFERROR(IF(0=LEN(ReferenceData!$AV$161),"",ReferenceData!$AV$161),"")</f>
        <v/>
      </c>
      <c r="AW161" t="str">
        <f ca="1">IFERROR(IF(0=LEN(ReferenceData!$AW$161),"",ReferenceData!$AW$161),"")</f>
        <v/>
      </c>
      <c r="AX161" t="str">
        <f ca="1">IFERROR(IF(0=LEN(ReferenceData!$AX$161),"",ReferenceData!$AX$161),"")</f>
        <v/>
      </c>
      <c r="AY161" t="str">
        <f ca="1">IFERROR(IF(0=LEN(ReferenceData!$AY$161),"",ReferenceData!$AY$161),"")</f>
        <v/>
      </c>
      <c r="AZ161" t="str">
        <f ca="1">IFERROR(IF(0=LEN(ReferenceData!$AZ$161),"",ReferenceData!$AZ$161),"")</f>
        <v/>
      </c>
      <c r="BA161" t="str">
        <f ca="1">IFERROR(IF(0=LEN(ReferenceData!$BA$161),"",ReferenceData!$BA$161),"")</f>
        <v/>
      </c>
      <c r="BB161" t="str">
        <f ca="1">IFERROR(IF(0=LEN(ReferenceData!$BB$161),"",ReferenceData!$BB$161),"")</f>
        <v/>
      </c>
      <c r="BC161" t="str">
        <f ca="1">IFERROR(IF(0=LEN(ReferenceData!$BC$161),"",ReferenceData!$BC$161),"")</f>
        <v/>
      </c>
      <c r="BD161" t="str">
        <f ca="1">IFERROR(IF(0=LEN(ReferenceData!$BD$161),"",ReferenceData!$BD$161),"")</f>
        <v/>
      </c>
      <c r="BE161" t="str">
        <f ca="1">IFERROR(IF(0=LEN(ReferenceData!$BE$161),"",ReferenceData!$BE$161),"")</f>
        <v/>
      </c>
      <c r="BF161" t="str">
        <f ca="1">IFERROR(IF(0=LEN(ReferenceData!$BF$161),"",ReferenceData!$BF$161),"")</f>
        <v/>
      </c>
      <c r="BG161" t="str">
        <f ca="1">IFERROR(IF(0=LEN(ReferenceData!$BG$161),"",ReferenceData!$BG$161),"")</f>
        <v/>
      </c>
      <c r="BH161" t="str">
        <f ca="1">IFERROR(IF(0=LEN(ReferenceData!$BH$161),"",ReferenceData!$BH$161),"")</f>
        <v/>
      </c>
      <c r="BI161" t="str">
        <f ca="1">IFERROR(IF(0=LEN(ReferenceData!$BI$161),"",ReferenceData!$BI$161),"")</f>
        <v/>
      </c>
      <c r="BJ161" t="str">
        <f ca="1">IFERROR(IF(0=LEN(ReferenceData!$BJ$161),"",ReferenceData!$BJ$161),"")</f>
        <v/>
      </c>
      <c r="BK161" t="str">
        <f ca="1">IFERROR(IF(0=LEN(ReferenceData!$BK$161),"",ReferenceData!$BK$161),"")</f>
        <v/>
      </c>
      <c r="BL161" t="str">
        <f ca="1">IFERROR(IF(0=LEN(ReferenceData!$BL$161),"",ReferenceData!$BL$161),"")</f>
        <v/>
      </c>
      <c r="BM161" t="str">
        <f ca="1">IFERROR(IF(0=LEN(ReferenceData!$BM$161),"",ReferenceData!$BM$161),"")</f>
        <v/>
      </c>
    </row>
    <row r="162" spans="1:65">
      <c r="A162" t="str">
        <f>IFERROR(IF(0=LEN(ReferenceData!$A$162),"",ReferenceData!$A$162),"")</f>
        <v xml:space="preserve">    HCP Inc</v>
      </c>
      <c r="B162" t="str">
        <f>IFERROR(IF(0=LEN(ReferenceData!$B$162),"",ReferenceData!$B$162),"")</f>
        <v>HCP US Equity</v>
      </c>
      <c r="C162" t="str">
        <f>IFERROR(IF(0=LEN(ReferenceData!$C$162),"",ReferenceData!$C$162),"")</f>
        <v>RX902</v>
      </c>
      <c r="D162" t="str">
        <f>IFERROR(IF(0=LEN(ReferenceData!$D$162),"",ReferenceData!$D$162),"")</f>
        <v>ANN_NOI_GR_AST_NET_RTL_DEV_CTD_%</v>
      </c>
      <c r="E162" t="str">
        <f>IFERROR(IF(0=LEN(ReferenceData!$E$162),"",ReferenceData!$E$162),"")</f>
        <v>动态</v>
      </c>
      <c r="F162" t="str">
        <f ca="1">IFERROR(IF(0=LEN(ReferenceData!$F$162),"",ReferenceData!$F$162),"")</f>
        <v/>
      </c>
      <c r="G162">
        <f ca="1">IFERROR(IF(0=LEN(ReferenceData!$G$162),"",ReferenceData!$G$162),"")</f>
        <v>6.1474890670000004</v>
      </c>
      <c r="H162">
        <f ca="1">IFERROR(IF(0=LEN(ReferenceData!$H$162),"",ReferenceData!$H$162),"")</f>
        <v>7.3759994649999996</v>
      </c>
      <c r="I162">
        <f ca="1">IFERROR(IF(0=LEN(ReferenceData!$I$162),"",ReferenceData!$I$162),"")</f>
        <v>7.2273941849999996</v>
      </c>
      <c r="J162">
        <f ca="1">IFERROR(IF(0=LEN(ReferenceData!$J$162),"",ReferenceData!$J$162),"")</f>
        <v>7.6614645369999996</v>
      </c>
      <c r="K162">
        <f ca="1">IFERROR(IF(0=LEN(ReferenceData!$K$162),"",ReferenceData!$K$162),"")</f>
        <v>7.381038717</v>
      </c>
      <c r="L162">
        <f ca="1">IFERROR(IF(0=LEN(ReferenceData!$L$162),"",ReferenceData!$L$162),"")</f>
        <v>7.6006041890000002</v>
      </c>
      <c r="M162">
        <f ca="1">IFERROR(IF(0=LEN(ReferenceData!$M$162),"",ReferenceData!$M$162),"")</f>
        <v>7.5387345049999999</v>
      </c>
      <c r="N162">
        <f ca="1">IFERROR(IF(0=LEN(ReferenceData!$N$162),"",ReferenceData!$N$162),"")</f>
        <v>7.4793836679999997</v>
      </c>
      <c r="O162">
        <f ca="1">IFERROR(IF(0=LEN(ReferenceData!$O$162),"",ReferenceData!$O$162),"")</f>
        <v>5.6081736480000002</v>
      </c>
      <c r="P162">
        <f ca="1">IFERROR(IF(0=LEN(ReferenceData!$P$162),"",ReferenceData!$P$162),"")</f>
        <v>7.6586316410000004</v>
      </c>
      <c r="Q162">
        <f ca="1">IFERROR(IF(0=LEN(ReferenceData!$Q$162),"",ReferenceData!$Q$162),"")</f>
        <v>7.0264824539999999</v>
      </c>
      <c r="R162">
        <f ca="1">IFERROR(IF(0=LEN(ReferenceData!$R$162),"",ReferenceData!$R$162),"")</f>
        <v>7.6256606930000004</v>
      </c>
      <c r="S162">
        <f ca="1">IFERROR(IF(0=LEN(ReferenceData!$S$162),"",ReferenceData!$S$162),"")</f>
        <v>7.6208010000000002</v>
      </c>
      <c r="T162">
        <f ca="1">IFERROR(IF(0=LEN(ReferenceData!$T$162),"",ReferenceData!$T$162),"")</f>
        <v>8.3666590190000001</v>
      </c>
      <c r="U162">
        <f ca="1">IFERROR(IF(0=LEN(ReferenceData!$U$162),"",ReferenceData!$U$162),"")</f>
        <v>7.9098228439999998</v>
      </c>
      <c r="V162">
        <f ca="1">IFERROR(IF(0=LEN(ReferenceData!$V$162),"",ReferenceData!$V$162),"")</f>
        <v>7.9938878229999997</v>
      </c>
      <c r="W162">
        <f ca="1">IFERROR(IF(0=LEN(ReferenceData!$W$162),"",ReferenceData!$W$162),"")</f>
        <v>7.9126511659999998</v>
      </c>
      <c r="X162">
        <f ca="1">IFERROR(IF(0=LEN(ReferenceData!$X$162),"",ReferenceData!$X$162),"")</f>
        <v>7.7923727469999999</v>
      </c>
      <c r="Y162">
        <f ca="1">IFERROR(IF(0=LEN(ReferenceData!$Y$162),"",ReferenceData!$Y$162),"")</f>
        <v>7.7185960329999999</v>
      </c>
      <c r="Z162">
        <f ca="1">IFERROR(IF(0=LEN(ReferenceData!$Z$162),"",ReferenceData!$Z$162),"")</f>
        <v>7.8991215129999999</v>
      </c>
      <c r="AA162">
        <f ca="1">IFERROR(IF(0=LEN(ReferenceData!$AA$162),"",ReferenceData!$AA$162),"")</f>
        <v>7.7071667489999998</v>
      </c>
      <c r="AB162">
        <f ca="1">IFERROR(IF(0=LEN(ReferenceData!$AB$162),"",ReferenceData!$AB$162),"")</f>
        <v>7.9442383469999998</v>
      </c>
      <c r="AC162">
        <f ca="1">IFERROR(IF(0=LEN(ReferenceData!$AC$162),"",ReferenceData!$AC$162),"")</f>
        <v>8.0945722500000006</v>
      </c>
      <c r="AD162">
        <f ca="1">IFERROR(IF(0=LEN(ReferenceData!$AD$162),"",ReferenceData!$AD$162),"")</f>
        <v>8.0386053700000009</v>
      </c>
      <c r="AE162">
        <f ca="1">IFERROR(IF(0=LEN(ReferenceData!$AE$162),"",ReferenceData!$AE$162),"")</f>
        <v>8.2318780080000007</v>
      </c>
      <c r="AF162">
        <f ca="1">IFERROR(IF(0=LEN(ReferenceData!$AF$162),"",ReferenceData!$AF$162),"")</f>
        <v>8.0932084999999994</v>
      </c>
      <c r="AG162">
        <f ca="1">IFERROR(IF(0=LEN(ReferenceData!$AG$162),"",ReferenceData!$AG$162),"")</f>
        <v>7.9864564219999998</v>
      </c>
      <c r="AH162">
        <f ca="1">IFERROR(IF(0=LEN(ReferenceData!$AH$162),"",ReferenceData!$AH$162),"")</f>
        <v>5.2181662219999998</v>
      </c>
      <c r="AI162">
        <f ca="1">IFERROR(IF(0=LEN(ReferenceData!$AI$162),"",ReferenceData!$AI$162),"")</f>
        <v>6.2987042249999998</v>
      </c>
      <c r="AJ162">
        <f ca="1">IFERROR(IF(0=LEN(ReferenceData!$AJ$162),"",ReferenceData!$AJ$162),"")</f>
        <v>6.5166851169999997</v>
      </c>
      <c r="AK162">
        <f ca="1">IFERROR(IF(0=LEN(ReferenceData!$AK$162),"",ReferenceData!$AK$162),"")</f>
        <v>6.541725284</v>
      </c>
      <c r="AL162">
        <f ca="1">IFERROR(IF(0=LEN(ReferenceData!$AL$162),"",ReferenceData!$AL$162),"")</f>
        <v>6.4139077489999998</v>
      </c>
      <c r="AM162">
        <f ca="1">IFERROR(IF(0=LEN(ReferenceData!$AM$162),"",ReferenceData!$AM$162),"")</f>
        <v>6.4141842440000003</v>
      </c>
      <c r="AN162">
        <f ca="1">IFERROR(IF(0=LEN(ReferenceData!$AN$162),"",ReferenceData!$AN$162),"")</f>
        <v>6.1656857719999998</v>
      </c>
      <c r="AO162">
        <f ca="1">IFERROR(IF(0=LEN(ReferenceData!$AO$162),"",ReferenceData!$AO$162),"")</f>
        <v>6.8629338369999999</v>
      </c>
      <c r="AP162">
        <f ca="1">IFERROR(IF(0=LEN(ReferenceData!$AP$162),"",ReferenceData!$AP$162),"")</f>
        <v>6.3348149410000003</v>
      </c>
      <c r="AQ162">
        <f ca="1">IFERROR(IF(0=LEN(ReferenceData!$AQ$162),"",ReferenceData!$AQ$162),"")</f>
        <v>6.6838231339999998</v>
      </c>
      <c r="AR162">
        <f ca="1">IFERROR(IF(0=LEN(ReferenceData!$AR$162),"",ReferenceData!$AR$162),"")</f>
        <v>6.781231418</v>
      </c>
      <c r="AS162">
        <f ca="1">IFERROR(IF(0=LEN(ReferenceData!$AS$162),"",ReferenceData!$AS$162),"")</f>
        <v>6.2046038760000002</v>
      </c>
      <c r="AT162">
        <f ca="1">IFERROR(IF(0=LEN(ReferenceData!$AT$162),"",ReferenceData!$AT$162),"")</f>
        <v>5.9023067720000002</v>
      </c>
      <c r="AU162">
        <f ca="1">IFERROR(IF(0=LEN(ReferenceData!$AU$162),"",ReferenceData!$AU$162),"")</f>
        <v>6.1196132150000002</v>
      </c>
      <c r="AV162">
        <f ca="1">IFERROR(IF(0=LEN(ReferenceData!$AV$162),"",ReferenceData!$AV$162),"")</f>
        <v>6.0167596369999998</v>
      </c>
      <c r="AW162">
        <f ca="1">IFERROR(IF(0=LEN(ReferenceData!$AW$162),"",ReferenceData!$AW$162),"")</f>
        <v>6.9665254980000002</v>
      </c>
      <c r="AX162">
        <f ca="1">IFERROR(IF(0=LEN(ReferenceData!$AX$162),"",ReferenceData!$AX$162),"")</f>
        <v>6.5942898760000004</v>
      </c>
      <c r="AY162">
        <f ca="1">IFERROR(IF(0=LEN(ReferenceData!$AY$162),"",ReferenceData!$AY$162),"")</f>
        <v>6.758750203</v>
      </c>
      <c r="AZ162">
        <f ca="1">IFERROR(IF(0=LEN(ReferenceData!$AZ$162),"",ReferenceData!$AZ$162),"")</f>
        <v>7.0093810029999997</v>
      </c>
      <c r="BA162">
        <f ca="1">IFERROR(IF(0=LEN(ReferenceData!$BA$162),"",ReferenceData!$BA$162),"")</f>
        <v>8.0385545199999999</v>
      </c>
      <c r="BB162">
        <f ca="1">IFERROR(IF(0=LEN(ReferenceData!$BB$162),"",ReferenceData!$BB$162),"")</f>
        <v>8.0133338720000005</v>
      </c>
      <c r="BC162">
        <f ca="1">IFERROR(IF(0=LEN(ReferenceData!$BC$162),"",ReferenceData!$BC$162),"")</f>
        <v>15.27717689</v>
      </c>
      <c r="BD162">
        <f ca="1">IFERROR(IF(0=LEN(ReferenceData!$BD$162),"",ReferenceData!$BD$162),"")</f>
        <v>4.4101332900000001</v>
      </c>
      <c r="BE162">
        <f ca="1">IFERROR(IF(0=LEN(ReferenceData!$BE$162),"",ReferenceData!$BE$162),"")</f>
        <v>4.5876196509999998</v>
      </c>
      <c r="BF162">
        <f ca="1">IFERROR(IF(0=LEN(ReferenceData!$BF$162),"",ReferenceData!$BF$162),"")</f>
        <v>9.8597433799999994</v>
      </c>
      <c r="BG162" t="str">
        <f ca="1">IFERROR(IF(0=LEN(ReferenceData!$BG$162),"",ReferenceData!$BG$162),"")</f>
        <v/>
      </c>
      <c r="BH162" t="str">
        <f ca="1">IFERROR(IF(0=LEN(ReferenceData!$BH$162),"",ReferenceData!$BH$162),"")</f>
        <v/>
      </c>
      <c r="BI162" t="str">
        <f ca="1">IFERROR(IF(0=LEN(ReferenceData!$BI$162),"",ReferenceData!$BI$162),"")</f>
        <v/>
      </c>
      <c r="BJ162" t="str">
        <f ca="1">IFERROR(IF(0=LEN(ReferenceData!$BJ$162),"",ReferenceData!$BJ$162),"")</f>
        <v/>
      </c>
      <c r="BK162" t="str">
        <f ca="1">IFERROR(IF(0=LEN(ReferenceData!$BK$162),"",ReferenceData!$BK$162),"")</f>
        <v/>
      </c>
      <c r="BL162" t="str">
        <f ca="1">IFERROR(IF(0=LEN(ReferenceData!$BL$162),"",ReferenceData!$BL$162),"")</f>
        <v/>
      </c>
      <c r="BM162" t="str">
        <f ca="1">IFERROR(IF(0=LEN(ReferenceData!$BM$162),"",ReferenceData!$BM$162),"")</f>
        <v/>
      </c>
    </row>
    <row r="163" spans="1:65">
      <c r="A163" t="str">
        <f>IFERROR(IF(0=LEN(ReferenceData!$A$163),"",ReferenceData!$A$163),"")</f>
        <v xml:space="preserve">    Healthcare Realty Trust Inc</v>
      </c>
      <c r="B163" t="str">
        <f>IFERROR(IF(0=LEN(ReferenceData!$B$163),"",ReferenceData!$B$163),"")</f>
        <v>HR US Equity</v>
      </c>
      <c r="C163" t="str">
        <f>IFERROR(IF(0=LEN(ReferenceData!$C$163),"",ReferenceData!$C$163),"")</f>
        <v>RX902</v>
      </c>
      <c r="D163" t="str">
        <f>IFERROR(IF(0=LEN(ReferenceData!$D$163),"",ReferenceData!$D$163),"")</f>
        <v>ANN_NOI_GR_AST_NET_RTL_DEV_CTD_%</v>
      </c>
      <c r="E163" t="str">
        <f>IFERROR(IF(0=LEN(ReferenceData!$E$163),"",ReferenceData!$E$163),"")</f>
        <v>动态</v>
      </c>
      <c r="F163" t="str">
        <f ca="1">IFERROR(IF(0=LEN(ReferenceData!$F$163),"",ReferenceData!$F$163),"")</f>
        <v/>
      </c>
      <c r="G163">
        <f ca="1">IFERROR(IF(0=LEN(ReferenceData!$G$163),"",ReferenceData!$G$163),"")</f>
        <v>6.5352974750000001</v>
      </c>
      <c r="H163">
        <f ca="1">IFERROR(IF(0=LEN(ReferenceData!$H$163),"",ReferenceData!$H$163),"")</f>
        <v>6.4495452929999999</v>
      </c>
      <c r="I163">
        <f ca="1">IFERROR(IF(0=LEN(ReferenceData!$I$163),"",ReferenceData!$I$163),"")</f>
        <v>6.840678606</v>
      </c>
      <c r="J163">
        <f ca="1">IFERROR(IF(0=LEN(ReferenceData!$J$163),"",ReferenceData!$J$163),"")</f>
        <v>6.7534039149999998</v>
      </c>
      <c r="K163">
        <f ca="1">IFERROR(IF(0=LEN(ReferenceData!$K$163),"",ReferenceData!$K$163),"")</f>
        <v>6.8065684119999998</v>
      </c>
      <c r="L163">
        <f ca="1">IFERROR(IF(0=LEN(ReferenceData!$L$163),"",ReferenceData!$L$163),"")</f>
        <v>6.7545388720000004</v>
      </c>
      <c r="M163">
        <f ca="1">IFERROR(IF(0=LEN(ReferenceData!$M$163),"",ReferenceData!$M$163),"")</f>
        <v>6.9158638159999999</v>
      </c>
      <c r="N163">
        <f ca="1">IFERROR(IF(0=LEN(ReferenceData!$N$163),"",ReferenceData!$N$163),"")</f>
        <v>6.849842282</v>
      </c>
      <c r="O163">
        <f ca="1">IFERROR(IF(0=LEN(ReferenceData!$O$163),"",ReferenceData!$O$163),"")</f>
        <v>6.6772112029999997</v>
      </c>
      <c r="P163">
        <f ca="1">IFERROR(IF(0=LEN(ReferenceData!$P$163),"",ReferenceData!$P$163),"")</f>
        <v>6.7633894440000004</v>
      </c>
      <c r="Q163">
        <f ca="1">IFERROR(IF(0=LEN(ReferenceData!$Q$163),"",ReferenceData!$Q$163),"")</f>
        <v>6.9133087680000003</v>
      </c>
      <c r="R163">
        <f ca="1">IFERROR(IF(0=LEN(ReferenceData!$R$163),"",ReferenceData!$R$163),"")</f>
        <v>6.7247785210000002</v>
      </c>
      <c r="S163">
        <f ca="1">IFERROR(IF(0=LEN(ReferenceData!$S$163),"",ReferenceData!$S$163),"")</f>
        <v>6.7282770909999998</v>
      </c>
      <c r="T163">
        <f ca="1">IFERROR(IF(0=LEN(ReferenceData!$T$163),"",ReferenceData!$T$163),"")</f>
        <v>6.5150031689999999</v>
      </c>
      <c r="U163">
        <f ca="1">IFERROR(IF(0=LEN(ReferenceData!$U$163),"",ReferenceData!$U$163),"")</f>
        <v>6.3397548160000001</v>
      </c>
      <c r="V163">
        <f ca="1">IFERROR(IF(0=LEN(ReferenceData!$V$163),"",ReferenceData!$V$163),"")</f>
        <v>6.2268172890000004</v>
      </c>
      <c r="W163">
        <f ca="1">IFERROR(IF(0=LEN(ReferenceData!$W$163),"",ReferenceData!$W$163),"")</f>
        <v>6.2549174230000002</v>
      </c>
      <c r="X163">
        <f ca="1">IFERROR(IF(0=LEN(ReferenceData!$X$163),"",ReferenceData!$X$163),"")</f>
        <v>5.5229912160000003</v>
      </c>
      <c r="Y163">
        <f ca="1">IFERROR(IF(0=LEN(ReferenceData!$Y$163),"",ReferenceData!$Y$163),"")</f>
        <v>5.8226148389999999</v>
      </c>
      <c r="Z163">
        <f ca="1">IFERROR(IF(0=LEN(ReferenceData!$Z$163),"",ReferenceData!$Z$163),"")</f>
        <v>5.6165308400000002</v>
      </c>
      <c r="AA163">
        <f ca="1">IFERROR(IF(0=LEN(ReferenceData!$AA$163),"",ReferenceData!$AA$163),"")</f>
        <v>5.6588035139999997</v>
      </c>
      <c r="AB163">
        <f ca="1">IFERROR(IF(0=LEN(ReferenceData!$AB$163),"",ReferenceData!$AB$163),"")</f>
        <v>5.6671994540000004</v>
      </c>
      <c r="AC163">
        <f ca="1">IFERROR(IF(0=LEN(ReferenceData!$AC$163),"",ReferenceData!$AC$163),"")</f>
        <v>5.9497660870000004</v>
      </c>
      <c r="AD163">
        <f ca="1">IFERROR(IF(0=LEN(ReferenceData!$AD$163),"",ReferenceData!$AD$163),"")</f>
        <v>5.6976066149999998</v>
      </c>
      <c r="AE163">
        <f ca="1">IFERROR(IF(0=LEN(ReferenceData!$AE$163),"",ReferenceData!$AE$163),"")</f>
        <v>5.723674183</v>
      </c>
      <c r="AF163">
        <f ca="1">IFERROR(IF(0=LEN(ReferenceData!$AF$163),"",ReferenceData!$AF$163),"")</f>
        <v>5.4362228479999999</v>
      </c>
      <c r="AG163">
        <f ca="1">IFERROR(IF(0=LEN(ReferenceData!$AG$163),"",ReferenceData!$AG$163),"")</f>
        <v>5.6851389589999997</v>
      </c>
      <c r="AH163">
        <f ca="1">IFERROR(IF(0=LEN(ReferenceData!$AH$163),"",ReferenceData!$AH$163),"")</f>
        <v>5.831944096</v>
      </c>
      <c r="AI163">
        <f ca="1">IFERROR(IF(0=LEN(ReferenceData!$AI$163),"",ReferenceData!$AI$163),"")</f>
        <v>5.4599130880000004</v>
      </c>
      <c r="AJ163">
        <f ca="1">IFERROR(IF(0=LEN(ReferenceData!$AJ$163),"",ReferenceData!$AJ$163),"")</f>
        <v>5.6857298180000004</v>
      </c>
      <c r="AK163" t="str">
        <f ca="1">IFERROR(IF(0=LEN(ReferenceData!$AK$163),"",ReferenceData!$AK$163),"")</f>
        <v/>
      </c>
      <c r="AL163" t="str">
        <f ca="1">IFERROR(IF(0=LEN(ReferenceData!$AL$163),"",ReferenceData!$AL$163),"")</f>
        <v/>
      </c>
      <c r="AM163" t="str">
        <f ca="1">IFERROR(IF(0=LEN(ReferenceData!$AM$163),"",ReferenceData!$AM$163),"")</f>
        <v/>
      </c>
      <c r="AN163" t="str">
        <f ca="1">IFERROR(IF(0=LEN(ReferenceData!$AN$163),"",ReferenceData!$AN$163),"")</f>
        <v/>
      </c>
      <c r="AO163" t="str">
        <f ca="1">IFERROR(IF(0=LEN(ReferenceData!$AO$163),"",ReferenceData!$AO$163),"")</f>
        <v/>
      </c>
      <c r="AP163" t="str">
        <f ca="1">IFERROR(IF(0=LEN(ReferenceData!$AP$163),"",ReferenceData!$AP$163),"")</f>
        <v/>
      </c>
      <c r="AQ163" t="str">
        <f ca="1">IFERROR(IF(0=LEN(ReferenceData!$AQ$163),"",ReferenceData!$AQ$163),"")</f>
        <v/>
      </c>
      <c r="AR163" t="str">
        <f ca="1">IFERROR(IF(0=LEN(ReferenceData!$AR$163),"",ReferenceData!$AR$163),"")</f>
        <v/>
      </c>
      <c r="AS163" t="str">
        <f ca="1">IFERROR(IF(0=LEN(ReferenceData!$AS$163),"",ReferenceData!$AS$163),"")</f>
        <v/>
      </c>
      <c r="AT163" t="str">
        <f ca="1">IFERROR(IF(0=LEN(ReferenceData!$AT$163),"",ReferenceData!$AT$163),"")</f>
        <v/>
      </c>
      <c r="AU163" t="str">
        <f ca="1">IFERROR(IF(0=LEN(ReferenceData!$AU$163),"",ReferenceData!$AU$163),"")</f>
        <v/>
      </c>
      <c r="AV163" t="str">
        <f ca="1">IFERROR(IF(0=LEN(ReferenceData!$AV$163),"",ReferenceData!$AV$163),"")</f>
        <v/>
      </c>
      <c r="AW163" t="str">
        <f ca="1">IFERROR(IF(0=LEN(ReferenceData!$AW$163),"",ReferenceData!$AW$163),"")</f>
        <v/>
      </c>
      <c r="AX163" t="str">
        <f ca="1">IFERROR(IF(0=LEN(ReferenceData!$AX$163),"",ReferenceData!$AX$163),"")</f>
        <v/>
      </c>
      <c r="AY163" t="str">
        <f ca="1">IFERROR(IF(0=LEN(ReferenceData!$AY$163),"",ReferenceData!$AY$163),"")</f>
        <v/>
      </c>
      <c r="AZ163" t="str">
        <f ca="1">IFERROR(IF(0=LEN(ReferenceData!$AZ$163),"",ReferenceData!$AZ$163),"")</f>
        <v/>
      </c>
      <c r="BA163" t="str">
        <f ca="1">IFERROR(IF(0=LEN(ReferenceData!$BA$163),"",ReferenceData!$BA$163),"")</f>
        <v/>
      </c>
      <c r="BB163" t="str">
        <f ca="1">IFERROR(IF(0=LEN(ReferenceData!$BB$163),"",ReferenceData!$BB$163),"")</f>
        <v/>
      </c>
      <c r="BC163" t="str">
        <f ca="1">IFERROR(IF(0=LEN(ReferenceData!$BC$163),"",ReferenceData!$BC$163),"")</f>
        <v/>
      </c>
      <c r="BD163" t="str">
        <f ca="1">IFERROR(IF(0=LEN(ReferenceData!$BD$163),"",ReferenceData!$BD$163),"")</f>
        <v/>
      </c>
      <c r="BE163" t="str">
        <f ca="1">IFERROR(IF(0=LEN(ReferenceData!$BE$163),"",ReferenceData!$BE$163),"")</f>
        <v/>
      </c>
      <c r="BF163" t="str">
        <f ca="1">IFERROR(IF(0=LEN(ReferenceData!$BF$163),"",ReferenceData!$BF$163),"")</f>
        <v/>
      </c>
      <c r="BG163" t="str">
        <f ca="1">IFERROR(IF(0=LEN(ReferenceData!$BG$163),"",ReferenceData!$BG$163),"")</f>
        <v/>
      </c>
      <c r="BH163" t="str">
        <f ca="1">IFERROR(IF(0=LEN(ReferenceData!$BH$163),"",ReferenceData!$BH$163),"")</f>
        <v/>
      </c>
      <c r="BI163" t="str">
        <f ca="1">IFERROR(IF(0=LEN(ReferenceData!$BI$163),"",ReferenceData!$BI$163),"")</f>
        <v/>
      </c>
      <c r="BJ163" t="str">
        <f ca="1">IFERROR(IF(0=LEN(ReferenceData!$BJ$163),"",ReferenceData!$BJ$163),"")</f>
        <v/>
      </c>
      <c r="BK163" t="str">
        <f ca="1">IFERROR(IF(0=LEN(ReferenceData!$BK$163),"",ReferenceData!$BK$163),"")</f>
        <v/>
      </c>
      <c r="BL163" t="str">
        <f ca="1">IFERROR(IF(0=LEN(ReferenceData!$BL$163),"",ReferenceData!$BL$163),"")</f>
        <v/>
      </c>
      <c r="BM163" t="str">
        <f ca="1">IFERROR(IF(0=LEN(ReferenceData!$BM$163),"",ReferenceData!$BM$163),"")</f>
        <v/>
      </c>
    </row>
    <row r="164" spans="1:65">
      <c r="A164" t="str">
        <f>IFERROR(IF(0=LEN(ReferenceData!$A$164),"",ReferenceData!$A$164),"")</f>
        <v xml:space="preserve">    Healthcare Trust of America In</v>
      </c>
      <c r="B164" t="str">
        <f>IFERROR(IF(0=LEN(ReferenceData!$B$164),"",ReferenceData!$B$164),"")</f>
        <v>HTA US Equity</v>
      </c>
      <c r="C164" t="str">
        <f>IFERROR(IF(0=LEN(ReferenceData!$C$164),"",ReferenceData!$C$164),"")</f>
        <v>RX902</v>
      </c>
      <c r="D164" t="str">
        <f>IFERROR(IF(0=LEN(ReferenceData!$D$164),"",ReferenceData!$D$164),"")</f>
        <v>ANN_NOI_GR_AST_NET_RTL_DEV_CTD_%</v>
      </c>
      <c r="E164" t="str">
        <f>IFERROR(IF(0=LEN(ReferenceData!$E$164),"",ReferenceData!$E$164),"")</f>
        <v>动态</v>
      </c>
      <c r="F164" t="str">
        <f ca="1">IFERROR(IF(0=LEN(ReferenceData!$F$164),"",ReferenceData!$F$164),"")</f>
        <v/>
      </c>
      <c r="G164">
        <f ca="1">IFERROR(IF(0=LEN(ReferenceData!$G$164),"",ReferenceData!$G$164),"")</f>
        <v>6.4512165460000004</v>
      </c>
      <c r="H164">
        <f ca="1">IFERROR(IF(0=LEN(ReferenceData!$H$164),"",ReferenceData!$H$164),"")</f>
        <v>6.4795762549999996</v>
      </c>
      <c r="I164">
        <f ca="1">IFERROR(IF(0=LEN(ReferenceData!$I$164),"",ReferenceData!$I$164),"")</f>
        <v>5.301762901</v>
      </c>
      <c r="J164">
        <f ca="1">IFERROR(IF(0=LEN(ReferenceData!$J$164),"",ReferenceData!$J$164),"")</f>
        <v>7.4036394339999996</v>
      </c>
      <c r="K164">
        <f ca="1">IFERROR(IF(0=LEN(ReferenceData!$K$164),"",ReferenceData!$K$164),"")</f>
        <v>7.3234610399999998</v>
      </c>
      <c r="L164">
        <f ca="1">IFERROR(IF(0=LEN(ReferenceData!$L$164),"",ReferenceData!$L$164),"")</f>
        <v>7.2480661890000002</v>
      </c>
      <c r="M164">
        <f ca="1">IFERROR(IF(0=LEN(ReferenceData!$M$164),"",ReferenceData!$M$164),"")</f>
        <v>7.3170429219999997</v>
      </c>
      <c r="N164">
        <f ca="1">IFERROR(IF(0=LEN(ReferenceData!$N$164),"",ReferenceData!$N$164),"")</f>
        <v>7.35409779</v>
      </c>
      <c r="O164">
        <f ca="1">IFERROR(IF(0=LEN(ReferenceData!$O$164),"",ReferenceData!$O$164),"")</f>
        <v>7.4330300769999997</v>
      </c>
      <c r="P164">
        <f ca="1">IFERROR(IF(0=LEN(ReferenceData!$P$164),"",ReferenceData!$P$164),"")</f>
        <v>7.434408779</v>
      </c>
      <c r="Q164">
        <f ca="1">IFERROR(IF(0=LEN(ReferenceData!$Q$164),"",ReferenceData!$Q$164),"")</f>
        <v>7.3084782429999997</v>
      </c>
      <c r="R164">
        <f ca="1">IFERROR(IF(0=LEN(ReferenceData!$R$164),"",ReferenceData!$R$164),"")</f>
        <v>7.4689751700000002</v>
      </c>
      <c r="S164">
        <f ca="1">IFERROR(IF(0=LEN(ReferenceData!$S$164),"",ReferenceData!$S$164),"")</f>
        <v>7.445998168</v>
      </c>
      <c r="T164">
        <f ca="1">IFERROR(IF(0=LEN(ReferenceData!$T$164),"",ReferenceData!$T$164),"")</f>
        <v>7.6461553560000004</v>
      </c>
      <c r="U164">
        <f ca="1">IFERROR(IF(0=LEN(ReferenceData!$U$164),"",ReferenceData!$U$164),"")</f>
        <v>7.1071369070000001</v>
      </c>
      <c r="V164">
        <f ca="1">IFERROR(IF(0=LEN(ReferenceData!$V$164),"",ReferenceData!$V$164),"")</f>
        <v>7.6838006769999998</v>
      </c>
      <c r="W164">
        <f ca="1">IFERROR(IF(0=LEN(ReferenceData!$W$164),"",ReferenceData!$W$164),"")</f>
        <v>7.4214428479999999</v>
      </c>
      <c r="X164">
        <f ca="1">IFERROR(IF(0=LEN(ReferenceData!$X$164),"",ReferenceData!$X$164),"")</f>
        <v>7.3806275799999996</v>
      </c>
      <c r="Y164">
        <f ca="1">IFERROR(IF(0=LEN(ReferenceData!$Y$164),"",ReferenceData!$Y$164),"")</f>
        <v>7.4145854790000003</v>
      </c>
      <c r="Z164">
        <f ca="1">IFERROR(IF(0=LEN(ReferenceData!$Z$164),"",ReferenceData!$Z$164),"")</f>
        <v>7.1507950889999998</v>
      </c>
      <c r="AA164">
        <f ca="1">IFERROR(IF(0=LEN(ReferenceData!$AA$164),"",ReferenceData!$AA$164),"")</f>
        <v>7.5258901969999998</v>
      </c>
      <c r="AB164">
        <f ca="1">IFERROR(IF(0=LEN(ReferenceData!$AB$164),"",ReferenceData!$AB$164),"")</f>
        <v>7.9790639030000001</v>
      </c>
      <c r="AC164">
        <f ca="1">IFERROR(IF(0=LEN(ReferenceData!$AC$164),"",ReferenceData!$AC$164),"")</f>
        <v>7.8181870590000004</v>
      </c>
      <c r="AD164">
        <f ca="1">IFERROR(IF(0=LEN(ReferenceData!$AD$164),"",ReferenceData!$AD$164),"")</f>
        <v>7.3544840230000004</v>
      </c>
      <c r="AE164">
        <f ca="1">IFERROR(IF(0=LEN(ReferenceData!$AE$164),"",ReferenceData!$AE$164),"")</f>
        <v>7.8960425089999999</v>
      </c>
      <c r="AF164">
        <f ca="1">IFERROR(IF(0=LEN(ReferenceData!$AF$164),"",ReferenceData!$AF$164),"")</f>
        <v>7.5820518200000002</v>
      </c>
      <c r="AG164">
        <f ca="1">IFERROR(IF(0=LEN(ReferenceData!$AG$164),"",ReferenceData!$AG$164),"")</f>
        <v>7.3707729369999999</v>
      </c>
      <c r="AH164">
        <f ca="1">IFERROR(IF(0=LEN(ReferenceData!$AH$164),"",ReferenceData!$AH$164),"")</f>
        <v>7.283846467</v>
      </c>
      <c r="AI164">
        <f ca="1">IFERROR(IF(0=LEN(ReferenceData!$AI$164),"",ReferenceData!$AI$164),"")</f>
        <v>6.8114758689999997</v>
      </c>
      <c r="AJ164">
        <f ca="1">IFERROR(IF(0=LEN(ReferenceData!$AJ$164),"",ReferenceData!$AJ$164),"")</f>
        <v>6.6379130379999998</v>
      </c>
      <c r="AK164">
        <f ca="1">IFERROR(IF(0=LEN(ReferenceData!$AK$164),"",ReferenceData!$AK$164),"")</f>
        <v>6.3732218190000003</v>
      </c>
      <c r="AL164">
        <f ca="1">IFERROR(IF(0=LEN(ReferenceData!$AL$164),"",ReferenceData!$AL$164),"")</f>
        <v>6.9208759640000004</v>
      </c>
      <c r="AM164" t="str">
        <f ca="1">IFERROR(IF(0=LEN(ReferenceData!$AM$164),"",ReferenceData!$AM$164),"")</f>
        <v/>
      </c>
      <c r="AN164" t="str">
        <f ca="1">IFERROR(IF(0=LEN(ReferenceData!$AN$164),"",ReferenceData!$AN$164),"")</f>
        <v/>
      </c>
      <c r="AO164" t="str">
        <f ca="1">IFERROR(IF(0=LEN(ReferenceData!$AO$164),"",ReferenceData!$AO$164),"")</f>
        <v/>
      </c>
      <c r="AP164" t="str">
        <f ca="1">IFERROR(IF(0=LEN(ReferenceData!$AP$164),"",ReferenceData!$AP$164),"")</f>
        <v/>
      </c>
      <c r="AQ164" t="str">
        <f ca="1">IFERROR(IF(0=LEN(ReferenceData!$AQ$164),"",ReferenceData!$AQ$164),"")</f>
        <v/>
      </c>
      <c r="AR164" t="str">
        <f ca="1">IFERROR(IF(0=LEN(ReferenceData!$AR$164),"",ReferenceData!$AR$164),"")</f>
        <v/>
      </c>
      <c r="AS164" t="str">
        <f ca="1">IFERROR(IF(0=LEN(ReferenceData!$AS$164),"",ReferenceData!$AS$164),"")</f>
        <v/>
      </c>
      <c r="AT164" t="str">
        <f ca="1">IFERROR(IF(0=LEN(ReferenceData!$AT$164),"",ReferenceData!$AT$164),"")</f>
        <v/>
      </c>
      <c r="AU164" t="str">
        <f ca="1">IFERROR(IF(0=LEN(ReferenceData!$AU$164),"",ReferenceData!$AU$164),"")</f>
        <v/>
      </c>
      <c r="AV164" t="str">
        <f ca="1">IFERROR(IF(0=LEN(ReferenceData!$AV$164),"",ReferenceData!$AV$164),"")</f>
        <v/>
      </c>
      <c r="AW164" t="str">
        <f ca="1">IFERROR(IF(0=LEN(ReferenceData!$AW$164),"",ReferenceData!$AW$164),"")</f>
        <v/>
      </c>
      <c r="AX164" t="str">
        <f ca="1">IFERROR(IF(0=LEN(ReferenceData!$AX$164),"",ReferenceData!$AX$164),"")</f>
        <v/>
      </c>
      <c r="AY164" t="str">
        <f ca="1">IFERROR(IF(0=LEN(ReferenceData!$AY$164),"",ReferenceData!$AY$164),"")</f>
        <v/>
      </c>
      <c r="AZ164" t="str">
        <f ca="1">IFERROR(IF(0=LEN(ReferenceData!$AZ$164),"",ReferenceData!$AZ$164),"")</f>
        <v/>
      </c>
      <c r="BA164" t="str">
        <f ca="1">IFERROR(IF(0=LEN(ReferenceData!$BA$164),"",ReferenceData!$BA$164),"")</f>
        <v/>
      </c>
      <c r="BB164" t="str">
        <f ca="1">IFERROR(IF(0=LEN(ReferenceData!$BB$164),"",ReferenceData!$BB$164),"")</f>
        <v/>
      </c>
      <c r="BC164" t="str">
        <f ca="1">IFERROR(IF(0=LEN(ReferenceData!$BC$164),"",ReferenceData!$BC$164),"")</f>
        <v/>
      </c>
      <c r="BD164" t="str">
        <f ca="1">IFERROR(IF(0=LEN(ReferenceData!$BD$164),"",ReferenceData!$BD$164),"")</f>
        <v/>
      </c>
      <c r="BE164" t="str">
        <f ca="1">IFERROR(IF(0=LEN(ReferenceData!$BE$164),"",ReferenceData!$BE$164),"")</f>
        <v/>
      </c>
      <c r="BF164" t="str">
        <f ca="1">IFERROR(IF(0=LEN(ReferenceData!$BF$164),"",ReferenceData!$BF$164),"")</f>
        <v/>
      </c>
      <c r="BG164" t="str">
        <f ca="1">IFERROR(IF(0=LEN(ReferenceData!$BG$164),"",ReferenceData!$BG$164),"")</f>
        <v/>
      </c>
      <c r="BH164" t="str">
        <f ca="1">IFERROR(IF(0=LEN(ReferenceData!$BH$164),"",ReferenceData!$BH$164),"")</f>
        <v/>
      </c>
      <c r="BI164" t="str">
        <f ca="1">IFERROR(IF(0=LEN(ReferenceData!$BI$164),"",ReferenceData!$BI$164),"")</f>
        <v/>
      </c>
      <c r="BJ164" t="str">
        <f ca="1">IFERROR(IF(0=LEN(ReferenceData!$BJ$164),"",ReferenceData!$BJ$164),"")</f>
        <v/>
      </c>
      <c r="BK164" t="str">
        <f ca="1">IFERROR(IF(0=LEN(ReferenceData!$BK$164),"",ReferenceData!$BK$164),"")</f>
        <v/>
      </c>
      <c r="BL164" t="str">
        <f ca="1">IFERROR(IF(0=LEN(ReferenceData!$BL$164),"",ReferenceData!$BL$164),"")</f>
        <v/>
      </c>
      <c r="BM164" t="str">
        <f ca="1">IFERROR(IF(0=LEN(ReferenceData!$BM$164),"",ReferenceData!$BM$164),"")</f>
        <v/>
      </c>
    </row>
    <row r="165" spans="1:65">
      <c r="A165" t="str">
        <f>IFERROR(IF(0=LEN(ReferenceData!$A$165),"",ReferenceData!$A$165),"")</f>
        <v xml:space="preserve">    Medical Properties Trust Inc</v>
      </c>
      <c r="B165" t="str">
        <f>IFERROR(IF(0=LEN(ReferenceData!$B$165),"",ReferenceData!$B$165),"")</f>
        <v>MPW US Equity</v>
      </c>
      <c r="C165" t="str">
        <f>IFERROR(IF(0=LEN(ReferenceData!$C$165),"",ReferenceData!$C$165),"")</f>
        <v>RX902</v>
      </c>
      <c r="D165" t="str">
        <f>IFERROR(IF(0=LEN(ReferenceData!$D$165),"",ReferenceData!$D$165),"")</f>
        <v>ANN_NOI_GR_AST_NET_RTL_DEV_CTD_%</v>
      </c>
      <c r="E165" t="str">
        <f>IFERROR(IF(0=LEN(ReferenceData!$E$165),"",ReferenceData!$E$165),"")</f>
        <v>动态</v>
      </c>
      <c r="F165" t="str">
        <f ca="1">IFERROR(IF(0=LEN(ReferenceData!$F$165),"",ReferenceData!$F$165),"")</f>
        <v/>
      </c>
      <c r="G165">
        <f ca="1">IFERROR(IF(0=LEN(ReferenceData!$G$165),"",ReferenceData!$G$165),"")</f>
        <v>6.7929928239999997</v>
      </c>
      <c r="H165">
        <f ca="1">IFERROR(IF(0=LEN(ReferenceData!$H$165),"",ReferenceData!$H$165),"")</f>
        <v>6.250042799</v>
      </c>
      <c r="I165">
        <f ca="1">IFERROR(IF(0=LEN(ReferenceData!$I$165),"",ReferenceData!$I$165),"")</f>
        <v>7.0991303520000004</v>
      </c>
      <c r="J165">
        <f ca="1">IFERROR(IF(0=LEN(ReferenceData!$J$165),"",ReferenceData!$J$165),"")</f>
        <v>7.0718230799999997</v>
      </c>
      <c r="K165">
        <f ca="1">IFERROR(IF(0=LEN(ReferenceData!$K$165),"",ReferenceData!$K$165),"")</f>
        <v>7.3209492589999998</v>
      </c>
      <c r="L165">
        <f ca="1">IFERROR(IF(0=LEN(ReferenceData!$L$165),"",ReferenceData!$L$165),"")</f>
        <v>6.6731086319999999</v>
      </c>
      <c r="M165">
        <f ca="1">IFERROR(IF(0=LEN(ReferenceData!$M$165),"",ReferenceData!$M$165),"")</f>
        <v>7.3587382100000003</v>
      </c>
      <c r="N165">
        <f ca="1">IFERROR(IF(0=LEN(ReferenceData!$N$165),"",ReferenceData!$N$165),"")</f>
        <v>6.6991470150000003</v>
      </c>
      <c r="O165">
        <f ca="1">IFERROR(IF(0=LEN(ReferenceData!$O$165),"",ReferenceData!$O$165),"")</f>
        <v>6.55165708</v>
      </c>
      <c r="P165">
        <f ca="1">IFERROR(IF(0=LEN(ReferenceData!$P$165),"",ReferenceData!$P$165),"")</f>
        <v>6.0168154960000004</v>
      </c>
      <c r="Q165">
        <f ca="1">IFERROR(IF(0=LEN(ReferenceData!$Q$165),"",ReferenceData!$Q$165),"")</f>
        <v>6.4084751259999999</v>
      </c>
      <c r="R165">
        <f ca="1">IFERROR(IF(0=LEN(ReferenceData!$R$165),"",ReferenceData!$R$165),"")</f>
        <v>6.9344140799999998</v>
      </c>
      <c r="S165">
        <f ca="1">IFERROR(IF(0=LEN(ReferenceData!$S$165),"",ReferenceData!$S$165),"")</f>
        <v>6.6115831500000004</v>
      </c>
      <c r="T165">
        <f ca="1">IFERROR(IF(0=LEN(ReferenceData!$T$165),"",ReferenceData!$T$165),"")</f>
        <v>7.7315289570000001</v>
      </c>
      <c r="U165">
        <f ca="1">IFERROR(IF(0=LEN(ReferenceData!$U$165),"",ReferenceData!$U$165),"")</f>
        <v>7.2923303290000003</v>
      </c>
      <c r="V165">
        <f ca="1">IFERROR(IF(0=LEN(ReferenceData!$V$165),"",ReferenceData!$V$165),"")</f>
        <v>9.1359337160000003</v>
      </c>
      <c r="W165">
        <f ca="1">IFERROR(IF(0=LEN(ReferenceData!$W$165),"",ReferenceData!$W$165),"")</f>
        <v>6.7360435130000003</v>
      </c>
      <c r="X165">
        <f ca="1">IFERROR(IF(0=LEN(ReferenceData!$X$165),"",ReferenceData!$X$165),"")</f>
        <v>6.6722283310000003</v>
      </c>
      <c r="Y165">
        <f ca="1">IFERROR(IF(0=LEN(ReferenceData!$Y$165),"",ReferenceData!$Y$165),"")</f>
        <v>7.0744168329999999</v>
      </c>
      <c r="Z165">
        <f ca="1">IFERROR(IF(0=LEN(ReferenceData!$Z$165),"",ReferenceData!$Z$165),"")</f>
        <v>9.7542682220000003</v>
      </c>
      <c r="AA165">
        <f ca="1">IFERROR(IF(0=LEN(ReferenceData!$AA$165),"",ReferenceData!$AA$165),"")</f>
        <v>7.1170496439999997</v>
      </c>
      <c r="AB165">
        <f ca="1">IFERROR(IF(0=LEN(ReferenceData!$AB$165),"",ReferenceData!$AB$165),"")</f>
        <v>6.7764000400000004</v>
      </c>
      <c r="AC165">
        <f ca="1">IFERROR(IF(0=LEN(ReferenceData!$AC$165),"",ReferenceData!$AC$165),"")</f>
        <v>6.8226834529999998</v>
      </c>
      <c r="AD165">
        <f ca="1">IFERROR(IF(0=LEN(ReferenceData!$AD$165),"",ReferenceData!$AD$165),"")</f>
        <v>6.1304632320000003</v>
      </c>
      <c r="AE165">
        <f ca="1">IFERROR(IF(0=LEN(ReferenceData!$AE$165),"",ReferenceData!$AE$165),"")</f>
        <v>6.9607808479999997</v>
      </c>
      <c r="AF165">
        <f ca="1">IFERROR(IF(0=LEN(ReferenceData!$AF$165),"",ReferenceData!$AF$165),"")</f>
        <v>6.8714812780000001</v>
      </c>
      <c r="AG165">
        <f ca="1">IFERROR(IF(0=LEN(ReferenceData!$AG$165),"",ReferenceData!$AG$165),"")</f>
        <v>6.6570196460000002</v>
      </c>
      <c r="AH165">
        <f ca="1">IFERROR(IF(0=LEN(ReferenceData!$AH$165),"",ReferenceData!$AH$165),"")</f>
        <v>7.5683136390000003</v>
      </c>
      <c r="AI165" t="str">
        <f ca="1">IFERROR(IF(0=LEN(ReferenceData!$AI$165),"",ReferenceData!$AI$165),"")</f>
        <v/>
      </c>
      <c r="AJ165" t="str">
        <f ca="1">IFERROR(IF(0=LEN(ReferenceData!$AJ$165),"",ReferenceData!$AJ$165),"")</f>
        <v/>
      </c>
      <c r="AK165" t="str">
        <f ca="1">IFERROR(IF(0=LEN(ReferenceData!$AK$165),"",ReferenceData!$AK$165),"")</f>
        <v/>
      </c>
      <c r="AL165" t="str">
        <f ca="1">IFERROR(IF(0=LEN(ReferenceData!$AL$165),"",ReferenceData!$AL$165),"")</f>
        <v/>
      </c>
      <c r="AM165" t="str">
        <f ca="1">IFERROR(IF(0=LEN(ReferenceData!$AM$165),"",ReferenceData!$AM$165),"")</f>
        <v/>
      </c>
      <c r="AN165" t="str">
        <f ca="1">IFERROR(IF(0=LEN(ReferenceData!$AN$165),"",ReferenceData!$AN$165),"")</f>
        <v/>
      </c>
      <c r="AO165" t="str">
        <f ca="1">IFERROR(IF(0=LEN(ReferenceData!$AO$165),"",ReferenceData!$AO$165),"")</f>
        <v/>
      </c>
      <c r="AP165" t="str">
        <f ca="1">IFERROR(IF(0=LEN(ReferenceData!$AP$165),"",ReferenceData!$AP$165),"")</f>
        <v/>
      </c>
      <c r="AQ165" t="str">
        <f ca="1">IFERROR(IF(0=LEN(ReferenceData!$AQ$165),"",ReferenceData!$AQ$165),"")</f>
        <v/>
      </c>
      <c r="AR165" t="str">
        <f ca="1">IFERROR(IF(0=LEN(ReferenceData!$AR$165),"",ReferenceData!$AR$165),"")</f>
        <v/>
      </c>
      <c r="AS165" t="str">
        <f ca="1">IFERROR(IF(0=LEN(ReferenceData!$AS$165),"",ReferenceData!$AS$165),"")</f>
        <v/>
      </c>
      <c r="AT165" t="str">
        <f ca="1">IFERROR(IF(0=LEN(ReferenceData!$AT$165),"",ReferenceData!$AT$165),"")</f>
        <v/>
      </c>
      <c r="AU165" t="str">
        <f ca="1">IFERROR(IF(0=LEN(ReferenceData!$AU$165),"",ReferenceData!$AU$165),"")</f>
        <v/>
      </c>
      <c r="AV165" t="str">
        <f ca="1">IFERROR(IF(0=LEN(ReferenceData!$AV$165),"",ReferenceData!$AV$165),"")</f>
        <v/>
      </c>
      <c r="AW165" t="str">
        <f ca="1">IFERROR(IF(0=LEN(ReferenceData!$AW$165),"",ReferenceData!$AW$165),"")</f>
        <v/>
      </c>
      <c r="AX165" t="str">
        <f ca="1">IFERROR(IF(0=LEN(ReferenceData!$AX$165),"",ReferenceData!$AX$165),"")</f>
        <v/>
      </c>
      <c r="AY165" t="str">
        <f ca="1">IFERROR(IF(0=LEN(ReferenceData!$AY$165),"",ReferenceData!$AY$165),"")</f>
        <v/>
      </c>
      <c r="AZ165" t="str">
        <f ca="1">IFERROR(IF(0=LEN(ReferenceData!$AZ$165),"",ReferenceData!$AZ$165),"")</f>
        <v/>
      </c>
      <c r="BA165" t="str">
        <f ca="1">IFERROR(IF(0=LEN(ReferenceData!$BA$165),"",ReferenceData!$BA$165),"")</f>
        <v/>
      </c>
      <c r="BB165" t="str">
        <f ca="1">IFERROR(IF(0=LEN(ReferenceData!$BB$165),"",ReferenceData!$BB$165),"")</f>
        <v/>
      </c>
      <c r="BC165" t="str">
        <f ca="1">IFERROR(IF(0=LEN(ReferenceData!$BC$165),"",ReferenceData!$BC$165),"")</f>
        <v/>
      </c>
      <c r="BD165" t="str">
        <f ca="1">IFERROR(IF(0=LEN(ReferenceData!$BD$165),"",ReferenceData!$BD$165),"")</f>
        <v/>
      </c>
      <c r="BE165" t="str">
        <f ca="1">IFERROR(IF(0=LEN(ReferenceData!$BE$165),"",ReferenceData!$BE$165),"")</f>
        <v/>
      </c>
      <c r="BF165" t="str">
        <f ca="1">IFERROR(IF(0=LEN(ReferenceData!$BF$165),"",ReferenceData!$BF$165),"")</f>
        <v/>
      </c>
      <c r="BG165" t="str">
        <f ca="1">IFERROR(IF(0=LEN(ReferenceData!$BG$165),"",ReferenceData!$BG$165),"")</f>
        <v/>
      </c>
      <c r="BH165" t="str">
        <f ca="1">IFERROR(IF(0=LEN(ReferenceData!$BH$165),"",ReferenceData!$BH$165),"")</f>
        <v/>
      </c>
      <c r="BI165" t="str">
        <f ca="1">IFERROR(IF(0=LEN(ReferenceData!$BI$165),"",ReferenceData!$BI$165),"")</f>
        <v/>
      </c>
      <c r="BJ165" t="str">
        <f ca="1">IFERROR(IF(0=LEN(ReferenceData!$BJ$165),"",ReferenceData!$BJ$165),"")</f>
        <v/>
      </c>
      <c r="BK165" t="str">
        <f ca="1">IFERROR(IF(0=LEN(ReferenceData!$BK$165),"",ReferenceData!$BK$165),"")</f>
        <v/>
      </c>
      <c r="BL165" t="str">
        <f ca="1">IFERROR(IF(0=LEN(ReferenceData!$BL$165),"",ReferenceData!$BL$165),"")</f>
        <v/>
      </c>
      <c r="BM165" t="str">
        <f ca="1">IFERROR(IF(0=LEN(ReferenceData!$BM$165),"",ReferenceData!$BM$165),"")</f>
        <v/>
      </c>
    </row>
    <row r="166" spans="1:65">
      <c r="A166" t="str">
        <f>IFERROR(IF(0=LEN(ReferenceData!$A$166),"",ReferenceData!$A$166),"")</f>
        <v xml:space="preserve">    Omega Healthcare Investors Inc</v>
      </c>
      <c r="B166" t="str">
        <f>IFERROR(IF(0=LEN(ReferenceData!$B$166),"",ReferenceData!$B$166),"")</f>
        <v>OHI US Equity</v>
      </c>
      <c r="C166" t="str">
        <f>IFERROR(IF(0=LEN(ReferenceData!$C$166),"",ReferenceData!$C$166),"")</f>
        <v>RX902</v>
      </c>
      <c r="D166" t="str">
        <f>IFERROR(IF(0=LEN(ReferenceData!$D$166),"",ReferenceData!$D$166),"")</f>
        <v>ANN_NOI_GR_AST_NET_RTL_DEV_CTD_%</v>
      </c>
      <c r="E166" t="str">
        <f>IFERROR(IF(0=LEN(ReferenceData!$E$166),"",ReferenceData!$E$166),"")</f>
        <v>动态</v>
      </c>
      <c r="F166" t="str">
        <f ca="1">IFERROR(IF(0=LEN(ReferenceData!$F$166),"",ReferenceData!$F$166),"")</f>
        <v/>
      </c>
      <c r="G166" t="str">
        <f ca="1">IFERROR(IF(0=LEN(ReferenceData!$G$166),"",ReferenceData!$G$166),"")</f>
        <v/>
      </c>
      <c r="H166" t="str">
        <f ca="1">IFERROR(IF(0=LEN(ReferenceData!$H$166),"",ReferenceData!$H$166),"")</f>
        <v/>
      </c>
      <c r="I166" t="str">
        <f ca="1">IFERROR(IF(0=LEN(ReferenceData!$I$166),"",ReferenceData!$I$166),"")</f>
        <v/>
      </c>
      <c r="J166" t="str">
        <f ca="1">IFERROR(IF(0=LEN(ReferenceData!$J$166),"",ReferenceData!$J$166),"")</f>
        <v/>
      </c>
      <c r="K166" t="str">
        <f ca="1">IFERROR(IF(0=LEN(ReferenceData!$K$166),"",ReferenceData!$K$166),"")</f>
        <v/>
      </c>
      <c r="L166" t="str">
        <f ca="1">IFERROR(IF(0=LEN(ReferenceData!$L$166),"",ReferenceData!$L$166),"")</f>
        <v/>
      </c>
      <c r="M166" t="str">
        <f ca="1">IFERROR(IF(0=LEN(ReferenceData!$M$166),"",ReferenceData!$M$166),"")</f>
        <v/>
      </c>
      <c r="N166" t="str">
        <f ca="1">IFERROR(IF(0=LEN(ReferenceData!$N$166),"",ReferenceData!$N$166),"")</f>
        <v/>
      </c>
      <c r="O166" t="str">
        <f ca="1">IFERROR(IF(0=LEN(ReferenceData!$O$166),"",ReferenceData!$O$166),"")</f>
        <v/>
      </c>
      <c r="P166" t="str">
        <f ca="1">IFERROR(IF(0=LEN(ReferenceData!$P$166),"",ReferenceData!$P$166),"")</f>
        <v/>
      </c>
      <c r="Q166" t="str">
        <f ca="1">IFERROR(IF(0=LEN(ReferenceData!$Q$166),"",ReferenceData!$Q$166),"")</f>
        <v/>
      </c>
      <c r="R166" t="str">
        <f ca="1">IFERROR(IF(0=LEN(ReferenceData!$R$166),"",ReferenceData!$R$166),"")</f>
        <v/>
      </c>
      <c r="S166" t="str">
        <f ca="1">IFERROR(IF(0=LEN(ReferenceData!$S$166),"",ReferenceData!$S$166),"")</f>
        <v/>
      </c>
      <c r="T166" t="str">
        <f ca="1">IFERROR(IF(0=LEN(ReferenceData!$T$166),"",ReferenceData!$T$166),"")</f>
        <v/>
      </c>
      <c r="U166" t="str">
        <f ca="1">IFERROR(IF(0=LEN(ReferenceData!$U$166),"",ReferenceData!$U$166),"")</f>
        <v/>
      </c>
      <c r="V166" t="str">
        <f ca="1">IFERROR(IF(0=LEN(ReferenceData!$V$166),"",ReferenceData!$V$166),"")</f>
        <v/>
      </c>
      <c r="W166" t="str">
        <f ca="1">IFERROR(IF(0=LEN(ReferenceData!$W$166),"",ReferenceData!$W$166),"")</f>
        <v/>
      </c>
      <c r="X166" t="str">
        <f ca="1">IFERROR(IF(0=LEN(ReferenceData!$X$166),"",ReferenceData!$X$166),"")</f>
        <v/>
      </c>
      <c r="Y166" t="str">
        <f ca="1">IFERROR(IF(0=LEN(ReferenceData!$Y$166),"",ReferenceData!$Y$166),"")</f>
        <v/>
      </c>
      <c r="Z166" t="str">
        <f ca="1">IFERROR(IF(0=LEN(ReferenceData!$Z$166),"",ReferenceData!$Z$166),"")</f>
        <v/>
      </c>
      <c r="AA166" t="str">
        <f ca="1">IFERROR(IF(0=LEN(ReferenceData!$AA$166),"",ReferenceData!$AA$166),"")</f>
        <v/>
      </c>
      <c r="AB166" t="str">
        <f ca="1">IFERROR(IF(0=LEN(ReferenceData!$AB$166),"",ReferenceData!$AB$166),"")</f>
        <v/>
      </c>
      <c r="AC166" t="str">
        <f ca="1">IFERROR(IF(0=LEN(ReferenceData!$AC$166),"",ReferenceData!$AC$166),"")</f>
        <v/>
      </c>
      <c r="AD166" t="str">
        <f ca="1">IFERROR(IF(0=LEN(ReferenceData!$AD$166),"",ReferenceData!$AD$166),"")</f>
        <v/>
      </c>
      <c r="AE166" t="str">
        <f ca="1">IFERROR(IF(0=LEN(ReferenceData!$AE$166),"",ReferenceData!$AE$166),"")</f>
        <v/>
      </c>
      <c r="AF166" t="str">
        <f ca="1">IFERROR(IF(0=LEN(ReferenceData!$AF$166),"",ReferenceData!$AF$166),"")</f>
        <v/>
      </c>
      <c r="AG166" t="str">
        <f ca="1">IFERROR(IF(0=LEN(ReferenceData!$AG$166),"",ReferenceData!$AG$166),"")</f>
        <v/>
      </c>
      <c r="AH166" t="str">
        <f ca="1">IFERROR(IF(0=LEN(ReferenceData!$AH$166),"",ReferenceData!$AH$166),"")</f>
        <v/>
      </c>
      <c r="AI166" t="str">
        <f ca="1">IFERROR(IF(0=LEN(ReferenceData!$AI$166),"",ReferenceData!$AI$166),"")</f>
        <v/>
      </c>
      <c r="AJ166" t="str">
        <f ca="1">IFERROR(IF(0=LEN(ReferenceData!$AJ$166),"",ReferenceData!$AJ$166),"")</f>
        <v/>
      </c>
      <c r="AK166" t="str">
        <f ca="1">IFERROR(IF(0=LEN(ReferenceData!$AK$166),"",ReferenceData!$AK$166),"")</f>
        <v/>
      </c>
      <c r="AL166" t="str">
        <f ca="1">IFERROR(IF(0=LEN(ReferenceData!$AL$166),"",ReferenceData!$AL$166),"")</f>
        <v/>
      </c>
      <c r="AM166" t="str">
        <f ca="1">IFERROR(IF(0=LEN(ReferenceData!$AM$166),"",ReferenceData!$AM$166),"")</f>
        <v/>
      </c>
      <c r="AN166" t="str">
        <f ca="1">IFERROR(IF(0=LEN(ReferenceData!$AN$166),"",ReferenceData!$AN$166),"")</f>
        <v/>
      </c>
      <c r="AO166" t="str">
        <f ca="1">IFERROR(IF(0=LEN(ReferenceData!$AO$166),"",ReferenceData!$AO$166),"")</f>
        <v/>
      </c>
      <c r="AP166" t="str">
        <f ca="1">IFERROR(IF(0=LEN(ReferenceData!$AP$166),"",ReferenceData!$AP$166),"")</f>
        <v/>
      </c>
      <c r="AQ166" t="str">
        <f ca="1">IFERROR(IF(0=LEN(ReferenceData!$AQ$166),"",ReferenceData!$AQ$166),"")</f>
        <v/>
      </c>
      <c r="AR166" t="str">
        <f ca="1">IFERROR(IF(0=LEN(ReferenceData!$AR$166),"",ReferenceData!$AR$166),"")</f>
        <v/>
      </c>
      <c r="AS166" t="str">
        <f ca="1">IFERROR(IF(0=LEN(ReferenceData!$AS$166),"",ReferenceData!$AS$166),"")</f>
        <v/>
      </c>
      <c r="AT166" t="str">
        <f ca="1">IFERROR(IF(0=LEN(ReferenceData!$AT$166),"",ReferenceData!$AT$166),"")</f>
        <v/>
      </c>
      <c r="AU166" t="str">
        <f ca="1">IFERROR(IF(0=LEN(ReferenceData!$AU$166),"",ReferenceData!$AU$166),"")</f>
        <v/>
      </c>
      <c r="AV166" t="str">
        <f ca="1">IFERROR(IF(0=LEN(ReferenceData!$AV$166),"",ReferenceData!$AV$166),"")</f>
        <v/>
      </c>
      <c r="AW166" t="str">
        <f ca="1">IFERROR(IF(0=LEN(ReferenceData!$AW$166),"",ReferenceData!$AW$166),"")</f>
        <v/>
      </c>
      <c r="AX166" t="str">
        <f ca="1">IFERROR(IF(0=LEN(ReferenceData!$AX$166),"",ReferenceData!$AX$166),"")</f>
        <v/>
      </c>
      <c r="AY166" t="str">
        <f ca="1">IFERROR(IF(0=LEN(ReferenceData!$AY$166),"",ReferenceData!$AY$166),"")</f>
        <v/>
      </c>
      <c r="AZ166" t="str">
        <f ca="1">IFERROR(IF(0=LEN(ReferenceData!$AZ$166),"",ReferenceData!$AZ$166),"")</f>
        <v/>
      </c>
      <c r="BA166" t="str">
        <f ca="1">IFERROR(IF(0=LEN(ReferenceData!$BA$166),"",ReferenceData!$BA$166),"")</f>
        <v/>
      </c>
      <c r="BB166" t="str">
        <f ca="1">IFERROR(IF(0=LEN(ReferenceData!$BB$166),"",ReferenceData!$BB$166),"")</f>
        <v/>
      </c>
      <c r="BC166" t="str">
        <f ca="1">IFERROR(IF(0=LEN(ReferenceData!$BC$166),"",ReferenceData!$BC$166),"")</f>
        <v/>
      </c>
      <c r="BD166" t="str">
        <f ca="1">IFERROR(IF(0=LEN(ReferenceData!$BD$166),"",ReferenceData!$BD$166),"")</f>
        <v/>
      </c>
      <c r="BE166" t="str">
        <f ca="1">IFERROR(IF(0=LEN(ReferenceData!$BE$166),"",ReferenceData!$BE$166),"")</f>
        <v/>
      </c>
      <c r="BF166" t="str">
        <f ca="1">IFERROR(IF(0=LEN(ReferenceData!$BF$166),"",ReferenceData!$BF$166),"")</f>
        <v/>
      </c>
      <c r="BG166" t="str">
        <f ca="1">IFERROR(IF(0=LEN(ReferenceData!$BG$166),"",ReferenceData!$BG$166),"")</f>
        <v/>
      </c>
      <c r="BH166" t="str">
        <f ca="1">IFERROR(IF(0=LEN(ReferenceData!$BH$166),"",ReferenceData!$BH$166),"")</f>
        <v/>
      </c>
      <c r="BI166" t="str">
        <f ca="1">IFERROR(IF(0=LEN(ReferenceData!$BI$166),"",ReferenceData!$BI$166),"")</f>
        <v/>
      </c>
      <c r="BJ166" t="str">
        <f ca="1">IFERROR(IF(0=LEN(ReferenceData!$BJ$166),"",ReferenceData!$BJ$166),"")</f>
        <v/>
      </c>
      <c r="BK166" t="str">
        <f ca="1">IFERROR(IF(0=LEN(ReferenceData!$BK$166),"",ReferenceData!$BK$166),"")</f>
        <v/>
      </c>
      <c r="BL166" t="str">
        <f ca="1">IFERROR(IF(0=LEN(ReferenceData!$BL$166),"",ReferenceData!$BL$166),"")</f>
        <v/>
      </c>
      <c r="BM166" t="str">
        <f ca="1">IFERROR(IF(0=LEN(ReferenceData!$BM$166),"",ReferenceData!$BM$166),"")</f>
        <v/>
      </c>
    </row>
    <row r="167" spans="1:65">
      <c r="A167" t="str">
        <f>IFERROR(IF(0=LEN(ReferenceData!$A$167),"",ReferenceData!$A$167),"")</f>
        <v xml:space="preserve">    Sabra Health Care REIT Inc</v>
      </c>
      <c r="B167" t="str">
        <f>IFERROR(IF(0=LEN(ReferenceData!$B$167),"",ReferenceData!$B$167),"")</f>
        <v>SBRA US Equity</v>
      </c>
      <c r="C167" t="str">
        <f>IFERROR(IF(0=LEN(ReferenceData!$C$167),"",ReferenceData!$C$167),"")</f>
        <v>RX902</v>
      </c>
      <c r="D167" t="str">
        <f>IFERROR(IF(0=LEN(ReferenceData!$D$167),"",ReferenceData!$D$167),"")</f>
        <v>ANN_NOI_GR_AST_NET_RTL_DEV_CTD_%</v>
      </c>
      <c r="E167" t="str">
        <f>IFERROR(IF(0=LEN(ReferenceData!$E$167),"",ReferenceData!$E$167),"")</f>
        <v>动态</v>
      </c>
      <c r="F167" t="str">
        <f ca="1">IFERROR(IF(0=LEN(ReferenceData!$F$167),"",ReferenceData!$F$167),"")</f>
        <v/>
      </c>
      <c r="G167" t="str">
        <f ca="1">IFERROR(IF(0=LEN(ReferenceData!$G$167),"",ReferenceData!$G$167),"")</f>
        <v/>
      </c>
      <c r="H167" t="str">
        <f ca="1">IFERROR(IF(0=LEN(ReferenceData!$H$167),"",ReferenceData!$H$167),"")</f>
        <v/>
      </c>
      <c r="I167" t="str">
        <f ca="1">IFERROR(IF(0=LEN(ReferenceData!$I$167),"",ReferenceData!$I$167),"")</f>
        <v/>
      </c>
      <c r="J167" t="str">
        <f ca="1">IFERROR(IF(0=LEN(ReferenceData!$J$167),"",ReferenceData!$J$167),"")</f>
        <v/>
      </c>
      <c r="K167" t="str">
        <f ca="1">IFERROR(IF(0=LEN(ReferenceData!$K$167),"",ReferenceData!$K$167),"")</f>
        <v/>
      </c>
      <c r="L167" t="str">
        <f ca="1">IFERROR(IF(0=LEN(ReferenceData!$L$167),"",ReferenceData!$L$167),"")</f>
        <v/>
      </c>
      <c r="M167" t="str">
        <f ca="1">IFERROR(IF(0=LEN(ReferenceData!$M$167),"",ReferenceData!$M$167),"")</f>
        <v/>
      </c>
      <c r="N167" t="str">
        <f ca="1">IFERROR(IF(0=LEN(ReferenceData!$N$167),"",ReferenceData!$N$167),"")</f>
        <v/>
      </c>
      <c r="O167" t="str">
        <f ca="1">IFERROR(IF(0=LEN(ReferenceData!$O$167),"",ReferenceData!$O$167),"")</f>
        <v/>
      </c>
      <c r="P167" t="str">
        <f ca="1">IFERROR(IF(0=LEN(ReferenceData!$P$167),"",ReferenceData!$P$167),"")</f>
        <v/>
      </c>
      <c r="Q167" t="str">
        <f ca="1">IFERROR(IF(0=LEN(ReferenceData!$Q$167),"",ReferenceData!$Q$167),"")</f>
        <v/>
      </c>
      <c r="R167" t="str">
        <f ca="1">IFERROR(IF(0=LEN(ReferenceData!$R$167),"",ReferenceData!$R$167),"")</f>
        <v/>
      </c>
      <c r="S167" t="str">
        <f ca="1">IFERROR(IF(0=LEN(ReferenceData!$S$167),"",ReferenceData!$S$167),"")</f>
        <v/>
      </c>
      <c r="T167" t="str">
        <f ca="1">IFERROR(IF(0=LEN(ReferenceData!$T$167),"",ReferenceData!$T$167),"")</f>
        <v/>
      </c>
      <c r="U167" t="str">
        <f ca="1">IFERROR(IF(0=LEN(ReferenceData!$U$167),"",ReferenceData!$U$167),"")</f>
        <v/>
      </c>
      <c r="V167" t="str">
        <f ca="1">IFERROR(IF(0=LEN(ReferenceData!$V$167),"",ReferenceData!$V$167),"")</f>
        <v/>
      </c>
      <c r="W167" t="str">
        <f ca="1">IFERROR(IF(0=LEN(ReferenceData!$W$167),"",ReferenceData!$W$167),"")</f>
        <v/>
      </c>
      <c r="X167" t="str">
        <f ca="1">IFERROR(IF(0=LEN(ReferenceData!$X$167),"",ReferenceData!$X$167),"")</f>
        <v/>
      </c>
      <c r="Y167" t="str">
        <f ca="1">IFERROR(IF(0=LEN(ReferenceData!$Y$167),"",ReferenceData!$Y$167),"")</f>
        <v/>
      </c>
      <c r="Z167" t="str">
        <f ca="1">IFERROR(IF(0=LEN(ReferenceData!$Z$167),"",ReferenceData!$Z$167),"")</f>
        <v/>
      </c>
      <c r="AA167" t="str">
        <f ca="1">IFERROR(IF(0=LEN(ReferenceData!$AA$167),"",ReferenceData!$AA$167),"")</f>
        <v/>
      </c>
      <c r="AB167" t="str">
        <f ca="1">IFERROR(IF(0=LEN(ReferenceData!$AB$167),"",ReferenceData!$AB$167),"")</f>
        <v/>
      </c>
      <c r="AC167" t="str">
        <f ca="1">IFERROR(IF(0=LEN(ReferenceData!$AC$167),"",ReferenceData!$AC$167),"")</f>
        <v/>
      </c>
      <c r="AD167" t="str">
        <f ca="1">IFERROR(IF(0=LEN(ReferenceData!$AD$167),"",ReferenceData!$AD$167),"")</f>
        <v/>
      </c>
      <c r="AE167" t="str">
        <f ca="1">IFERROR(IF(0=LEN(ReferenceData!$AE$167),"",ReferenceData!$AE$167),"")</f>
        <v/>
      </c>
      <c r="AF167" t="str">
        <f ca="1">IFERROR(IF(0=LEN(ReferenceData!$AF$167),"",ReferenceData!$AF$167),"")</f>
        <v/>
      </c>
      <c r="AG167" t="str">
        <f ca="1">IFERROR(IF(0=LEN(ReferenceData!$AG$167),"",ReferenceData!$AG$167),"")</f>
        <v/>
      </c>
      <c r="AH167" t="str">
        <f ca="1">IFERROR(IF(0=LEN(ReferenceData!$AH$167),"",ReferenceData!$AH$167),"")</f>
        <v/>
      </c>
      <c r="AI167" t="str">
        <f ca="1">IFERROR(IF(0=LEN(ReferenceData!$AI$167),"",ReferenceData!$AI$167),"")</f>
        <v/>
      </c>
      <c r="AJ167" t="str">
        <f ca="1">IFERROR(IF(0=LEN(ReferenceData!$AJ$167),"",ReferenceData!$AJ$167),"")</f>
        <v/>
      </c>
      <c r="AK167" t="str">
        <f ca="1">IFERROR(IF(0=LEN(ReferenceData!$AK$167),"",ReferenceData!$AK$167),"")</f>
        <v/>
      </c>
      <c r="AL167" t="str">
        <f ca="1">IFERROR(IF(0=LEN(ReferenceData!$AL$167),"",ReferenceData!$AL$167),"")</f>
        <v/>
      </c>
      <c r="AM167" t="str">
        <f ca="1">IFERROR(IF(0=LEN(ReferenceData!$AM$167),"",ReferenceData!$AM$167),"")</f>
        <v/>
      </c>
      <c r="AN167" t="str">
        <f ca="1">IFERROR(IF(0=LEN(ReferenceData!$AN$167),"",ReferenceData!$AN$167),"")</f>
        <v/>
      </c>
      <c r="AO167" t="str">
        <f ca="1">IFERROR(IF(0=LEN(ReferenceData!$AO$167),"",ReferenceData!$AO$167),"")</f>
        <v/>
      </c>
      <c r="AP167" t="str">
        <f ca="1">IFERROR(IF(0=LEN(ReferenceData!$AP$167),"",ReferenceData!$AP$167),"")</f>
        <v/>
      </c>
      <c r="AQ167" t="str">
        <f ca="1">IFERROR(IF(0=LEN(ReferenceData!$AQ$167),"",ReferenceData!$AQ$167),"")</f>
        <v/>
      </c>
      <c r="AR167" t="str">
        <f ca="1">IFERROR(IF(0=LEN(ReferenceData!$AR$167),"",ReferenceData!$AR$167),"")</f>
        <v/>
      </c>
      <c r="AS167" t="str">
        <f ca="1">IFERROR(IF(0=LEN(ReferenceData!$AS$167),"",ReferenceData!$AS$167),"")</f>
        <v/>
      </c>
      <c r="AT167" t="str">
        <f ca="1">IFERROR(IF(0=LEN(ReferenceData!$AT$167),"",ReferenceData!$AT$167),"")</f>
        <v/>
      </c>
      <c r="AU167" t="str">
        <f ca="1">IFERROR(IF(0=LEN(ReferenceData!$AU$167),"",ReferenceData!$AU$167),"")</f>
        <v/>
      </c>
      <c r="AV167" t="str">
        <f ca="1">IFERROR(IF(0=LEN(ReferenceData!$AV$167),"",ReferenceData!$AV$167),"")</f>
        <v/>
      </c>
      <c r="AW167" t="str">
        <f ca="1">IFERROR(IF(0=LEN(ReferenceData!$AW$167),"",ReferenceData!$AW$167),"")</f>
        <v/>
      </c>
      <c r="AX167" t="str">
        <f ca="1">IFERROR(IF(0=LEN(ReferenceData!$AX$167),"",ReferenceData!$AX$167),"")</f>
        <v/>
      </c>
      <c r="AY167" t="str">
        <f ca="1">IFERROR(IF(0=LEN(ReferenceData!$AY$167),"",ReferenceData!$AY$167),"")</f>
        <v/>
      </c>
      <c r="AZ167" t="str">
        <f ca="1">IFERROR(IF(0=LEN(ReferenceData!$AZ$167),"",ReferenceData!$AZ$167),"")</f>
        <v/>
      </c>
      <c r="BA167" t="str">
        <f ca="1">IFERROR(IF(0=LEN(ReferenceData!$BA$167),"",ReferenceData!$BA$167),"")</f>
        <v/>
      </c>
      <c r="BB167" t="str">
        <f ca="1">IFERROR(IF(0=LEN(ReferenceData!$BB$167),"",ReferenceData!$BB$167),"")</f>
        <v/>
      </c>
      <c r="BC167" t="str">
        <f ca="1">IFERROR(IF(0=LEN(ReferenceData!$BC$167),"",ReferenceData!$BC$167),"")</f>
        <v/>
      </c>
      <c r="BD167" t="str">
        <f ca="1">IFERROR(IF(0=LEN(ReferenceData!$BD$167),"",ReferenceData!$BD$167),"")</f>
        <v/>
      </c>
      <c r="BE167" t="str">
        <f ca="1">IFERROR(IF(0=LEN(ReferenceData!$BE$167),"",ReferenceData!$BE$167),"")</f>
        <v/>
      </c>
      <c r="BF167" t="str">
        <f ca="1">IFERROR(IF(0=LEN(ReferenceData!$BF$167),"",ReferenceData!$BF$167),"")</f>
        <v/>
      </c>
      <c r="BG167" t="str">
        <f ca="1">IFERROR(IF(0=LEN(ReferenceData!$BG$167),"",ReferenceData!$BG$167),"")</f>
        <v/>
      </c>
      <c r="BH167" t="str">
        <f ca="1">IFERROR(IF(0=LEN(ReferenceData!$BH$167),"",ReferenceData!$BH$167),"")</f>
        <v/>
      </c>
      <c r="BI167" t="str">
        <f ca="1">IFERROR(IF(0=LEN(ReferenceData!$BI$167),"",ReferenceData!$BI$167),"")</f>
        <v/>
      </c>
      <c r="BJ167" t="str">
        <f ca="1">IFERROR(IF(0=LEN(ReferenceData!$BJ$167),"",ReferenceData!$BJ$167),"")</f>
        <v/>
      </c>
      <c r="BK167" t="str">
        <f ca="1">IFERROR(IF(0=LEN(ReferenceData!$BK$167),"",ReferenceData!$BK$167),"")</f>
        <v/>
      </c>
      <c r="BL167" t="str">
        <f ca="1">IFERROR(IF(0=LEN(ReferenceData!$BL$167),"",ReferenceData!$BL$167),"")</f>
        <v/>
      </c>
      <c r="BM167" t="str">
        <f ca="1">IFERROR(IF(0=LEN(ReferenceData!$BM$167),"",ReferenceData!$BM$167),"")</f>
        <v/>
      </c>
    </row>
    <row r="168" spans="1:65">
      <c r="A168" t="str">
        <f>IFERROR(IF(0=LEN(ReferenceData!$A$168),"",ReferenceData!$A$168),"")</f>
        <v xml:space="preserve">    Senior Housing Properties Trus</v>
      </c>
      <c r="B168" t="str">
        <f>IFERROR(IF(0=LEN(ReferenceData!$B$168),"",ReferenceData!$B$168),"")</f>
        <v>SNH US Equity</v>
      </c>
      <c r="C168" t="str">
        <f>IFERROR(IF(0=LEN(ReferenceData!$C$168),"",ReferenceData!$C$168),"")</f>
        <v>RX902</v>
      </c>
      <c r="D168" t="str">
        <f>IFERROR(IF(0=LEN(ReferenceData!$D$168),"",ReferenceData!$D$168),"")</f>
        <v>ANN_NOI_GR_AST_NET_RTL_DEV_CTD_%</v>
      </c>
      <c r="E168" t="str">
        <f>IFERROR(IF(0=LEN(ReferenceData!$E$168),"",ReferenceData!$E$168),"")</f>
        <v>动态</v>
      </c>
      <c r="F168" t="str">
        <f ca="1">IFERROR(IF(0=LEN(ReferenceData!$F$168),"",ReferenceData!$F$168),"")</f>
        <v/>
      </c>
      <c r="G168">
        <f ca="1">IFERROR(IF(0=LEN(ReferenceData!$G$168),"",ReferenceData!$G$168),"")</f>
        <v>7.9419822560000002</v>
      </c>
      <c r="H168">
        <f ca="1">IFERROR(IF(0=LEN(ReferenceData!$H$168),"",ReferenceData!$H$168),"")</f>
        <v>7.4783844720000001</v>
      </c>
      <c r="I168">
        <f ca="1">IFERROR(IF(0=LEN(ReferenceData!$I$168),"",ReferenceData!$I$168),"")</f>
        <v>7.5362584119999996</v>
      </c>
      <c r="J168">
        <f ca="1">IFERROR(IF(0=LEN(ReferenceData!$J$168),"",ReferenceData!$J$168),"")</f>
        <v>7.6074007259999998</v>
      </c>
      <c r="K168">
        <f ca="1">IFERROR(IF(0=LEN(ReferenceData!$K$168),"",ReferenceData!$K$168),"")</f>
        <v>8.1009705150000002</v>
      </c>
      <c r="L168">
        <f ca="1">IFERROR(IF(0=LEN(ReferenceData!$L$168),"",ReferenceData!$L$168),"")</f>
        <v>7.5496811370000003</v>
      </c>
      <c r="M168">
        <f ca="1">IFERROR(IF(0=LEN(ReferenceData!$M$168),"",ReferenceData!$M$168),"")</f>
        <v>7.7109099219999999</v>
      </c>
      <c r="N168">
        <f ca="1">IFERROR(IF(0=LEN(ReferenceData!$N$168),"",ReferenceData!$N$168),"")</f>
        <v>7.6871943539999998</v>
      </c>
      <c r="O168">
        <f ca="1">IFERROR(IF(0=LEN(ReferenceData!$O$168),"",ReferenceData!$O$168),"")</f>
        <v>8.0048341099999991</v>
      </c>
      <c r="P168">
        <f ca="1">IFERROR(IF(0=LEN(ReferenceData!$P$168),"",ReferenceData!$P$168),"")</f>
        <v>7.4918356409999998</v>
      </c>
      <c r="Q168">
        <f ca="1">IFERROR(IF(0=LEN(ReferenceData!$Q$168),"",ReferenceData!$Q$168),"")</f>
        <v>7.3114801790000001</v>
      </c>
      <c r="R168">
        <f ca="1">IFERROR(IF(0=LEN(ReferenceData!$R$168),"",ReferenceData!$R$168),"")</f>
        <v>7.5537188640000004</v>
      </c>
      <c r="S168">
        <f ca="1">IFERROR(IF(0=LEN(ReferenceData!$S$168),"",ReferenceData!$S$168),"")</f>
        <v>8.3867489820000003</v>
      </c>
      <c r="T168">
        <f ca="1">IFERROR(IF(0=LEN(ReferenceData!$T$168),"",ReferenceData!$T$168),"")</f>
        <v>7.7377759780000002</v>
      </c>
      <c r="U168">
        <f ca="1">IFERROR(IF(0=LEN(ReferenceData!$U$168),"",ReferenceData!$U$168),"")</f>
        <v>7.3303073860000003</v>
      </c>
      <c r="V168">
        <f ca="1">IFERROR(IF(0=LEN(ReferenceData!$V$168),"",ReferenceData!$V$168),"")</f>
        <v>8.0466044149999991</v>
      </c>
      <c r="W168">
        <f ca="1">IFERROR(IF(0=LEN(ReferenceData!$W$168),"",ReferenceData!$W$168),"")</f>
        <v>8.8022569560000008</v>
      </c>
      <c r="X168">
        <f ca="1">IFERROR(IF(0=LEN(ReferenceData!$X$168),"",ReferenceData!$X$168),"")</f>
        <v>8.0159641169999993</v>
      </c>
      <c r="Y168">
        <f ca="1">IFERROR(IF(0=LEN(ReferenceData!$Y$168),"",ReferenceData!$Y$168),"")</f>
        <v>8.0897684870000006</v>
      </c>
      <c r="Z168">
        <f ca="1">IFERROR(IF(0=LEN(ReferenceData!$Z$168),"",ReferenceData!$Z$168),"")</f>
        <v>8.2130661600000003</v>
      </c>
      <c r="AA168">
        <f ca="1">IFERROR(IF(0=LEN(ReferenceData!$AA$168),"",ReferenceData!$AA$168),"")</f>
        <v>8.8437031650000009</v>
      </c>
      <c r="AB168">
        <f ca="1">IFERROR(IF(0=LEN(ReferenceData!$AB$168),"",ReferenceData!$AB$168),"")</f>
        <v>8.1485500280000007</v>
      </c>
      <c r="AC168">
        <f ca="1">IFERROR(IF(0=LEN(ReferenceData!$AC$168),"",ReferenceData!$AC$168),"")</f>
        <v>8.1145165269999993</v>
      </c>
      <c r="AD168">
        <f ca="1">IFERROR(IF(0=LEN(ReferenceData!$AD$168),"",ReferenceData!$AD$168),"")</f>
        <v>8.3873045439999991</v>
      </c>
      <c r="AE168">
        <f ca="1">IFERROR(IF(0=LEN(ReferenceData!$AE$168),"",ReferenceData!$AE$168),"")</f>
        <v>8.7386594360000007</v>
      </c>
      <c r="AF168">
        <f ca="1">IFERROR(IF(0=LEN(ReferenceData!$AF$168),"",ReferenceData!$AF$168),"")</f>
        <v>8.1228283979999993</v>
      </c>
      <c r="AG168">
        <f ca="1">IFERROR(IF(0=LEN(ReferenceData!$AG$168),"",ReferenceData!$AG$168),"")</f>
        <v>8.3451044440000004</v>
      </c>
      <c r="AH168">
        <f ca="1">IFERROR(IF(0=LEN(ReferenceData!$AH$168),"",ReferenceData!$AH$168),"")</f>
        <v>8.6221754950000005</v>
      </c>
      <c r="AI168">
        <f ca="1">IFERROR(IF(0=LEN(ReferenceData!$AI$168),"",ReferenceData!$AI$168),"")</f>
        <v>9.2543153710000006</v>
      </c>
      <c r="AJ168" t="str">
        <f ca="1">IFERROR(IF(0=LEN(ReferenceData!$AJ$168),"",ReferenceData!$AJ$168),"")</f>
        <v/>
      </c>
      <c r="AK168" t="str">
        <f ca="1">IFERROR(IF(0=LEN(ReferenceData!$AK$168),"",ReferenceData!$AK$168),"")</f>
        <v/>
      </c>
      <c r="AL168" t="str">
        <f ca="1">IFERROR(IF(0=LEN(ReferenceData!$AL$168),"",ReferenceData!$AL$168),"")</f>
        <v/>
      </c>
      <c r="AM168" t="str">
        <f ca="1">IFERROR(IF(0=LEN(ReferenceData!$AM$168),"",ReferenceData!$AM$168),"")</f>
        <v/>
      </c>
      <c r="AN168" t="str">
        <f ca="1">IFERROR(IF(0=LEN(ReferenceData!$AN$168),"",ReferenceData!$AN$168),"")</f>
        <v/>
      </c>
      <c r="AO168" t="str">
        <f ca="1">IFERROR(IF(0=LEN(ReferenceData!$AO$168),"",ReferenceData!$AO$168),"")</f>
        <v/>
      </c>
      <c r="AP168" t="str">
        <f ca="1">IFERROR(IF(0=LEN(ReferenceData!$AP$168),"",ReferenceData!$AP$168),"")</f>
        <v/>
      </c>
      <c r="AQ168" t="str">
        <f ca="1">IFERROR(IF(0=LEN(ReferenceData!$AQ$168),"",ReferenceData!$AQ$168),"")</f>
        <v/>
      </c>
      <c r="AR168" t="str">
        <f ca="1">IFERROR(IF(0=LEN(ReferenceData!$AR$168),"",ReferenceData!$AR$168),"")</f>
        <v/>
      </c>
      <c r="AS168" t="str">
        <f ca="1">IFERROR(IF(0=LEN(ReferenceData!$AS$168),"",ReferenceData!$AS$168),"")</f>
        <v/>
      </c>
      <c r="AT168" t="str">
        <f ca="1">IFERROR(IF(0=LEN(ReferenceData!$AT$168),"",ReferenceData!$AT$168),"")</f>
        <v/>
      </c>
      <c r="AU168" t="str">
        <f ca="1">IFERROR(IF(0=LEN(ReferenceData!$AU$168),"",ReferenceData!$AU$168),"")</f>
        <v/>
      </c>
      <c r="AV168" t="str">
        <f ca="1">IFERROR(IF(0=LEN(ReferenceData!$AV$168),"",ReferenceData!$AV$168),"")</f>
        <v/>
      </c>
      <c r="AW168" t="str">
        <f ca="1">IFERROR(IF(0=LEN(ReferenceData!$AW$168),"",ReferenceData!$AW$168),"")</f>
        <v/>
      </c>
      <c r="AX168" t="str">
        <f ca="1">IFERROR(IF(0=LEN(ReferenceData!$AX$168),"",ReferenceData!$AX$168),"")</f>
        <v/>
      </c>
      <c r="AY168" t="str">
        <f ca="1">IFERROR(IF(0=LEN(ReferenceData!$AY$168),"",ReferenceData!$AY$168),"")</f>
        <v/>
      </c>
      <c r="AZ168" t="str">
        <f ca="1">IFERROR(IF(0=LEN(ReferenceData!$AZ$168),"",ReferenceData!$AZ$168),"")</f>
        <v/>
      </c>
      <c r="BA168" t="str">
        <f ca="1">IFERROR(IF(0=LEN(ReferenceData!$BA$168),"",ReferenceData!$BA$168),"")</f>
        <v/>
      </c>
      <c r="BB168" t="str">
        <f ca="1">IFERROR(IF(0=LEN(ReferenceData!$BB$168),"",ReferenceData!$BB$168),"")</f>
        <v/>
      </c>
      <c r="BC168" t="str">
        <f ca="1">IFERROR(IF(0=LEN(ReferenceData!$BC$168),"",ReferenceData!$BC$168),"")</f>
        <v/>
      </c>
      <c r="BD168" t="str">
        <f ca="1">IFERROR(IF(0=LEN(ReferenceData!$BD$168),"",ReferenceData!$BD$168),"")</f>
        <v/>
      </c>
      <c r="BE168" t="str">
        <f ca="1">IFERROR(IF(0=LEN(ReferenceData!$BE$168),"",ReferenceData!$BE$168),"")</f>
        <v/>
      </c>
      <c r="BF168" t="str">
        <f ca="1">IFERROR(IF(0=LEN(ReferenceData!$BF$168),"",ReferenceData!$BF$168),"")</f>
        <v/>
      </c>
      <c r="BG168" t="str">
        <f ca="1">IFERROR(IF(0=LEN(ReferenceData!$BG$168),"",ReferenceData!$BG$168),"")</f>
        <v/>
      </c>
      <c r="BH168" t="str">
        <f ca="1">IFERROR(IF(0=LEN(ReferenceData!$BH$168),"",ReferenceData!$BH$168),"")</f>
        <v/>
      </c>
      <c r="BI168" t="str">
        <f ca="1">IFERROR(IF(0=LEN(ReferenceData!$BI$168),"",ReferenceData!$BI$168),"")</f>
        <v/>
      </c>
      <c r="BJ168" t="str">
        <f ca="1">IFERROR(IF(0=LEN(ReferenceData!$BJ$168),"",ReferenceData!$BJ$168),"")</f>
        <v/>
      </c>
      <c r="BK168" t="str">
        <f ca="1">IFERROR(IF(0=LEN(ReferenceData!$BK$168),"",ReferenceData!$BK$168),"")</f>
        <v/>
      </c>
      <c r="BL168" t="str">
        <f ca="1">IFERROR(IF(0=LEN(ReferenceData!$BL$168),"",ReferenceData!$BL$168),"")</f>
        <v/>
      </c>
      <c r="BM168" t="str">
        <f ca="1">IFERROR(IF(0=LEN(ReferenceData!$BM$168),"",ReferenceData!$BM$168),"")</f>
        <v/>
      </c>
    </row>
    <row r="169" spans="1:65">
      <c r="A169" t="str">
        <f>IFERROR(IF(0=LEN(ReferenceData!$A$169),"",ReferenceData!$A$169),"")</f>
        <v xml:space="preserve">    Ventas Inc</v>
      </c>
      <c r="B169" t="str">
        <f>IFERROR(IF(0=LEN(ReferenceData!$B$169),"",ReferenceData!$B$169),"")</f>
        <v>VTR US Equity</v>
      </c>
      <c r="C169" t="str">
        <f>IFERROR(IF(0=LEN(ReferenceData!$C$169),"",ReferenceData!$C$169),"")</f>
        <v>RX902</v>
      </c>
      <c r="D169" t="str">
        <f>IFERROR(IF(0=LEN(ReferenceData!$D$169),"",ReferenceData!$D$169),"")</f>
        <v>ANN_NOI_GR_AST_NET_RTL_DEV_CTD_%</v>
      </c>
      <c r="E169" t="str">
        <f>IFERROR(IF(0=LEN(ReferenceData!$E$169),"",ReferenceData!$E$169),"")</f>
        <v>动态</v>
      </c>
      <c r="F169" t="str">
        <f ca="1">IFERROR(IF(0=LEN(ReferenceData!$F$169),"",ReferenceData!$F$169),"")</f>
        <v/>
      </c>
      <c r="G169">
        <f ca="1">IFERROR(IF(0=LEN(ReferenceData!$G$169),"",ReferenceData!$G$169),"")</f>
        <v>6.9846761089999996</v>
      </c>
      <c r="H169">
        <f ca="1">IFERROR(IF(0=LEN(ReferenceData!$H$169),"",ReferenceData!$H$169),"")</f>
        <v>7.1724389259999999</v>
      </c>
      <c r="I169">
        <f ca="1">IFERROR(IF(0=LEN(ReferenceData!$I$169),"",ReferenceData!$I$169),"")</f>
        <v>7.2760942059999998</v>
      </c>
      <c r="J169">
        <f ca="1">IFERROR(IF(0=LEN(ReferenceData!$J$169),"",ReferenceData!$J$169),"")</f>
        <v>7.0687777130000002</v>
      </c>
      <c r="K169">
        <f ca="1">IFERROR(IF(0=LEN(ReferenceData!$K$169),"",ReferenceData!$K$169),"")</f>
        <v>7.2476016190000001</v>
      </c>
      <c r="L169">
        <f ca="1">IFERROR(IF(0=LEN(ReferenceData!$L$169),"",ReferenceData!$L$169),"")</f>
        <v>7.1603797140000003</v>
      </c>
      <c r="M169">
        <f ca="1">IFERROR(IF(0=LEN(ReferenceData!$M$169),"",ReferenceData!$M$169),"")</f>
        <v>7.4208215690000001</v>
      </c>
      <c r="N169">
        <f ca="1">IFERROR(IF(0=LEN(ReferenceData!$N$169),"",ReferenceData!$N$169),"")</f>
        <v>7.3862973829999996</v>
      </c>
      <c r="O169">
        <f ca="1">IFERROR(IF(0=LEN(ReferenceData!$O$169),"",ReferenceData!$O$169),"")</f>
        <v>7.279204719</v>
      </c>
      <c r="P169">
        <f ca="1">IFERROR(IF(0=LEN(ReferenceData!$P$169),"",ReferenceData!$P$169),"")</f>
        <v>7.7989838420000002</v>
      </c>
      <c r="Q169">
        <f ca="1">IFERROR(IF(0=LEN(ReferenceData!$Q$169),"",ReferenceData!$Q$169),"")</f>
        <v>6.4566535529999998</v>
      </c>
      <c r="R169">
        <f ca="1">IFERROR(IF(0=LEN(ReferenceData!$R$169),"",ReferenceData!$R$169),"")</f>
        <v>6.387916014</v>
      </c>
      <c r="S169">
        <f ca="1">IFERROR(IF(0=LEN(ReferenceData!$S$169),"",ReferenceData!$S$169),"")</f>
        <v>6.6489158689999996</v>
      </c>
      <c r="T169">
        <f ca="1">IFERROR(IF(0=LEN(ReferenceData!$T$169),"",ReferenceData!$T$169),"")</f>
        <v>6.6029637069999998</v>
      </c>
      <c r="U169">
        <f ca="1">IFERROR(IF(0=LEN(ReferenceData!$U$169),"",ReferenceData!$U$169),"")</f>
        <v>7.8589146249999997</v>
      </c>
      <c r="V169">
        <f ca="1">IFERROR(IF(0=LEN(ReferenceData!$V$169),"",ReferenceData!$V$169),"")</f>
        <v>7.7555977020000002</v>
      </c>
      <c r="W169">
        <f ca="1">IFERROR(IF(0=LEN(ReferenceData!$W$169),"",ReferenceData!$W$169),"")</f>
        <v>7.6605303669999998</v>
      </c>
      <c r="X169">
        <f ca="1">IFERROR(IF(0=LEN(ReferenceData!$X$169),"",ReferenceData!$X$169),"")</f>
        <v>7.3738155489999997</v>
      </c>
      <c r="Y169">
        <f ca="1">IFERROR(IF(0=LEN(ReferenceData!$Y$169),"",ReferenceData!$Y$169),"")</f>
        <v>7.5716358460000004</v>
      </c>
      <c r="Z169">
        <f ca="1">IFERROR(IF(0=LEN(ReferenceData!$Z$169),"",ReferenceData!$Z$169),"")</f>
        <v>7.6807291720000004</v>
      </c>
      <c r="AA169">
        <f ca="1">IFERROR(IF(0=LEN(ReferenceData!$AA$169),"",ReferenceData!$AA$169),"")</f>
        <v>7.190555228</v>
      </c>
      <c r="AB169">
        <f ca="1">IFERROR(IF(0=LEN(ReferenceData!$AB$169),"",ReferenceData!$AB$169),"")</f>
        <v>7.3609084300000003</v>
      </c>
      <c r="AC169">
        <f ca="1">IFERROR(IF(0=LEN(ReferenceData!$AC$169),"",ReferenceData!$AC$169),"")</f>
        <v>7.2546087210000003</v>
      </c>
      <c r="AD169">
        <f ca="1">IFERROR(IF(0=LEN(ReferenceData!$AD$169),"",ReferenceData!$AD$169),"")</f>
        <v>7.213177323</v>
      </c>
      <c r="AE169">
        <f ca="1">IFERROR(IF(0=LEN(ReferenceData!$AE$169),"",ReferenceData!$AE$169),"")</f>
        <v>7.2210977029999999</v>
      </c>
      <c r="AF169">
        <f ca="1">IFERROR(IF(0=LEN(ReferenceData!$AF$169),"",ReferenceData!$AF$169),"")</f>
        <v>7.1963454240000004</v>
      </c>
      <c r="AG169">
        <f ca="1">IFERROR(IF(0=LEN(ReferenceData!$AG$169),"",ReferenceData!$AG$169),"")</f>
        <v>7.5335259629999998</v>
      </c>
      <c r="AH169">
        <f ca="1">IFERROR(IF(0=LEN(ReferenceData!$AH$169),"",ReferenceData!$AH$169),"")</f>
        <v>9.7589830929999994</v>
      </c>
      <c r="AI169">
        <f ca="1">IFERROR(IF(0=LEN(ReferenceData!$AI$169),"",ReferenceData!$AI$169),"")</f>
        <v>10.02651324</v>
      </c>
      <c r="AJ169">
        <f ca="1">IFERROR(IF(0=LEN(ReferenceData!$AJ$169),"",ReferenceData!$AJ$169),"")</f>
        <v>9.8645447100000005</v>
      </c>
      <c r="AK169">
        <f ca="1">IFERROR(IF(0=LEN(ReferenceData!$AK$169),"",ReferenceData!$AK$169),"")</f>
        <v>9.9768341370000009</v>
      </c>
      <c r="AL169">
        <f ca="1">IFERROR(IF(0=LEN(ReferenceData!$AL$169),"",ReferenceData!$AL$169),"")</f>
        <v>9.4311477840000002</v>
      </c>
      <c r="AM169">
        <f ca="1">IFERROR(IF(0=LEN(ReferenceData!$AM$169),"",ReferenceData!$AM$169),"")</f>
        <v>9.2414223129999993</v>
      </c>
      <c r="AN169">
        <f ca="1">IFERROR(IF(0=LEN(ReferenceData!$AN$169),"",ReferenceData!$AN$169),"")</f>
        <v>9.4253261849999994</v>
      </c>
      <c r="AO169">
        <f ca="1">IFERROR(IF(0=LEN(ReferenceData!$AO$169),"",ReferenceData!$AO$169),"")</f>
        <v>9.5562034820000008</v>
      </c>
      <c r="AP169">
        <f ca="1">IFERROR(IF(0=LEN(ReferenceData!$AP$169),"",ReferenceData!$AP$169),"")</f>
        <v>9.3875797209999998</v>
      </c>
      <c r="AQ169">
        <f ca="1">IFERROR(IF(0=LEN(ReferenceData!$AQ$169),"",ReferenceData!$AQ$169),"")</f>
        <v>9.1793755659999992</v>
      </c>
      <c r="AR169">
        <f ca="1">IFERROR(IF(0=LEN(ReferenceData!$AR$169),"",ReferenceData!$AR$169),"")</f>
        <v>8.9566475150000002</v>
      </c>
      <c r="AS169">
        <f ca="1">IFERROR(IF(0=LEN(ReferenceData!$AS$169),"",ReferenceData!$AS$169),"")</f>
        <v>9.445798967</v>
      </c>
      <c r="AT169">
        <f ca="1">IFERROR(IF(0=LEN(ReferenceData!$AT$169),"",ReferenceData!$AT$169),"")</f>
        <v>9.2760709499999994</v>
      </c>
      <c r="AU169">
        <f ca="1">IFERROR(IF(0=LEN(ReferenceData!$AU$169),"",ReferenceData!$AU$169),"")</f>
        <v>8.7682497109999993</v>
      </c>
      <c r="AV169">
        <f ca="1">IFERROR(IF(0=LEN(ReferenceData!$AV$169),"",ReferenceData!$AV$169),"")</f>
        <v>9.4223037089999995</v>
      </c>
      <c r="AW169">
        <f ca="1">IFERROR(IF(0=LEN(ReferenceData!$AW$169),"",ReferenceData!$AW$169),"")</f>
        <v>8.8218166619999998</v>
      </c>
      <c r="AX169">
        <f ca="1">IFERROR(IF(0=LEN(ReferenceData!$AX$169),"",ReferenceData!$AX$169),"")</f>
        <v>11.685306949999999</v>
      </c>
      <c r="AY169">
        <f ca="1">IFERROR(IF(0=LEN(ReferenceData!$AY$169),"",ReferenceData!$AY$169),"")</f>
        <v>11.74236926</v>
      </c>
      <c r="AZ169">
        <f ca="1">IFERROR(IF(0=LEN(ReferenceData!$AZ$169),"",ReferenceData!$AZ$169),"")</f>
        <v>12.320882129999999</v>
      </c>
      <c r="BA169">
        <f ca="1">IFERROR(IF(0=LEN(ReferenceData!$BA$169),"",ReferenceData!$BA$169),"")</f>
        <v>11.74494174</v>
      </c>
      <c r="BB169">
        <f ca="1">IFERROR(IF(0=LEN(ReferenceData!$BB$169),"",ReferenceData!$BB$169),"")</f>
        <v>11.869355759999999</v>
      </c>
      <c r="BC169" t="str">
        <f ca="1">IFERROR(IF(0=LEN(ReferenceData!$BC$169),"",ReferenceData!$BC$169),"")</f>
        <v/>
      </c>
      <c r="BD169" t="str">
        <f ca="1">IFERROR(IF(0=LEN(ReferenceData!$BD$169),"",ReferenceData!$BD$169),"")</f>
        <v/>
      </c>
      <c r="BE169" t="str">
        <f ca="1">IFERROR(IF(0=LEN(ReferenceData!$BE$169),"",ReferenceData!$BE$169),"")</f>
        <v/>
      </c>
      <c r="BF169" t="str">
        <f ca="1">IFERROR(IF(0=LEN(ReferenceData!$BF$169),"",ReferenceData!$BF$169),"")</f>
        <v/>
      </c>
      <c r="BG169" t="str">
        <f ca="1">IFERROR(IF(0=LEN(ReferenceData!$BG$169),"",ReferenceData!$BG$169),"")</f>
        <v/>
      </c>
      <c r="BH169" t="str">
        <f ca="1">IFERROR(IF(0=LEN(ReferenceData!$BH$169),"",ReferenceData!$BH$169),"")</f>
        <v/>
      </c>
      <c r="BI169" t="str">
        <f ca="1">IFERROR(IF(0=LEN(ReferenceData!$BI$169),"",ReferenceData!$BI$169),"")</f>
        <v/>
      </c>
      <c r="BJ169" t="str">
        <f ca="1">IFERROR(IF(0=LEN(ReferenceData!$BJ$169),"",ReferenceData!$BJ$169),"")</f>
        <v/>
      </c>
      <c r="BK169" t="str">
        <f ca="1">IFERROR(IF(0=LEN(ReferenceData!$BK$169),"",ReferenceData!$BK$169),"")</f>
        <v/>
      </c>
      <c r="BL169" t="str">
        <f ca="1">IFERROR(IF(0=LEN(ReferenceData!$BL$169),"",ReferenceData!$BL$169),"")</f>
        <v/>
      </c>
      <c r="BM169" t="str">
        <f ca="1">IFERROR(IF(0=LEN(ReferenceData!$BM$169),"",ReferenceData!$BM$169),"")</f>
        <v/>
      </c>
    </row>
    <row r="170" spans="1:65">
      <c r="A170" t="str">
        <f>IFERROR(IF(0=LEN(ReferenceData!$A$170),"",ReferenceData!$A$170),"")</f>
        <v xml:space="preserve">    Welltower Inc</v>
      </c>
      <c r="B170" t="str">
        <f>IFERROR(IF(0=LEN(ReferenceData!$B$170),"",ReferenceData!$B$170),"")</f>
        <v>HCN US Equity</v>
      </c>
      <c r="C170" t="str">
        <f>IFERROR(IF(0=LEN(ReferenceData!$C$170),"",ReferenceData!$C$170),"")</f>
        <v>RX902</v>
      </c>
      <c r="D170" t="str">
        <f>IFERROR(IF(0=LEN(ReferenceData!$D$170),"",ReferenceData!$D$170),"")</f>
        <v>ANN_NOI_GR_AST_NET_RTL_DEV_CTD_%</v>
      </c>
      <c r="E170" t="str">
        <f>IFERROR(IF(0=LEN(ReferenceData!$E$170),"",ReferenceData!$E$170),"")</f>
        <v>动态</v>
      </c>
      <c r="F170" t="str">
        <f ca="1">IFERROR(IF(0=LEN(ReferenceData!$F$170),"",ReferenceData!$F$170),"")</f>
        <v/>
      </c>
      <c r="G170">
        <f ca="1">IFERROR(IF(0=LEN(ReferenceData!$G$170),"",ReferenceData!$G$170),"")</f>
        <v>6.6880406700000004</v>
      </c>
      <c r="H170">
        <f ca="1">IFERROR(IF(0=LEN(ReferenceData!$H$170),"",ReferenceData!$H$170),"")</f>
        <v>6.8772016870000003</v>
      </c>
      <c r="I170">
        <f ca="1">IFERROR(IF(0=LEN(ReferenceData!$I$170),"",ReferenceData!$I$170),"")</f>
        <v>6.8429655990000002</v>
      </c>
      <c r="J170">
        <f ca="1">IFERROR(IF(0=LEN(ReferenceData!$J$170),"",ReferenceData!$J$170),"")</f>
        <v>6.8015521689999998</v>
      </c>
      <c r="K170">
        <f ca="1">IFERROR(IF(0=LEN(ReferenceData!$K$170),"",ReferenceData!$K$170),"")</f>
        <v>6.9396230030000003</v>
      </c>
      <c r="L170">
        <f ca="1">IFERROR(IF(0=LEN(ReferenceData!$L$170),"",ReferenceData!$L$170),"")</f>
        <v>6.9855587100000003</v>
      </c>
      <c r="M170">
        <f ca="1">IFERROR(IF(0=LEN(ReferenceData!$M$170),"",ReferenceData!$M$170),"")</f>
        <v>7.3477465110000004</v>
      </c>
      <c r="N170">
        <f ca="1">IFERROR(IF(0=LEN(ReferenceData!$N$170),"",ReferenceData!$N$170),"")</f>
        <v>7.2149229469999998</v>
      </c>
      <c r="O170">
        <f ca="1">IFERROR(IF(0=LEN(ReferenceData!$O$170),"",ReferenceData!$O$170),"")</f>
        <v>7.1339971660000003</v>
      </c>
      <c r="P170">
        <f ca="1">IFERROR(IF(0=LEN(ReferenceData!$P$170),"",ReferenceData!$P$170),"")</f>
        <v>7.3217536829999998</v>
      </c>
      <c r="Q170">
        <f ca="1">IFERROR(IF(0=LEN(ReferenceData!$Q$170),"",ReferenceData!$Q$170),"")</f>
        <v>7.2641027119999997</v>
      </c>
      <c r="R170">
        <f ca="1">IFERROR(IF(0=LEN(ReferenceData!$R$170),"",ReferenceData!$R$170),"")</f>
        <v>6.9455211009999998</v>
      </c>
      <c r="S170">
        <f ca="1">IFERROR(IF(0=LEN(ReferenceData!$S$170),"",ReferenceData!$S$170),"")</f>
        <v>7.3340780250000002</v>
      </c>
      <c r="T170">
        <f ca="1">IFERROR(IF(0=LEN(ReferenceData!$T$170),"",ReferenceData!$T$170),"")</f>
        <v>7.2840588720000001</v>
      </c>
      <c r="U170">
        <f ca="1">IFERROR(IF(0=LEN(ReferenceData!$U$170),"",ReferenceData!$U$170),"")</f>
        <v>7.4566223789999997</v>
      </c>
      <c r="V170">
        <f ca="1">IFERROR(IF(0=LEN(ReferenceData!$V$170),"",ReferenceData!$V$170),"")</f>
        <v>7.129855783</v>
      </c>
      <c r="W170">
        <f ca="1">IFERROR(IF(0=LEN(ReferenceData!$W$170),"",ReferenceData!$W$170),"")</f>
        <v>7.4366951879999998</v>
      </c>
      <c r="X170">
        <f ca="1">IFERROR(IF(0=LEN(ReferenceData!$X$170),"",ReferenceData!$X$170),"")</f>
        <v>7.3561812</v>
      </c>
      <c r="Y170">
        <f ca="1">IFERROR(IF(0=LEN(ReferenceData!$Y$170),"",ReferenceData!$Y$170),"")</f>
        <v>6.6894456619999998</v>
      </c>
      <c r="Z170">
        <f ca="1">IFERROR(IF(0=LEN(ReferenceData!$Z$170),"",ReferenceData!$Z$170),"")</f>
        <v>6.6919147140000002</v>
      </c>
      <c r="AA170">
        <f ca="1">IFERROR(IF(0=LEN(ReferenceData!$AA$170),"",ReferenceData!$AA$170),"")</f>
        <v>7.0108060190000003</v>
      </c>
      <c r="AB170">
        <f ca="1">IFERROR(IF(0=LEN(ReferenceData!$AB$170),"",ReferenceData!$AB$170),"")</f>
        <v>6.672412209</v>
      </c>
      <c r="AC170">
        <f ca="1">IFERROR(IF(0=LEN(ReferenceData!$AC$170),"",ReferenceData!$AC$170),"")</f>
        <v>6.8382262669999996</v>
      </c>
      <c r="AD170">
        <f ca="1">IFERROR(IF(0=LEN(ReferenceData!$AD$170),"",ReferenceData!$AD$170),"")</f>
        <v>6.7519011649999996</v>
      </c>
      <c r="AE170">
        <f ca="1">IFERROR(IF(0=LEN(ReferenceData!$AE$170),"",ReferenceData!$AE$170),"")</f>
        <v>7.5440524470000003</v>
      </c>
      <c r="AF170">
        <f ca="1">IFERROR(IF(0=LEN(ReferenceData!$AF$170),"",ReferenceData!$AF$170),"")</f>
        <v>7.1619417719999996</v>
      </c>
      <c r="AG170">
        <f ca="1">IFERROR(IF(0=LEN(ReferenceData!$AG$170),"",ReferenceData!$AG$170),"")</f>
        <v>7.4688887429999999</v>
      </c>
      <c r="AH170">
        <f ca="1">IFERROR(IF(0=LEN(ReferenceData!$AH$170),"",ReferenceData!$AH$170),"")</f>
        <v>5.1594134519999999</v>
      </c>
      <c r="AI170">
        <f ca="1">IFERROR(IF(0=LEN(ReferenceData!$AI$170),"",ReferenceData!$AI$170),"")</f>
        <v>6.8263240249999999</v>
      </c>
      <c r="AJ170">
        <f ca="1">IFERROR(IF(0=LEN(ReferenceData!$AJ$170),"",ReferenceData!$AJ$170),"")</f>
        <v>7.2193715770000004</v>
      </c>
      <c r="AK170">
        <f ca="1">IFERROR(IF(0=LEN(ReferenceData!$AK$170),"",ReferenceData!$AK$170),"")</f>
        <v>7.6868085380000002</v>
      </c>
      <c r="AL170">
        <f ca="1">IFERROR(IF(0=LEN(ReferenceData!$AL$170),"",ReferenceData!$AL$170),"")</f>
        <v>7.4966011830000001</v>
      </c>
      <c r="AM170">
        <f ca="1">IFERROR(IF(0=LEN(ReferenceData!$AM$170),"",ReferenceData!$AM$170),"")</f>
        <v>8.2706166060000008</v>
      </c>
      <c r="AN170">
        <f ca="1">IFERROR(IF(0=LEN(ReferenceData!$AN$170),"",ReferenceData!$AN$170),"")</f>
        <v>7.6053024909999998</v>
      </c>
      <c r="AO170">
        <f ca="1">IFERROR(IF(0=LEN(ReferenceData!$AO$170),"",ReferenceData!$AO$170),"")</f>
        <v>7.7413311829999998</v>
      </c>
      <c r="AP170">
        <f ca="1">IFERROR(IF(0=LEN(ReferenceData!$AP$170),"",ReferenceData!$AP$170),"")</f>
        <v>7.9388278220000004</v>
      </c>
      <c r="AQ170">
        <f ca="1">IFERROR(IF(0=LEN(ReferenceData!$AQ$170),"",ReferenceData!$AQ$170),"")</f>
        <v>8.0347286570000005</v>
      </c>
      <c r="AR170">
        <f ca="1">IFERROR(IF(0=LEN(ReferenceData!$AR$170),"",ReferenceData!$AR$170),"")</f>
        <v>8.2002415909999993</v>
      </c>
      <c r="AS170">
        <f ca="1">IFERROR(IF(0=LEN(ReferenceData!$AS$170),"",ReferenceData!$AS$170),"")</f>
        <v>8.1695225610000008</v>
      </c>
      <c r="AT170">
        <f ca="1">IFERROR(IF(0=LEN(ReferenceData!$AT$170),"",ReferenceData!$AT$170),"")</f>
        <v>8.4408604789999995</v>
      </c>
      <c r="AU170">
        <f ca="1">IFERROR(IF(0=LEN(ReferenceData!$AU$170),"",ReferenceData!$AU$170),"")</f>
        <v>8.6454005980000002</v>
      </c>
      <c r="AV170">
        <f ca="1">IFERROR(IF(0=LEN(ReferenceData!$AV$170),"",ReferenceData!$AV$170),"")</f>
        <v>8.5250674239999995</v>
      </c>
      <c r="AW170">
        <f ca="1">IFERROR(IF(0=LEN(ReferenceData!$AW$170),"",ReferenceData!$AW$170),"")</f>
        <v>8.5016849150000002</v>
      </c>
      <c r="AX170">
        <f ca="1">IFERROR(IF(0=LEN(ReferenceData!$AX$170),"",ReferenceData!$AX$170),"")</f>
        <v>8.7387414559999996</v>
      </c>
      <c r="AY170">
        <f ca="1">IFERROR(IF(0=LEN(ReferenceData!$AY$170),"",ReferenceData!$AY$170),"")</f>
        <v>7.2826251610000003</v>
      </c>
      <c r="AZ170">
        <f ca="1">IFERROR(IF(0=LEN(ReferenceData!$AZ$170),"",ReferenceData!$AZ$170),"")</f>
        <v>9.2546340239999996</v>
      </c>
      <c r="BA170">
        <f ca="1">IFERROR(IF(0=LEN(ReferenceData!$BA$170),"",ReferenceData!$BA$170),"")</f>
        <v>9.5072723779999997</v>
      </c>
      <c r="BB170">
        <f ca="1">IFERROR(IF(0=LEN(ReferenceData!$BB$170),"",ReferenceData!$BB$170),"")</f>
        <v>9.4025546989999995</v>
      </c>
      <c r="BC170" t="str">
        <f ca="1">IFERROR(IF(0=LEN(ReferenceData!$BC$170),"",ReferenceData!$BC$170),"")</f>
        <v/>
      </c>
      <c r="BD170" t="str">
        <f ca="1">IFERROR(IF(0=LEN(ReferenceData!$BD$170),"",ReferenceData!$BD$170),"")</f>
        <v/>
      </c>
      <c r="BE170" t="str">
        <f ca="1">IFERROR(IF(0=LEN(ReferenceData!$BE$170),"",ReferenceData!$BE$170),"")</f>
        <v/>
      </c>
      <c r="BF170" t="str">
        <f ca="1">IFERROR(IF(0=LEN(ReferenceData!$BF$170),"",ReferenceData!$BF$170),"")</f>
        <v/>
      </c>
      <c r="BG170" t="str">
        <f ca="1">IFERROR(IF(0=LEN(ReferenceData!$BG$170),"",ReferenceData!$BG$170),"")</f>
        <v/>
      </c>
      <c r="BH170" t="str">
        <f ca="1">IFERROR(IF(0=LEN(ReferenceData!$BH$170),"",ReferenceData!$BH$170),"")</f>
        <v/>
      </c>
      <c r="BI170" t="str">
        <f ca="1">IFERROR(IF(0=LEN(ReferenceData!$BI$170),"",ReferenceData!$BI$170),"")</f>
        <v/>
      </c>
      <c r="BJ170" t="str">
        <f ca="1">IFERROR(IF(0=LEN(ReferenceData!$BJ$170),"",ReferenceData!$BJ$170),"")</f>
        <v/>
      </c>
      <c r="BK170" t="str">
        <f ca="1">IFERROR(IF(0=LEN(ReferenceData!$BK$170),"",ReferenceData!$BK$170),"")</f>
        <v/>
      </c>
      <c r="BL170" t="str">
        <f ca="1">IFERROR(IF(0=LEN(ReferenceData!$BL$170),"",ReferenceData!$BL$170),"")</f>
        <v/>
      </c>
      <c r="BM170" t="str">
        <f ca="1">IFERROR(IF(0=LEN(ReferenceData!$BM$170),"",ReferenceData!$BM$170),"")</f>
        <v/>
      </c>
    </row>
    <row r="171" spans="1:65">
      <c r="A171" t="str">
        <f>IFERROR(IF(0=LEN(ReferenceData!$A$171),"",ReferenceData!$A$171),"")</f>
        <v>EBITDA/房地产资产(%)</v>
      </c>
      <c r="B171" t="str">
        <f>IFERROR(IF(0=LEN(ReferenceData!$B$171),"",ReferenceData!$B$171),"")</f>
        <v/>
      </c>
      <c r="C171" t="str">
        <f>IFERROR(IF(0=LEN(ReferenceData!$C$171),"",ReferenceData!$C$171),"")</f>
        <v/>
      </c>
      <c r="D171" t="str">
        <f>IFERROR(IF(0=LEN(ReferenceData!$D$171),"",ReferenceData!$D$171),"")</f>
        <v/>
      </c>
      <c r="E171" t="str">
        <f>IFERROR(IF(0=LEN(ReferenceData!$E$171),"",ReferenceData!$E$171),"")</f>
        <v>Median</v>
      </c>
      <c r="F171" t="str">
        <f ca="1">IFERROR(IF(0=LEN(ReferenceData!$F$171),"",ReferenceData!$F$171),"")</f>
        <v/>
      </c>
      <c r="G171">
        <f ca="1">IFERROR(IF(0=LEN(ReferenceData!$G$171),"",ReferenceData!$G$171),"")</f>
        <v>1.9788474535</v>
      </c>
      <c r="H171">
        <f ca="1">IFERROR(IF(0=LEN(ReferenceData!$H$171),"",ReferenceData!$H$171),"")</f>
        <v>1.9070274475</v>
      </c>
      <c r="I171">
        <f ca="1">IFERROR(IF(0=LEN(ReferenceData!$I$171),"",ReferenceData!$I$171),"")</f>
        <v>2.1488176029999999</v>
      </c>
      <c r="J171">
        <f ca="1">IFERROR(IF(0=LEN(ReferenceData!$J$171),"",ReferenceData!$J$171),"")</f>
        <v>2.4172091010000001</v>
      </c>
      <c r="K171">
        <f ca="1">IFERROR(IF(0=LEN(ReferenceData!$K$171),"",ReferenceData!$K$171),"")</f>
        <v>2.2619707170000001</v>
      </c>
      <c r="L171">
        <f ca="1">IFERROR(IF(0=LEN(ReferenceData!$L$171),"",ReferenceData!$L$171),"")</f>
        <v>2.2408617560000001</v>
      </c>
      <c r="M171">
        <f ca="1">IFERROR(IF(0=LEN(ReferenceData!$M$171),"",ReferenceData!$M$171),"")</f>
        <v>2.2867699149999998</v>
      </c>
      <c r="N171">
        <f ca="1">IFERROR(IF(0=LEN(ReferenceData!$N$171),"",ReferenceData!$N$171),"")</f>
        <v>2.2284126620000002</v>
      </c>
      <c r="O171">
        <f ca="1">IFERROR(IF(0=LEN(ReferenceData!$O$171),"",ReferenceData!$O$171),"")</f>
        <v>2.462326053</v>
      </c>
      <c r="P171">
        <f ca="1">IFERROR(IF(0=LEN(ReferenceData!$P$171),"",ReferenceData!$P$171),"")</f>
        <v>2.1991917409999999</v>
      </c>
      <c r="Q171">
        <f ca="1">IFERROR(IF(0=LEN(ReferenceData!$Q$171),"",ReferenceData!$Q$171),"")</f>
        <v>2.0153221055000001</v>
      </c>
      <c r="R171">
        <f ca="1">IFERROR(IF(0=LEN(ReferenceData!$R$171),"",ReferenceData!$R$171),"")</f>
        <v>2.1892065375</v>
      </c>
      <c r="S171">
        <f ca="1">IFERROR(IF(0=LEN(ReferenceData!$S$171),"",ReferenceData!$S$171),"")</f>
        <v>2.2860932795000002</v>
      </c>
      <c r="T171">
        <f ca="1">IFERROR(IF(0=LEN(ReferenceData!$T$171),"",ReferenceData!$T$171),"")</f>
        <v>2.3853677380000002</v>
      </c>
      <c r="U171">
        <f ca="1">IFERROR(IF(0=LEN(ReferenceData!$U$171),"",ReferenceData!$U$171),"")</f>
        <v>2.2156794550000001</v>
      </c>
      <c r="V171">
        <f ca="1">IFERROR(IF(0=LEN(ReferenceData!$V$171),"",ReferenceData!$V$171),"")</f>
        <v>2.2890290320000002</v>
      </c>
      <c r="W171">
        <f ca="1">IFERROR(IF(0=LEN(ReferenceData!$W$171),"",ReferenceData!$W$171),"")</f>
        <v>2.4307408635000001</v>
      </c>
      <c r="X171">
        <f ca="1">IFERROR(IF(0=LEN(ReferenceData!$X$171),"",ReferenceData!$X$171),"")</f>
        <v>2.2683764114999998</v>
      </c>
      <c r="Y171">
        <f ca="1">IFERROR(IF(0=LEN(ReferenceData!$Y$171),"",ReferenceData!$Y$171),"")</f>
        <v>2.2706810974999998</v>
      </c>
      <c r="Z171">
        <f ca="1">IFERROR(IF(0=LEN(ReferenceData!$Z$171),"",ReferenceData!$Z$171),"")</f>
        <v>2.2546291245000001</v>
      </c>
      <c r="AA171">
        <f ca="1">IFERROR(IF(0=LEN(ReferenceData!$AA$171),"",ReferenceData!$AA$171),"")</f>
        <v>2.2310301575000002</v>
      </c>
      <c r="AB171">
        <f ca="1">IFERROR(IF(0=LEN(ReferenceData!$AB$171),"",ReferenceData!$AB$171),"")</f>
        <v>2.1597880759999999</v>
      </c>
      <c r="AC171">
        <f ca="1">IFERROR(IF(0=LEN(ReferenceData!$AC$171),"",ReferenceData!$AC$171),"")</f>
        <v>2.1134360504999998</v>
      </c>
      <c r="AD171">
        <f ca="1">IFERROR(IF(0=LEN(ReferenceData!$AD$171),"",ReferenceData!$AD$171),"")</f>
        <v>1.9388297055000001</v>
      </c>
      <c r="AE171">
        <f ca="1">IFERROR(IF(0=LEN(ReferenceData!$AE$171),"",ReferenceData!$AE$171),"")</f>
        <v>1.8490138439999999</v>
      </c>
      <c r="AF171">
        <f ca="1">IFERROR(IF(0=LEN(ReferenceData!$AF$171),"",ReferenceData!$AF$171),"")</f>
        <v>2.0900208615000002</v>
      </c>
      <c r="AG171">
        <f ca="1">IFERROR(IF(0=LEN(ReferenceData!$AG$171),"",ReferenceData!$AG$171),"")</f>
        <v>2.0983142714999996</v>
      </c>
      <c r="AH171">
        <f ca="1">IFERROR(IF(0=LEN(ReferenceData!$AH$171),"",ReferenceData!$AH$171),"")</f>
        <v>1.967887875</v>
      </c>
      <c r="AI171">
        <f ca="1">IFERROR(IF(0=LEN(ReferenceData!$AI$171),"",ReferenceData!$AI$171),"")</f>
        <v>2.0493155019999998</v>
      </c>
      <c r="AJ171">
        <f ca="1">IFERROR(IF(0=LEN(ReferenceData!$AJ$171),"",ReferenceData!$AJ$171),"")</f>
        <v>1.8579857930000001</v>
      </c>
      <c r="AK171">
        <f ca="1">IFERROR(IF(0=LEN(ReferenceData!$AK$171),"",ReferenceData!$AK$171),"")</f>
        <v>2.0601920589999998</v>
      </c>
      <c r="AL171">
        <f ca="1">IFERROR(IF(0=LEN(ReferenceData!$AL$171),"",ReferenceData!$AL$171),"")</f>
        <v>2.0093910570000002</v>
      </c>
      <c r="AM171">
        <f ca="1">IFERROR(IF(0=LEN(ReferenceData!$AM$171),"",ReferenceData!$AM$171),"")</f>
        <v>2.1194822700000002</v>
      </c>
      <c r="AN171">
        <f ca="1">IFERROR(IF(0=LEN(ReferenceData!$AN$171),"",ReferenceData!$AN$171),"")</f>
        <v>2.0749485244999999</v>
      </c>
      <c r="AO171">
        <f ca="1">IFERROR(IF(0=LEN(ReferenceData!$AO$171),"",ReferenceData!$AO$171),"")</f>
        <v>2.0460955890000001</v>
      </c>
      <c r="AP171">
        <f ca="1">IFERROR(IF(0=LEN(ReferenceData!$AP$171),"",ReferenceData!$AP$171),"")</f>
        <v>1.9962585920000002</v>
      </c>
      <c r="AQ171">
        <f ca="1">IFERROR(IF(0=LEN(ReferenceData!$AQ$171),"",ReferenceData!$AQ$171),"")</f>
        <v>1.9817297465000001</v>
      </c>
      <c r="AR171">
        <f ca="1">IFERROR(IF(0=LEN(ReferenceData!$AR$171),"",ReferenceData!$AR$171),"")</f>
        <v>2.0826207110000001</v>
      </c>
      <c r="AS171">
        <f ca="1">IFERROR(IF(0=LEN(ReferenceData!$AS$171),"",ReferenceData!$AS$171),"")</f>
        <v>2.351549178</v>
      </c>
      <c r="AT171">
        <f ca="1">IFERROR(IF(0=LEN(ReferenceData!$AT$171),"",ReferenceData!$AT$171),"")</f>
        <v>2.25094028</v>
      </c>
      <c r="AU171">
        <f ca="1">IFERROR(IF(0=LEN(ReferenceData!$AU$171),"",ReferenceData!$AU$171),"")</f>
        <v>2.3338548650000002</v>
      </c>
      <c r="AV171">
        <f ca="1">IFERROR(IF(0=LEN(ReferenceData!$AV$171),"",ReferenceData!$AV$171),"")</f>
        <v>2.2114537224999999</v>
      </c>
      <c r="AW171">
        <f ca="1">IFERROR(IF(0=LEN(ReferenceData!$AW$171),"",ReferenceData!$AW$171),"")</f>
        <v>2.3594402695000003</v>
      </c>
      <c r="AX171">
        <f ca="1">IFERROR(IF(0=LEN(ReferenceData!$AX$171),"",ReferenceData!$AX$171),"")</f>
        <v>2.2763193419999999</v>
      </c>
      <c r="AY171">
        <f ca="1">IFERROR(IF(0=LEN(ReferenceData!$AY$171),"",ReferenceData!$AY$171),"")</f>
        <v>2.1397447974999997</v>
      </c>
      <c r="AZ171">
        <f ca="1">IFERROR(IF(0=LEN(ReferenceData!$AZ$171),"",ReferenceData!$AZ$171),"")</f>
        <v>2.3190420625000003</v>
      </c>
      <c r="BA171">
        <f ca="1">IFERROR(IF(0=LEN(ReferenceData!$BA$171),"",ReferenceData!$BA$171),"")</f>
        <v>2.4752458485000002</v>
      </c>
      <c r="BB171">
        <f ca="1">IFERROR(IF(0=LEN(ReferenceData!$BB$171),"",ReferenceData!$BB$171),"")</f>
        <v>2.5765980955000001</v>
      </c>
      <c r="BC171">
        <f ca="1">IFERROR(IF(0=LEN(ReferenceData!$BC$171),"",ReferenceData!$BC$171),"")</f>
        <v>2.3742218854999999</v>
      </c>
      <c r="BD171">
        <f ca="1">IFERROR(IF(0=LEN(ReferenceData!$BD$171),"",ReferenceData!$BD$171),"")</f>
        <v>2.6137886630000002</v>
      </c>
      <c r="BE171">
        <f ca="1">IFERROR(IF(0=LEN(ReferenceData!$BE$171),"",ReferenceData!$BE$171),"")</f>
        <v>2.493683259</v>
      </c>
      <c r="BF171">
        <f ca="1">IFERROR(IF(0=LEN(ReferenceData!$BF$171),"",ReferenceData!$BF$171),"")</f>
        <v>2.5659450535000001</v>
      </c>
      <c r="BG171">
        <f ca="1">IFERROR(IF(0=LEN(ReferenceData!$BG$171),"",ReferenceData!$BG$171),"")</f>
        <v>2.3037737969999998</v>
      </c>
      <c r="BH171">
        <f ca="1">IFERROR(IF(0=LEN(ReferenceData!$BH$171),"",ReferenceData!$BH$171),"")</f>
        <v>2.6170678629999999</v>
      </c>
      <c r="BI171">
        <f ca="1">IFERROR(IF(0=LEN(ReferenceData!$BI$171),"",ReferenceData!$BI$171),"")</f>
        <v>2.683825541</v>
      </c>
      <c r="BJ171">
        <f ca="1">IFERROR(IF(0=LEN(ReferenceData!$BJ$171),"",ReferenceData!$BJ$171),"")</f>
        <v>2.7911139220000001</v>
      </c>
      <c r="BK171">
        <f ca="1">IFERROR(IF(0=LEN(ReferenceData!$BK$171),"",ReferenceData!$BK$171),"")</f>
        <v>2.8213004255</v>
      </c>
      <c r="BL171">
        <f ca="1">IFERROR(IF(0=LEN(ReferenceData!$BL$171),"",ReferenceData!$BL$171),"")</f>
        <v>3.419690557</v>
      </c>
      <c r="BM171">
        <f ca="1">IFERROR(IF(0=LEN(ReferenceData!$BM$171),"",ReferenceData!$BM$171),"")</f>
        <v>2.5797291580000001</v>
      </c>
    </row>
    <row r="172" spans="1:65">
      <c r="A172" t="str">
        <f>IFERROR(IF(0=LEN(ReferenceData!$A$172),"",ReferenceData!$A$172),"")</f>
        <v xml:space="preserve">    Alexandria Real Estate Equitie</v>
      </c>
      <c r="B172" t="str">
        <f>IFERROR(IF(0=LEN(ReferenceData!$B$172),"",ReferenceData!$B$172),"")</f>
        <v>ARE US Equity</v>
      </c>
      <c r="C172" t="str">
        <f>IFERROR(IF(0=LEN(ReferenceData!$C$172),"",ReferenceData!$C$172),"")</f>
        <v>RR553</v>
      </c>
      <c r="D172" t="str">
        <f>IFERROR(IF(0=LEN(ReferenceData!$D$172),"",ReferenceData!$D$172),"")</f>
        <v>EBITDA_RE_ASSET</v>
      </c>
      <c r="E172" t="str">
        <f>IFERROR(IF(0=LEN(ReferenceData!$E$172),"",ReferenceData!$E$172),"")</f>
        <v>动态</v>
      </c>
      <c r="F172" t="str">
        <f ca="1">IFERROR(IF(0=LEN(ReferenceData!$F$172),"",ReferenceData!$F$172),"")</f>
        <v/>
      </c>
      <c r="G172">
        <f ca="1">IFERROR(IF(0=LEN(ReferenceData!$G$172),"",ReferenceData!$G$172),"")</f>
        <v>1.8427773009999999</v>
      </c>
      <c r="H172">
        <f ca="1">IFERROR(IF(0=LEN(ReferenceData!$H$172),"",ReferenceData!$H$172),"")</f>
        <v>1.8279871670000001</v>
      </c>
      <c r="I172">
        <f ca="1">IFERROR(IF(0=LEN(ReferenceData!$I$172),"",ReferenceData!$I$172),"")</f>
        <v>1.78832773</v>
      </c>
      <c r="J172">
        <f ca="1">IFERROR(IF(0=LEN(ReferenceData!$J$172),"",ReferenceData!$J$172),"")</f>
        <v>1.8334074840000001</v>
      </c>
      <c r="K172">
        <f ca="1">IFERROR(IF(0=LEN(ReferenceData!$K$172),"",ReferenceData!$K$172),"")</f>
        <v>1.560396455</v>
      </c>
      <c r="L172">
        <f ca="1">IFERROR(IF(0=LEN(ReferenceData!$L$172),"",ReferenceData!$L$172),"")</f>
        <v>1.6649698079999999</v>
      </c>
      <c r="M172">
        <f ca="1">IFERROR(IF(0=LEN(ReferenceData!$M$172),"",ReferenceData!$M$172),"")</f>
        <v>-0.16157751000000001</v>
      </c>
      <c r="N172">
        <f ca="1">IFERROR(IF(0=LEN(ReferenceData!$N$172),"",ReferenceData!$N$172),"")</f>
        <v>1.348188776</v>
      </c>
      <c r="O172">
        <f ca="1">IFERROR(IF(0=LEN(ReferenceData!$O$172),"",ReferenceData!$O$172),"")</f>
        <v>1.691346314</v>
      </c>
      <c r="P172">
        <f ca="1">IFERROR(IF(0=LEN(ReferenceData!$P$172),"",ReferenceData!$P$172),"")</f>
        <v>1.758783958</v>
      </c>
      <c r="Q172">
        <f ca="1">IFERROR(IF(0=LEN(ReferenceData!$Q$172),"",ReferenceData!$Q$172),"")</f>
        <v>1.705214719</v>
      </c>
      <c r="R172">
        <f ca="1">IFERROR(IF(0=LEN(ReferenceData!$R$172),"",ReferenceData!$R$172),"")</f>
        <v>1.4433154909999999</v>
      </c>
      <c r="S172">
        <f ca="1">IFERROR(IF(0=LEN(ReferenceData!$S$172),"",ReferenceData!$S$172),"")</f>
        <v>0.91692296299999998</v>
      </c>
      <c r="T172">
        <f ca="1">IFERROR(IF(0=LEN(ReferenceData!$T$172),"",ReferenceData!$T$172),"")</f>
        <v>1.605848036</v>
      </c>
      <c r="U172">
        <f ca="1">IFERROR(IF(0=LEN(ReferenceData!$U$172),"",ReferenceData!$U$172),"")</f>
        <v>1.567726398</v>
      </c>
      <c r="V172">
        <f ca="1">IFERROR(IF(0=LEN(ReferenceData!$V$172),"",ReferenceData!$V$172),"")</f>
        <v>1.593806987</v>
      </c>
      <c r="W172">
        <f ca="1">IFERROR(IF(0=LEN(ReferenceData!$W$172),"",ReferenceData!$W$172),"")</f>
        <v>1.5670406910000001</v>
      </c>
      <c r="X172">
        <f ca="1">IFERROR(IF(0=LEN(ReferenceData!$X$172),"",ReferenceData!$X$172),"")</f>
        <v>1.499918125</v>
      </c>
      <c r="Y172">
        <f ca="1">IFERROR(IF(0=LEN(ReferenceData!$Y$172),"",ReferenceData!$Y$172),"")</f>
        <v>1.4788221800000001</v>
      </c>
      <c r="Z172">
        <f ca="1">IFERROR(IF(0=LEN(ReferenceData!$Z$172),"",ReferenceData!$Z$172),"")</f>
        <v>1.480977327</v>
      </c>
      <c r="AA172">
        <f ca="1">IFERROR(IF(0=LEN(ReferenceData!$AA$172),"",ReferenceData!$AA$172),"")</f>
        <v>1.4200310119999999</v>
      </c>
      <c r="AB172">
        <f ca="1">IFERROR(IF(0=LEN(ReferenceData!$AB$172),"",ReferenceData!$AB$172),"")</f>
        <v>1.3931051409999999</v>
      </c>
      <c r="AC172">
        <f ca="1">IFERROR(IF(0=LEN(ReferenceData!$AC$172),"",ReferenceData!$AC$172),"")</f>
        <v>1.4948728760000001</v>
      </c>
      <c r="AD172">
        <f ca="1">IFERROR(IF(0=LEN(ReferenceData!$AD$172),"",ReferenceData!$AD$172),"")</f>
        <v>1.415286005</v>
      </c>
      <c r="AE172">
        <f ca="1">IFERROR(IF(0=LEN(ReferenceData!$AE$172),"",ReferenceData!$AE$172),"")</f>
        <v>1.469582787</v>
      </c>
      <c r="AF172">
        <f ca="1">IFERROR(IF(0=LEN(ReferenceData!$AF$172),"",ReferenceData!$AF$172),"")</f>
        <v>1.4876735190000001</v>
      </c>
      <c r="AG172">
        <f ca="1">IFERROR(IF(0=LEN(ReferenceData!$AG$172),"",ReferenceData!$AG$172),"")</f>
        <v>1.573808031</v>
      </c>
      <c r="AH172">
        <f ca="1">IFERROR(IF(0=LEN(ReferenceData!$AH$172),"",ReferenceData!$AH$172),"")</f>
        <v>1.627490581</v>
      </c>
      <c r="AI172">
        <f ca="1">IFERROR(IF(0=LEN(ReferenceData!$AI$172),"",ReferenceData!$AI$172),"")</f>
        <v>1.591073634</v>
      </c>
      <c r="AJ172">
        <f ca="1">IFERROR(IF(0=LEN(ReferenceData!$AJ$172),"",ReferenceData!$AJ$172),"")</f>
        <v>1.5050110459999999</v>
      </c>
      <c r="AK172">
        <f ca="1">IFERROR(IF(0=LEN(ReferenceData!$AK$172),"",ReferenceData!$AK$172),"")</f>
        <v>1.5216447230000001</v>
      </c>
      <c r="AL172">
        <f ca="1">IFERROR(IF(0=LEN(ReferenceData!$AL$172),"",ReferenceData!$AL$172),"")</f>
        <v>1.493346584</v>
      </c>
      <c r="AM172">
        <f ca="1">IFERROR(IF(0=LEN(ReferenceData!$AM$172),"",ReferenceData!$AM$172),"")</f>
        <v>1.5317729579999999</v>
      </c>
      <c r="AN172">
        <f ca="1">IFERROR(IF(0=LEN(ReferenceData!$AN$172),"",ReferenceData!$AN$172),"")</f>
        <v>1.513146315</v>
      </c>
      <c r="AO172">
        <f ca="1">IFERROR(IF(0=LEN(ReferenceData!$AO$172),"",ReferenceData!$AO$172),"")</f>
        <v>1.7020610899999999</v>
      </c>
      <c r="AP172">
        <f ca="1">IFERROR(IF(0=LEN(ReferenceData!$AP$172),"",ReferenceData!$AP$172),"")</f>
        <v>1.8764460329999999</v>
      </c>
      <c r="AQ172">
        <f ca="1">IFERROR(IF(0=LEN(ReferenceData!$AQ$172),"",ReferenceData!$AQ$172),"")</f>
        <v>1.855847129</v>
      </c>
      <c r="AR172">
        <f ca="1">IFERROR(IF(0=LEN(ReferenceData!$AR$172),"",ReferenceData!$AR$172),"")</f>
        <v>1.6123703570000001</v>
      </c>
      <c r="AS172">
        <f ca="1">IFERROR(IF(0=LEN(ReferenceData!$AS$172),"",ReferenceData!$AS$172),"")</f>
        <v>1.6967140540000001</v>
      </c>
      <c r="AT172">
        <f ca="1">IFERROR(IF(0=LEN(ReferenceData!$AT$172),"",ReferenceData!$AT$172),"")</f>
        <v>1.6812241160000001</v>
      </c>
      <c r="AU172">
        <f ca="1">IFERROR(IF(0=LEN(ReferenceData!$AU$172),"",ReferenceData!$AU$172),"")</f>
        <v>1.702501295</v>
      </c>
      <c r="AV172">
        <f ca="1">IFERROR(IF(0=LEN(ReferenceData!$AV$172),"",ReferenceData!$AV$172),"")</f>
        <v>1.753953613</v>
      </c>
      <c r="AW172">
        <f ca="1">IFERROR(IF(0=LEN(ReferenceData!$AW$172),"",ReferenceData!$AW$172),"")</f>
        <v>1.8334996859999999</v>
      </c>
      <c r="AX172">
        <f ca="1">IFERROR(IF(0=LEN(ReferenceData!$AX$172),"",ReferenceData!$AX$172),"")</f>
        <v>1.8861683149999999</v>
      </c>
      <c r="AY172">
        <f ca="1">IFERROR(IF(0=LEN(ReferenceData!$AY$172),"",ReferenceData!$AY$172),"")</f>
        <v>1.924647759</v>
      </c>
      <c r="AZ172">
        <f ca="1">IFERROR(IF(0=LEN(ReferenceData!$AZ$172),"",ReferenceData!$AZ$172),"")</f>
        <v>1.9427740570000001</v>
      </c>
      <c r="BA172">
        <f ca="1">IFERROR(IF(0=LEN(ReferenceData!$BA$172),"",ReferenceData!$BA$172),"")</f>
        <v>2.1543335149999998</v>
      </c>
      <c r="BB172">
        <f ca="1">IFERROR(IF(0=LEN(ReferenceData!$BB$172),"",ReferenceData!$BB$172),"")</f>
        <v>2.0715846249999998</v>
      </c>
      <c r="BC172">
        <f ca="1">IFERROR(IF(0=LEN(ReferenceData!$BC$172),"",ReferenceData!$BC$172),"")</f>
        <v>2.0971071060000002</v>
      </c>
      <c r="BD172">
        <f ca="1">IFERROR(IF(0=LEN(ReferenceData!$BD$172),"",ReferenceData!$BD$172),"")</f>
        <v>2.147028852</v>
      </c>
      <c r="BE172">
        <f ca="1">IFERROR(IF(0=LEN(ReferenceData!$BE$172),"",ReferenceData!$BE$172),"")</f>
        <v>2.1354737309999998</v>
      </c>
      <c r="BF172">
        <f ca="1">IFERROR(IF(0=LEN(ReferenceData!$BF$172),"",ReferenceData!$BF$172),"")</f>
        <v>2.12601979</v>
      </c>
      <c r="BG172">
        <f ca="1">IFERROR(IF(0=LEN(ReferenceData!$BG$172),"",ReferenceData!$BG$172),"")</f>
        <v>2.1208236170000001</v>
      </c>
      <c r="BH172">
        <f ca="1">IFERROR(IF(0=LEN(ReferenceData!$BH$172),"",ReferenceData!$BH$172),"")</f>
        <v>2.4187396730000001</v>
      </c>
      <c r="BI172">
        <f ca="1">IFERROR(IF(0=LEN(ReferenceData!$BI$172),"",ReferenceData!$BI$172),"")</f>
        <v>2.511494388</v>
      </c>
      <c r="BJ172">
        <f ca="1">IFERROR(IF(0=LEN(ReferenceData!$BJ$172),"",ReferenceData!$BJ$172),"")</f>
        <v>2.6476479089999998</v>
      </c>
      <c r="BK172">
        <f ca="1">IFERROR(IF(0=LEN(ReferenceData!$BK$172),"",ReferenceData!$BK$172),"")</f>
        <v>3.5013384049999998</v>
      </c>
      <c r="BL172">
        <f ca="1">IFERROR(IF(0=LEN(ReferenceData!$BL$172),"",ReferenceData!$BL$172),"")</f>
        <v>4.386689391</v>
      </c>
      <c r="BM172">
        <f ca="1">IFERROR(IF(0=LEN(ReferenceData!$BM$172),"",ReferenceData!$BM$172),"")</f>
        <v>2.5148228119999998</v>
      </c>
    </row>
    <row r="173" spans="1:65">
      <c r="A173" t="str">
        <f>IFERROR(IF(0=LEN(ReferenceData!$A$173),"",ReferenceData!$A$173),"")</f>
        <v xml:space="preserve">    Care Capital Properties Inc</v>
      </c>
      <c r="B173" t="str">
        <f>IFERROR(IF(0=LEN(ReferenceData!$B$173),"",ReferenceData!$B$173),"")</f>
        <v>CCP US Equity</v>
      </c>
      <c r="C173" t="str">
        <f>IFERROR(IF(0=LEN(ReferenceData!$C$173),"",ReferenceData!$C$173),"")</f>
        <v>RR553</v>
      </c>
      <c r="D173" t="str">
        <f>IFERROR(IF(0=LEN(ReferenceData!$D$173),"",ReferenceData!$D$173),"")</f>
        <v>EBITDA_RE_ASSET</v>
      </c>
      <c r="E173" t="str">
        <f>IFERROR(IF(0=LEN(ReferenceData!$E$173),"",ReferenceData!$E$173),"")</f>
        <v>动态</v>
      </c>
      <c r="F173" t="str">
        <f ca="1">IFERROR(IF(0=LEN(ReferenceData!$F$173),"",ReferenceData!$F$173),"")</f>
        <v/>
      </c>
      <c r="G173" t="str">
        <f ca="1">IFERROR(IF(0=LEN(ReferenceData!$G$173),"",ReferenceData!$G$173),"")</f>
        <v/>
      </c>
      <c r="H173" t="str">
        <f ca="1">IFERROR(IF(0=LEN(ReferenceData!$H$173),"",ReferenceData!$H$173),"")</f>
        <v/>
      </c>
      <c r="I173">
        <f ca="1">IFERROR(IF(0=LEN(ReferenceData!$I$173),"",ReferenceData!$I$173),"")</f>
        <v>3.3390213210000002</v>
      </c>
      <c r="J173">
        <f ca="1">IFERROR(IF(0=LEN(ReferenceData!$J$173),"",ReferenceData!$J$173),"")</f>
        <v>2.8652135900000002</v>
      </c>
      <c r="K173">
        <f ca="1">IFERROR(IF(0=LEN(ReferenceData!$K$173),"",ReferenceData!$K$173),"")</f>
        <v>3.1507918290000001</v>
      </c>
      <c r="L173">
        <f ca="1">IFERROR(IF(0=LEN(ReferenceData!$L$173),"",ReferenceData!$L$173),"")</f>
        <v>2.8583596139999998</v>
      </c>
      <c r="M173">
        <f ca="1">IFERROR(IF(0=LEN(ReferenceData!$M$173),"",ReferenceData!$M$173),"")</f>
        <v>2.8659099530000001</v>
      </c>
      <c r="N173">
        <f ca="1">IFERROR(IF(0=LEN(ReferenceData!$N$173),"",ReferenceData!$N$173),"")</f>
        <v>2.8223288219999998</v>
      </c>
      <c r="O173">
        <f ca="1">IFERROR(IF(0=LEN(ReferenceData!$O$173),"",ReferenceData!$O$173),"")</f>
        <v>2.7774209769999998</v>
      </c>
      <c r="P173">
        <f ca="1">IFERROR(IF(0=LEN(ReferenceData!$P$173),"",ReferenceData!$P$173),"")</f>
        <v>2.532013896</v>
      </c>
      <c r="Q173" t="str">
        <f ca="1">IFERROR(IF(0=LEN(ReferenceData!$Q$173),"",ReferenceData!$Q$173),"")</f>
        <v/>
      </c>
      <c r="R173" t="str">
        <f ca="1">IFERROR(IF(0=LEN(ReferenceData!$R$173),"",ReferenceData!$R$173),"")</f>
        <v/>
      </c>
      <c r="S173" t="str">
        <f ca="1">IFERROR(IF(0=LEN(ReferenceData!$S$173),"",ReferenceData!$S$173),"")</f>
        <v/>
      </c>
      <c r="T173" t="str">
        <f ca="1">IFERROR(IF(0=LEN(ReferenceData!$T$173),"",ReferenceData!$T$173),"")</f>
        <v/>
      </c>
      <c r="U173" t="str">
        <f ca="1">IFERROR(IF(0=LEN(ReferenceData!$U$173),"",ReferenceData!$U$173),"")</f>
        <v/>
      </c>
      <c r="V173" t="str">
        <f ca="1">IFERROR(IF(0=LEN(ReferenceData!$V$173),"",ReferenceData!$V$173),"")</f>
        <v/>
      </c>
      <c r="W173" t="str">
        <f ca="1">IFERROR(IF(0=LEN(ReferenceData!$W$173),"",ReferenceData!$W$173),"")</f>
        <v/>
      </c>
      <c r="X173" t="str">
        <f ca="1">IFERROR(IF(0=LEN(ReferenceData!$X$173),"",ReferenceData!$X$173),"")</f>
        <v/>
      </c>
      <c r="Y173" t="str">
        <f ca="1">IFERROR(IF(0=LEN(ReferenceData!$Y$173),"",ReferenceData!$Y$173),"")</f>
        <v/>
      </c>
      <c r="Z173" t="str">
        <f ca="1">IFERROR(IF(0=LEN(ReferenceData!$Z$173),"",ReferenceData!$Z$173),"")</f>
        <v/>
      </c>
      <c r="AA173" t="str">
        <f ca="1">IFERROR(IF(0=LEN(ReferenceData!$AA$173),"",ReferenceData!$AA$173),"")</f>
        <v/>
      </c>
      <c r="AB173" t="str">
        <f ca="1">IFERROR(IF(0=LEN(ReferenceData!$AB$173),"",ReferenceData!$AB$173),"")</f>
        <v/>
      </c>
      <c r="AC173" t="str">
        <f ca="1">IFERROR(IF(0=LEN(ReferenceData!$AC$173),"",ReferenceData!$AC$173),"")</f>
        <v/>
      </c>
      <c r="AD173" t="str">
        <f ca="1">IFERROR(IF(0=LEN(ReferenceData!$AD$173),"",ReferenceData!$AD$173),"")</f>
        <v/>
      </c>
      <c r="AE173" t="str">
        <f ca="1">IFERROR(IF(0=LEN(ReferenceData!$AE$173),"",ReferenceData!$AE$173),"")</f>
        <v/>
      </c>
      <c r="AF173" t="str">
        <f ca="1">IFERROR(IF(0=LEN(ReferenceData!$AF$173),"",ReferenceData!$AF$173),"")</f>
        <v/>
      </c>
      <c r="AG173" t="str">
        <f ca="1">IFERROR(IF(0=LEN(ReferenceData!$AG$173),"",ReferenceData!$AG$173),"")</f>
        <v/>
      </c>
      <c r="AH173" t="str">
        <f ca="1">IFERROR(IF(0=LEN(ReferenceData!$AH$173),"",ReferenceData!$AH$173),"")</f>
        <v/>
      </c>
      <c r="AI173" t="str">
        <f ca="1">IFERROR(IF(0=LEN(ReferenceData!$AI$173),"",ReferenceData!$AI$173),"")</f>
        <v/>
      </c>
      <c r="AJ173" t="str">
        <f ca="1">IFERROR(IF(0=LEN(ReferenceData!$AJ$173),"",ReferenceData!$AJ$173),"")</f>
        <v/>
      </c>
      <c r="AK173" t="str">
        <f ca="1">IFERROR(IF(0=LEN(ReferenceData!$AK$173),"",ReferenceData!$AK$173),"")</f>
        <v/>
      </c>
      <c r="AL173" t="str">
        <f ca="1">IFERROR(IF(0=LEN(ReferenceData!$AL$173),"",ReferenceData!$AL$173),"")</f>
        <v/>
      </c>
      <c r="AM173" t="str">
        <f ca="1">IFERROR(IF(0=LEN(ReferenceData!$AM$173),"",ReferenceData!$AM$173),"")</f>
        <v/>
      </c>
      <c r="AN173" t="str">
        <f ca="1">IFERROR(IF(0=LEN(ReferenceData!$AN$173),"",ReferenceData!$AN$173),"")</f>
        <v/>
      </c>
      <c r="AO173" t="str">
        <f ca="1">IFERROR(IF(0=LEN(ReferenceData!$AO$173),"",ReferenceData!$AO$173),"")</f>
        <v/>
      </c>
      <c r="AP173" t="str">
        <f ca="1">IFERROR(IF(0=LEN(ReferenceData!$AP$173),"",ReferenceData!$AP$173),"")</f>
        <v/>
      </c>
      <c r="AQ173" t="str">
        <f ca="1">IFERROR(IF(0=LEN(ReferenceData!$AQ$173),"",ReferenceData!$AQ$173),"")</f>
        <v/>
      </c>
      <c r="AR173" t="str">
        <f ca="1">IFERROR(IF(0=LEN(ReferenceData!$AR$173),"",ReferenceData!$AR$173),"")</f>
        <v/>
      </c>
      <c r="AS173" t="str">
        <f ca="1">IFERROR(IF(0=LEN(ReferenceData!$AS$173),"",ReferenceData!$AS$173),"")</f>
        <v/>
      </c>
      <c r="AT173" t="str">
        <f ca="1">IFERROR(IF(0=LEN(ReferenceData!$AT$173),"",ReferenceData!$AT$173),"")</f>
        <v/>
      </c>
      <c r="AU173" t="str">
        <f ca="1">IFERROR(IF(0=LEN(ReferenceData!$AU$173),"",ReferenceData!$AU$173),"")</f>
        <v/>
      </c>
      <c r="AV173" t="str">
        <f ca="1">IFERROR(IF(0=LEN(ReferenceData!$AV$173),"",ReferenceData!$AV$173),"")</f>
        <v/>
      </c>
      <c r="AW173" t="str">
        <f ca="1">IFERROR(IF(0=LEN(ReferenceData!$AW$173),"",ReferenceData!$AW$173),"")</f>
        <v/>
      </c>
      <c r="AX173" t="str">
        <f ca="1">IFERROR(IF(0=LEN(ReferenceData!$AX$173),"",ReferenceData!$AX$173),"")</f>
        <v/>
      </c>
      <c r="AY173" t="str">
        <f ca="1">IFERROR(IF(0=LEN(ReferenceData!$AY$173),"",ReferenceData!$AY$173),"")</f>
        <v/>
      </c>
      <c r="AZ173" t="str">
        <f ca="1">IFERROR(IF(0=LEN(ReferenceData!$AZ$173),"",ReferenceData!$AZ$173),"")</f>
        <v/>
      </c>
      <c r="BA173" t="str">
        <f ca="1">IFERROR(IF(0=LEN(ReferenceData!$BA$173),"",ReferenceData!$BA$173),"")</f>
        <v/>
      </c>
      <c r="BB173" t="str">
        <f ca="1">IFERROR(IF(0=LEN(ReferenceData!$BB$173),"",ReferenceData!$BB$173),"")</f>
        <v/>
      </c>
      <c r="BC173" t="str">
        <f ca="1">IFERROR(IF(0=LEN(ReferenceData!$BC$173),"",ReferenceData!$BC$173),"")</f>
        <v/>
      </c>
      <c r="BD173" t="str">
        <f ca="1">IFERROR(IF(0=LEN(ReferenceData!$BD$173),"",ReferenceData!$BD$173),"")</f>
        <v/>
      </c>
      <c r="BE173" t="str">
        <f ca="1">IFERROR(IF(0=LEN(ReferenceData!$BE$173),"",ReferenceData!$BE$173),"")</f>
        <v/>
      </c>
      <c r="BF173" t="str">
        <f ca="1">IFERROR(IF(0=LEN(ReferenceData!$BF$173),"",ReferenceData!$BF$173),"")</f>
        <v/>
      </c>
      <c r="BG173" t="str">
        <f ca="1">IFERROR(IF(0=LEN(ReferenceData!$BG$173),"",ReferenceData!$BG$173),"")</f>
        <v/>
      </c>
      <c r="BH173" t="str">
        <f ca="1">IFERROR(IF(0=LEN(ReferenceData!$BH$173),"",ReferenceData!$BH$173),"")</f>
        <v/>
      </c>
      <c r="BI173" t="str">
        <f ca="1">IFERROR(IF(0=LEN(ReferenceData!$BI$173),"",ReferenceData!$BI$173),"")</f>
        <v/>
      </c>
      <c r="BJ173" t="str">
        <f ca="1">IFERROR(IF(0=LEN(ReferenceData!$BJ$173),"",ReferenceData!$BJ$173),"")</f>
        <v/>
      </c>
      <c r="BK173" t="str">
        <f ca="1">IFERROR(IF(0=LEN(ReferenceData!$BK$173),"",ReferenceData!$BK$173),"")</f>
        <v/>
      </c>
      <c r="BL173" t="str">
        <f ca="1">IFERROR(IF(0=LEN(ReferenceData!$BL$173),"",ReferenceData!$BL$173),"")</f>
        <v/>
      </c>
      <c r="BM173" t="str">
        <f ca="1">IFERROR(IF(0=LEN(ReferenceData!$BM$173),"",ReferenceData!$BM$173),"")</f>
        <v/>
      </c>
    </row>
    <row r="174" spans="1:65">
      <c r="A174" t="str">
        <f>IFERROR(IF(0=LEN(ReferenceData!$A$174),"",ReferenceData!$A$174),"")</f>
        <v xml:space="preserve">    HCP Inc</v>
      </c>
      <c r="B174" t="str">
        <f>IFERROR(IF(0=LEN(ReferenceData!$B$174),"",ReferenceData!$B$174),"")</f>
        <v>HCP US Equity</v>
      </c>
      <c r="C174" t="str">
        <f>IFERROR(IF(0=LEN(ReferenceData!$C$174),"",ReferenceData!$C$174),"")</f>
        <v>RR553</v>
      </c>
      <c r="D174" t="str">
        <f>IFERROR(IF(0=LEN(ReferenceData!$D$174),"",ReferenceData!$D$174),"")</f>
        <v>EBITDA_RE_ASSET</v>
      </c>
      <c r="E174" t="str">
        <f>IFERROR(IF(0=LEN(ReferenceData!$E$174),"",ReferenceData!$E$174),"")</f>
        <v>动态</v>
      </c>
      <c r="F174" t="str">
        <f ca="1">IFERROR(IF(0=LEN(ReferenceData!$F$174),"",ReferenceData!$F$174),"")</f>
        <v/>
      </c>
      <c r="G174">
        <f ca="1">IFERROR(IF(0=LEN(ReferenceData!$G$174),"",ReferenceData!$G$174),"")</f>
        <v>1.053099193</v>
      </c>
      <c r="H174">
        <f ca="1">IFERROR(IF(0=LEN(ReferenceData!$H$174),"",ReferenceData!$H$174),"")</f>
        <v>1.993680471</v>
      </c>
      <c r="I174">
        <f ca="1">IFERROR(IF(0=LEN(ReferenceData!$I$174),"",ReferenceData!$I$174),"")</f>
        <v>1.829459658</v>
      </c>
      <c r="J174">
        <f ca="1">IFERROR(IF(0=LEN(ReferenceData!$J$174),"",ReferenceData!$J$174),"")</f>
        <v>2.4172091010000001</v>
      </c>
      <c r="K174">
        <f ca="1">IFERROR(IF(0=LEN(ReferenceData!$K$174),"",ReferenceData!$K$174),"")</f>
        <v>2.2619707170000001</v>
      </c>
      <c r="L174">
        <f ca="1">IFERROR(IF(0=LEN(ReferenceData!$L$174),"",ReferenceData!$L$174),"")</f>
        <v>2.1547725459999998</v>
      </c>
      <c r="M174">
        <f ca="1">IFERROR(IF(0=LEN(ReferenceData!$M$174),"",ReferenceData!$M$174),"")</f>
        <v>1.744144116</v>
      </c>
      <c r="N174">
        <f ca="1">IFERROR(IF(0=LEN(ReferenceData!$N$174),"",ReferenceData!$N$174),"")</f>
        <v>2.2473440999999998</v>
      </c>
      <c r="O174">
        <f ca="1">IFERROR(IF(0=LEN(ReferenceData!$O$174),"",ReferenceData!$O$174),"")</f>
        <v>1.7072468089999999</v>
      </c>
      <c r="P174">
        <f ca="1">IFERROR(IF(0=LEN(ReferenceData!$P$174),"",ReferenceData!$P$174),"")</f>
        <v>1.936626739</v>
      </c>
      <c r="Q174">
        <f ca="1">IFERROR(IF(0=LEN(ReferenceData!$Q$174),"",ReferenceData!$Q$174),"")</f>
        <v>1.885939789</v>
      </c>
      <c r="R174">
        <f ca="1">IFERROR(IF(0=LEN(ReferenceData!$R$174),"",ReferenceData!$R$174),"")</f>
        <v>-0.114210673</v>
      </c>
      <c r="S174">
        <f ca="1">IFERROR(IF(0=LEN(ReferenceData!$S$174),"",ReferenceData!$S$174),"")</f>
        <v>2.3083716509999999</v>
      </c>
      <c r="T174">
        <f ca="1">IFERROR(IF(0=LEN(ReferenceData!$T$174),"",ReferenceData!$T$174),"")</f>
        <v>2.492028194</v>
      </c>
      <c r="U174">
        <f ca="1">IFERROR(IF(0=LEN(ReferenceData!$U$174),"",ReferenceData!$U$174),"")</f>
        <v>2.3333952870000001</v>
      </c>
      <c r="V174">
        <f ca="1">IFERROR(IF(0=LEN(ReferenceData!$V$174),"",ReferenceData!$V$174),"")</f>
        <v>2.3849605450000002</v>
      </c>
      <c r="W174">
        <f ca="1">IFERROR(IF(0=LEN(ReferenceData!$W$174),"",ReferenceData!$W$174),"")</f>
        <v>2.5939876979999998</v>
      </c>
      <c r="X174">
        <f ca="1">IFERROR(IF(0=LEN(ReferenceData!$X$174),"",ReferenceData!$X$174),"")</f>
        <v>2.3130274599999998</v>
      </c>
      <c r="Y174">
        <f ca="1">IFERROR(IF(0=LEN(ReferenceData!$Y$174),"",ReferenceData!$Y$174),"")</f>
        <v>2.2388077370000001</v>
      </c>
      <c r="Z174">
        <f ca="1">IFERROR(IF(0=LEN(ReferenceData!$Z$174),"",ReferenceData!$Z$174),"")</f>
        <v>2.3208517710000001</v>
      </c>
      <c r="AA174">
        <f ca="1">IFERROR(IF(0=LEN(ReferenceData!$AA$174),"",ReferenceData!$AA$174),"")</f>
        <v>2.3555296530000001</v>
      </c>
      <c r="AB174">
        <f ca="1">IFERROR(IF(0=LEN(ReferenceData!$AB$174),"",ReferenceData!$AB$174),"")</f>
        <v>2.2238679490000002</v>
      </c>
      <c r="AC174">
        <f ca="1">IFERROR(IF(0=LEN(ReferenceData!$AC$174),"",ReferenceData!$AC$174),"")</f>
        <v>2.3008171740000001</v>
      </c>
      <c r="AD174">
        <f ca="1">IFERROR(IF(0=LEN(ReferenceData!$AD$174),"",ReferenceData!$AD$174),"")</f>
        <v>2.2552025900000001</v>
      </c>
      <c r="AE174">
        <f ca="1">IFERROR(IF(0=LEN(ReferenceData!$AE$174),"",ReferenceData!$AE$174),"")</f>
        <v>1.6298577359999999</v>
      </c>
      <c r="AF174">
        <f ca="1">IFERROR(IF(0=LEN(ReferenceData!$AF$174),"",ReferenceData!$AF$174),"")</f>
        <v>2.1211267569999999</v>
      </c>
      <c r="AG174">
        <f ca="1">IFERROR(IF(0=LEN(ReferenceData!$AG$174),"",ReferenceData!$AG$174),"")</f>
        <v>2.4634806569999999</v>
      </c>
      <c r="AH174">
        <f ca="1">IFERROR(IF(0=LEN(ReferenceData!$AH$174),"",ReferenceData!$AH$174),"")</f>
        <v>2.07746326</v>
      </c>
      <c r="AI174">
        <f ca="1">IFERROR(IF(0=LEN(ReferenceData!$AI$174),"",ReferenceData!$AI$174),"")</f>
        <v>2.2969946029999999</v>
      </c>
      <c r="AJ174">
        <f ca="1">IFERROR(IF(0=LEN(ReferenceData!$AJ$174),"",ReferenceData!$AJ$174),"")</f>
        <v>1.452185783</v>
      </c>
      <c r="AK174">
        <f ca="1">IFERROR(IF(0=LEN(ReferenceData!$AK$174),"",ReferenceData!$AK$174),"")</f>
        <v>2.101646095</v>
      </c>
      <c r="AL174">
        <f ca="1">IFERROR(IF(0=LEN(ReferenceData!$AL$174),"",ReferenceData!$AL$174),"")</f>
        <v>2.1021903399999999</v>
      </c>
      <c r="AM174">
        <f ca="1">IFERROR(IF(0=LEN(ReferenceData!$AM$174),"",ReferenceData!$AM$174),"")</f>
        <v>1.5821647700000001</v>
      </c>
      <c r="AN174">
        <f ca="1">IFERROR(IF(0=LEN(ReferenceData!$AN$174),"",ReferenceData!$AN$174),"")</f>
        <v>0.90354951999999999</v>
      </c>
      <c r="AO174">
        <f ca="1">IFERROR(IF(0=LEN(ReferenceData!$AO$174),"",ReferenceData!$AO$174),"")</f>
        <v>2.0009551330000002</v>
      </c>
      <c r="AP174">
        <f ca="1">IFERROR(IF(0=LEN(ReferenceData!$AP$174),"",ReferenceData!$AP$174),"")</f>
        <v>1.9473534610000001</v>
      </c>
      <c r="AQ174">
        <f ca="1">IFERROR(IF(0=LEN(ReferenceData!$AQ$174),"",ReferenceData!$AQ$174),"")</f>
        <v>2.107612364</v>
      </c>
      <c r="AR174">
        <f ca="1">IFERROR(IF(0=LEN(ReferenceData!$AR$174),"",ReferenceData!$AR$174),"")</f>
        <v>1.8593756880000001</v>
      </c>
      <c r="AS174">
        <f ca="1">IFERROR(IF(0=LEN(ReferenceData!$AS$174),"",ReferenceData!$AS$174),"")</f>
        <v>1.6906217699999999</v>
      </c>
      <c r="AT174">
        <f ca="1">IFERROR(IF(0=LEN(ReferenceData!$AT$174),"",ReferenceData!$AT$174),"")</f>
        <v>1.5983285890000001</v>
      </c>
      <c r="AU174">
        <f ca="1">IFERROR(IF(0=LEN(ReferenceData!$AU$174),"",ReferenceData!$AU$174),"")</f>
        <v>1.6249259629999999</v>
      </c>
      <c r="AV174">
        <f ca="1">IFERROR(IF(0=LEN(ReferenceData!$AV$174),"",ReferenceData!$AV$174),"")</f>
        <v>1.748079017</v>
      </c>
      <c r="AW174">
        <f ca="1">IFERROR(IF(0=LEN(ReferenceData!$AW$174),"",ReferenceData!$AW$174),"")</f>
        <v>2.0488332809999998</v>
      </c>
      <c r="AX174">
        <f ca="1">IFERROR(IF(0=LEN(ReferenceData!$AX$174),"",ReferenceData!$AX$174),"")</f>
        <v>1.8879468479999999</v>
      </c>
      <c r="AY174">
        <f ca="1">IFERROR(IF(0=LEN(ReferenceData!$AY$174),"",ReferenceData!$AY$174),"")</f>
        <v>1.478068041</v>
      </c>
      <c r="AZ174">
        <f ca="1">IFERROR(IF(0=LEN(ReferenceData!$AZ$174),"",ReferenceData!$AZ$174),"")</f>
        <v>2.5993645810000001</v>
      </c>
      <c r="BA174">
        <f ca="1">IFERROR(IF(0=LEN(ReferenceData!$BA$174),"",ReferenceData!$BA$174),"")</f>
        <v>2.526918749</v>
      </c>
      <c r="BB174">
        <f ca="1">IFERROR(IF(0=LEN(ReferenceData!$BB$174),"",ReferenceData!$BB$174),"")</f>
        <v>2.7196585990000002</v>
      </c>
      <c r="BC174">
        <f ca="1">IFERROR(IF(0=LEN(ReferenceData!$BC$174),"",ReferenceData!$BC$174),"")</f>
        <v>1.8642151730000001</v>
      </c>
      <c r="BD174">
        <f ca="1">IFERROR(IF(0=LEN(ReferenceData!$BD$174),"",ReferenceData!$BD$174),"")</f>
        <v>2.8698533930000001</v>
      </c>
      <c r="BE174">
        <f ca="1">IFERROR(IF(0=LEN(ReferenceData!$BE$174),"",ReferenceData!$BE$174),"")</f>
        <v>3.0374711990000001</v>
      </c>
      <c r="BF174">
        <f ca="1">IFERROR(IF(0=LEN(ReferenceData!$BF$174),"",ReferenceData!$BF$174),"")</f>
        <v>2.9231031559999998</v>
      </c>
      <c r="BG174">
        <f ca="1">IFERROR(IF(0=LEN(ReferenceData!$BG$174),"",ReferenceData!$BG$174),"")</f>
        <v>2.7516807600000002</v>
      </c>
      <c r="BH174">
        <f ca="1">IFERROR(IF(0=LEN(ReferenceData!$BH$174),"",ReferenceData!$BH$174),"")</f>
        <v>3.4917848490000001</v>
      </c>
      <c r="BI174">
        <f ca="1">IFERROR(IF(0=LEN(ReferenceData!$BI$174),"",ReferenceData!$BI$174),"")</f>
        <v>3.3744381739999998</v>
      </c>
      <c r="BJ174">
        <f ca="1">IFERROR(IF(0=LEN(ReferenceData!$BJ$174),"",ReferenceData!$BJ$174),"")</f>
        <v>2.8169240069999999</v>
      </c>
      <c r="BK174" t="str">
        <f ca="1">IFERROR(IF(0=LEN(ReferenceData!$BK$174),"",ReferenceData!$BK$174),"")</f>
        <v/>
      </c>
      <c r="BL174">
        <f ca="1">IFERROR(IF(0=LEN(ReferenceData!$BL$174),"",ReferenceData!$BL$174),"")</f>
        <v>3.419690557</v>
      </c>
      <c r="BM174">
        <f ca="1">IFERROR(IF(0=LEN(ReferenceData!$BM$174),"",ReferenceData!$BM$174),"")</f>
        <v>3.0689705890000001</v>
      </c>
    </row>
    <row r="175" spans="1:65">
      <c r="A175" t="str">
        <f>IFERROR(IF(0=LEN(ReferenceData!$A$175),"",ReferenceData!$A$175),"")</f>
        <v xml:space="preserve">    Healthcare Realty Trust Inc</v>
      </c>
      <c r="B175" t="str">
        <f>IFERROR(IF(0=LEN(ReferenceData!$B$175),"",ReferenceData!$B$175),"")</f>
        <v>HR US Equity</v>
      </c>
      <c r="C175" t="str">
        <f>IFERROR(IF(0=LEN(ReferenceData!$C$175),"",ReferenceData!$C$175),"")</f>
        <v>RR553</v>
      </c>
      <c r="D175" t="str">
        <f>IFERROR(IF(0=LEN(ReferenceData!$D$175),"",ReferenceData!$D$175),"")</f>
        <v>EBITDA_RE_ASSET</v>
      </c>
      <c r="E175" t="str">
        <f>IFERROR(IF(0=LEN(ReferenceData!$E$175),"",ReferenceData!$E$175),"")</f>
        <v>动态</v>
      </c>
      <c r="F175" t="str">
        <f ca="1">IFERROR(IF(0=LEN(ReferenceData!$F$175),"",ReferenceData!$F$175),"")</f>
        <v/>
      </c>
      <c r="G175">
        <f ca="1">IFERROR(IF(0=LEN(ReferenceData!$G$175),"",ReferenceData!$G$175),"")</f>
        <v>1.9919026470000001</v>
      </c>
      <c r="H175">
        <f ca="1">IFERROR(IF(0=LEN(ReferenceData!$H$175),"",ReferenceData!$H$175),"")</f>
        <v>1.8435435819999999</v>
      </c>
      <c r="I175">
        <f ca="1">IFERROR(IF(0=LEN(ReferenceData!$I$175),"",ReferenceData!$I$175),"")</f>
        <v>2.1488176029999999</v>
      </c>
      <c r="J175">
        <f ca="1">IFERROR(IF(0=LEN(ReferenceData!$J$175),"",ReferenceData!$J$175),"")</f>
        <v>2.143295583</v>
      </c>
      <c r="K175">
        <f ca="1">IFERROR(IF(0=LEN(ReferenceData!$K$175),"",ReferenceData!$K$175),"")</f>
        <v>2.1598761849999999</v>
      </c>
      <c r="L175">
        <f ca="1">IFERROR(IF(0=LEN(ReferenceData!$L$175),"",ReferenceData!$L$175),"")</f>
        <v>2.1091016859999998</v>
      </c>
      <c r="M175">
        <f ca="1">IFERROR(IF(0=LEN(ReferenceData!$M$175),"",ReferenceData!$M$175),"")</f>
        <v>2.1937603970000001</v>
      </c>
      <c r="N175">
        <f ca="1">IFERROR(IF(0=LEN(ReferenceData!$N$175),"",ReferenceData!$N$175),"")</f>
        <v>2.0831588750000001</v>
      </c>
      <c r="O175">
        <f ca="1">IFERROR(IF(0=LEN(ReferenceData!$O$175),"",ReferenceData!$O$175),"")</f>
        <v>2.1147911669999999</v>
      </c>
      <c r="P175">
        <f ca="1">IFERROR(IF(0=LEN(ReferenceData!$P$175),"",ReferenceData!$P$175),"")</f>
        <v>2.1991917409999999</v>
      </c>
      <c r="Q175">
        <f ca="1">IFERROR(IF(0=LEN(ReferenceData!$Q$175),"",ReferenceData!$Q$175),"")</f>
        <v>2.0240854170000002</v>
      </c>
      <c r="R175">
        <f ca="1">IFERROR(IF(0=LEN(ReferenceData!$R$175),"",ReferenceData!$R$175),"")</f>
        <v>2.0768916590000002</v>
      </c>
      <c r="S175">
        <f ca="1">IFERROR(IF(0=LEN(ReferenceData!$S$175),"",ReferenceData!$S$175),"")</f>
        <v>2.2232788490000002</v>
      </c>
      <c r="T175">
        <f ca="1">IFERROR(IF(0=LEN(ReferenceData!$T$175),"",ReferenceData!$T$175),"")</f>
        <v>2.1841443840000001</v>
      </c>
      <c r="U175">
        <f ca="1">IFERROR(IF(0=LEN(ReferenceData!$U$175),"",ReferenceData!$U$175),"")</f>
        <v>2.1093161660000002</v>
      </c>
      <c r="V175">
        <f ca="1">IFERROR(IF(0=LEN(ReferenceData!$V$175),"",ReferenceData!$V$175),"")</f>
        <v>2.0997689400000001</v>
      </c>
      <c r="W175">
        <f ca="1">IFERROR(IF(0=LEN(ReferenceData!$W$175),"",ReferenceData!$W$175),"")</f>
        <v>2.080195265</v>
      </c>
      <c r="X175">
        <f ca="1">IFERROR(IF(0=LEN(ReferenceData!$X$175),"",ReferenceData!$X$175),"")</f>
        <v>1.921939872</v>
      </c>
      <c r="Y175">
        <f ca="1">IFERROR(IF(0=LEN(ReferenceData!$Y$175),"",ReferenceData!$Y$175),"")</f>
        <v>1.9609241180000001</v>
      </c>
      <c r="Z175">
        <f ca="1">IFERROR(IF(0=LEN(ReferenceData!$Z$175),"",ReferenceData!$Z$175),"")</f>
        <v>1.9244353219999999</v>
      </c>
      <c r="AA175">
        <f ca="1">IFERROR(IF(0=LEN(ReferenceData!$AA$175),"",ReferenceData!$AA$175),"")</f>
        <v>0.80794141399999997</v>
      </c>
      <c r="AB175">
        <f ca="1">IFERROR(IF(0=LEN(ReferenceData!$AB$175),"",ReferenceData!$AB$175),"")</f>
        <v>1.9102024479999999</v>
      </c>
      <c r="AC175">
        <f ca="1">IFERROR(IF(0=LEN(ReferenceData!$AC$175),"",ReferenceData!$AC$175),"")</f>
        <v>1.946250088</v>
      </c>
      <c r="AD175">
        <f ca="1">IFERROR(IF(0=LEN(ReferenceData!$AD$175),"",ReferenceData!$AD$175),"")</f>
        <v>1.8768598000000001</v>
      </c>
      <c r="AE175">
        <f ca="1">IFERROR(IF(0=LEN(ReferenceData!$AE$175),"",ReferenceData!$AE$175),"")</f>
        <v>1.9007264740000001</v>
      </c>
      <c r="AF175">
        <f ca="1">IFERROR(IF(0=LEN(ReferenceData!$AF$175),"",ReferenceData!$AF$175),"")</f>
        <v>1.7247672199999999</v>
      </c>
      <c r="AG175">
        <f ca="1">IFERROR(IF(0=LEN(ReferenceData!$AG$175),"",ReferenceData!$AG$175),"")</f>
        <v>1.799110639</v>
      </c>
      <c r="AH175">
        <f ca="1">IFERROR(IF(0=LEN(ReferenceData!$AH$175),"",ReferenceData!$AH$175),"")</f>
        <v>1.8184695120000001</v>
      </c>
      <c r="AI175">
        <f ca="1">IFERROR(IF(0=LEN(ReferenceData!$AI$175),"",ReferenceData!$AI$175),"")</f>
        <v>1.757376635</v>
      </c>
      <c r="AJ175">
        <f ca="1">IFERROR(IF(0=LEN(ReferenceData!$AJ$175),"",ReferenceData!$AJ$175),"")</f>
        <v>1.7184109380000001</v>
      </c>
      <c r="AK175">
        <f ca="1">IFERROR(IF(0=LEN(ReferenceData!$AK$175),"",ReferenceData!$AK$175),"")</f>
        <v>2.0554210240000002</v>
      </c>
      <c r="AL175">
        <f ca="1">IFERROR(IF(0=LEN(ReferenceData!$AL$175),"",ReferenceData!$AL$175),"")</f>
        <v>1.9443878750000001</v>
      </c>
      <c r="AM175">
        <f ca="1">IFERROR(IF(0=LEN(ReferenceData!$AM$175),"",ReferenceData!$AM$175),"")</f>
        <v>1.8852790450000001</v>
      </c>
      <c r="AN175">
        <f ca="1">IFERROR(IF(0=LEN(ReferenceData!$AN$175),"",ReferenceData!$AN$175),"")</f>
        <v>1.945909385</v>
      </c>
      <c r="AO175">
        <f ca="1">IFERROR(IF(0=LEN(ReferenceData!$AO$175),"",ReferenceData!$AO$175),"")</f>
        <v>2.0434179449999998</v>
      </c>
      <c r="AP175">
        <f ca="1">IFERROR(IF(0=LEN(ReferenceData!$AP$175),"",ReferenceData!$AP$175),"")</f>
        <v>1.853371205</v>
      </c>
      <c r="AQ175">
        <f ca="1">IFERROR(IF(0=LEN(ReferenceData!$AQ$175),"",ReferenceData!$AQ$175),"")</f>
        <v>1.483554934</v>
      </c>
      <c r="AR175">
        <f ca="1">IFERROR(IF(0=LEN(ReferenceData!$AR$175),"",ReferenceData!$AR$175),"")</f>
        <v>1.9342444889999999</v>
      </c>
      <c r="AS175">
        <f ca="1">IFERROR(IF(0=LEN(ReferenceData!$AS$175),"",ReferenceData!$AS$175),"")</f>
        <v>2.0608095660000001</v>
      </c>
      <c r="AT175">
        <f ca="1">IFERROR(IF(0=LEN(ReferenceData!$AT$175),"",ReferenceData!$AT$175),"")</f>
        <v>2.077479619</v>
      </c>
      <c r="AU175">
        <f ca="1">IFERROR(IF(0=LEN(ReferenceData!$AU$175),"",ReferenceData!$AU$175),"")</f>
        <v>1.7369270750000001</v>
      </c>
      <c r="AV175">
        <f ca="1">IFERROR(IF(0=LEN(ReferenceData!$AV$175),"",ReferenceData!$AV$175),"")</f>
        <v>2.112662442</v>
      </c>
      <c r="AW175">
        <f ca="1">IFERROR(IF(0=LEN(ReferenceData!$AW$175),"",ReferenceData!$AW$175),"")</f>
        <v>2.2068094870000001</v>
      </c>
      <c r="AX175">
        <f ca="1">IFERROR(IF(0=LEN(ReferenceData!$AX$175),"",ReferenceData!$AX$175),"")</f>
        <v>2.3546776129999998</v>
      </c>
      <c r="AY175">
        <f ca="1">IFERROR(IF(0=LEN(ReferenceData!$AY$175),"",ReferenceData!$AY$175),"")</f>
        <v>2.060576883</v>
      </c>
      <c r="AZ175">
        <f ca="1">IFERROR(IF(0=LEN(ReferenceData!$AZ$175),"",ReferenceData!$AZ$175),"")</f>
        <v>2.2114226110000001</v>
      </c>
      <c r="BA175">
        <f ca="1">IFERROR(IF(0=LEN(ReferenceData!$BA$175),"",ReferenceData!$BA$175),"")</f>
        <v>2.0734931040000002</v>
      </c>
      <c r="BB175">
        <f ca="1">IFERROR(IF(0=LEN(ReferenceData!$BB$175),"",ReferenceData!$BB$175),"")</f>
        <v>2.0922370469999998</v>
      </c>
      <c r="BC175">
        <f ca="1">IFERROR(IF(0=LEN(ReferenceData!$BC$175),"",ReferenceData!$BC$175),"")</f>
        <v>2.1671651129999998</v>
      </c>
      <c r="BD175">
        <f ca="1">IFERROR(IF(0=LEN(ReferenceData!$BD$175),"",ReferenceData!$BD$175),"")</f>
        <v>2.4013710559999999</v>
      </c>
      <c r="BE175">
        <f ca="1">IFERROR(IF(0=LEN(ReferenceData!$BE$175),"",ReferenceData!$BE$175),"")</f>
        <v>2.1702561820000001</v>
      </c>
      <c r="BF175">
        <f ca="1">IFERROR(IF(0=LEN(ReferenceData!$BF$175),"",ReferenceData!$BF$175),"")</f>
        <v>2.3693291840000001</v>
      </c>
      <c r="BG175">
        <f ca="1">IFERROR(IF(0=LEN(ReferenceData!$BG$175),"",ReferenceData!$BG$175),"")</f>
        <v>1.87491228</v>
      </c>
      <c r="BH175">
        <f ca="1">IFERROR(IF(0=LEN(ReferenceData!$BH$175),"",ReferenceData!$BH$175),"")</f>
        <v>2.340851507</v>
      </c>
      <c r="BI175">
        <f ca="1">IFERROR(IF(0=LEN(ReferenceData!$BI$175),"",ReferenceData!$BI$175),"")</f>
        <v>2.3561908709999999</v>
      </c>
      <c r="BJ175">
        <f ca="1">IFERROR(IF(0=LEN(ReferenceData!$BJ$175),"",ReferenceData!$BJ$175),"")</f>
        <v>2.2236679609999999</v>
      </c>
      <c r="BK175">
        <f ca="1">IFERROR(IF(0=LEN(ReferenceData!$BK$175),"",ReferenceData!$BK$175),"")</f>
        <v>1.4389828819999999</v>
      </c>
      <c r="BL175">
        <f ca="1">IFERROR(IF(0=LEN(ReferenceData!$BL$175),"",ReferenceData!$BL$175),"")</f>
        <v>2.5759355359999998</v>
      </c>
      <c r="BM175">
        <f ca="1">IFERROR(IF(0=LEN(ReferenceData!$BM$175),"",ReferenceData!$BM$175),"")</f>
        <v>2.5857136199999999</v>
      </c>
    </row>
    <row r="176" spans="1:65">
      <c r="A176" t="str">
        <f>IFERROR(IF(0=LEN(ReferenceData!$A$176),"",ReferenceData!$A$176),"")</f>
        <v xml:space="preserve">    Healthcare Trust of America In</v>
      </c>
      <c r="B176" t="str">
        <f>IFERROR(IF(0=LEN(ReferenceData!$B$176),"",ReferenceData!$B$176),"")</f>
        <v>HTA US Equity</v>
      </c>
      <c r="C176" t="str">
        <f>IFERROR(IF(0=LEN(ReferenceData!$C$176),"",ReferenceData!$C$176),"")</f>
        <v>RR553</v>
      </c>
      <c r="D176" t="str">
        <f>IFERROR(IF(0=LEN(ReferenceData!$D$176),"",ReferenceData!$D$176),"")</f>
        <v>EBITDA_RE_ASSET</v>
      </c>
      <c r="E176" t="str">
        <f>IFERROR(IF(0=LEN(ReferenceData!$E$176),"",ReferenceData!$E$176),"")</f>
        <v>动态</v>
      </c>
      <c r="F176" t="str">
        <f ca="1">IFERROR(IF(0=LEN(ReferenceData!$F$176),"",ReferenceData!$F$176),"")</f>
        <v/>
      </c>
      <c r="G176">
        <f ca="1">IFERROR(IF(0=LEN(ReferenceData!$G$176),"",ReferenceData!$G$176),"")</f>
        <v>1.879714769</v>
      </c>
      <c r="H176">
        <f ca="1">IFERROR(IF(0=LEN(ReferenceData!$H$176),"",ReferenceData!$H$176),"")</f>
        <v>2.0123351839999999</v>
      </c>
      <c r="I176">
        <f ca="1">IFERROR(IF(0=LEN(ReferenceData!$I$176),"",ReferenceData!$I$176),"")</f>
        <v>1.4407638780000001</v>
      </c>
      <c r="J176">
        <f ca="1">IFERROR(IF(0=LEN(ReferenceData!$J$176),"",ReferenceData!$J$176),"")</f>
        <v>2.4956518669999999</v>
      </c>
      <c r="K176">
        <f ca="1">IFERROR(IF(0=LEN(ReferenceData!$K$176),"",ReferenceData!$K$176),"")</f>
        <v>2.3453861360000001</v>
      </c>
      <c r="L176">
        <f ca="1">IFERROR(IF(0=LEN(ReferenceData!$L$176),"",ReferenceData!$L$176),"")</f>
        <v>2.4106226639999999</v>
      </c>
      <c r="M176">
        <f ca="1">IFERROR(IF(0=LEN(ReferenceData!$M$176),"",ReferenceData!$M$176),"")</f>
        <v>2.408872417</v>
      </c>
      <c r="N176">
        <f ca="1">IFERROR(IF(0=LEN(ReferenceData!$N$176),"",ReferenceData!$N$176),"")</f>
        <v>2.4416823999999999</v>
      </c>
      <c r="O176">
        <f ca="1">IFERROR(IF(0=LEN(ReferenceData!$O$176),"",ReferenceData!$O$176),"")</f>
        <v>2.4912613860000001</v>
      </c>
      <c r="P176">
        <f ca="1">IFERROR(IF(0=LEN(ReferenceData!$P$176),"",ReferenceData!$P$176),"")</f>
        <v>2.4530455529999999</v>
      </c>
      <c r="Q176">
        <f ca="1">IFERROR(IF(0=LEN(ReferenceData!$Q$176),"",ReferenceData!$Q$176),"")</f>
        <v>2.3915299430000001</v>
      </c>
      <c r="R176">
        <f ca="1">IFERROR(IF(0=LEN(ReferenceData!$R$176),"",ReferenceData!$R$176),"")</f>
        <v>2.4563924240000001</v>
      </c>
      <c r="S176">
        <f ca="1">IFERROR(IF(0=LEN(ReferenceData!$S$176),"",ReferenceData!$S$176),"")</f>
        <v>2.4502445540000002</v>
      </c>
      <c r="T176">
        <f ca="1">IFERROR(IF(0=LEN(ReferenceData!$T$176),"",ReferenceData!$T$176),"")</f>
        <v>2.445052467</v>
      </c>
      <c r="U176">
        <f ca="1">IFERROR(IF(0=LEN(ReferenceData!$U$176),"",ReferenceData!$U$176),"")</f>
        <v>2.2476702940000002</v>
      </c>
      <c r="V176">
        <f ca="1">IFERROR(IF(0=LEN(ReferenceData!$V$176),"",ReferenceData!$V$176),"")</f>
        <v>2.5317920329999999</v>
      </c>
      <c r="W176">
        <f ca="1">IFERROR(IF(0=LEN(ReferenceData!$W$176),"",ReferenceData!$W$176),"")</f>
        <v>2.324574089</v>
      </c>
      <c r="X176">
        <f ca="1">IFERROR(IF(0=LEN(ReferenceData!$X$176),"",ReferenceData!$X$176),"")</f>
        <v>2.3894255210000002</v>
      </c>
      <c r="Y176">
        <f ca="1">IFERROR(IF(0=LEN(ReferenceData!$Y$176),"",ReferenceData!$Y$176),"")</f>
        <v>2.4571725930000001</v>
      </c>
      <c r="Z176">
        <f ca="1">IFERROR(IF(0=LEN(ReferenceData!$Z$176),"",ReferenceData!$Z$176),"")</f>
        <v>2.1036451829999998</v>
      </c>
      <c r="AA176">
        <f ca="1">IFERROR(IF(0=LEN(ReferenceData!$AA$176),"",ReferenceData!$AA$176),"")</f>
        <v>2.022599263</v>
      </c>
      <c r="AB176">
        <f ca="1">IFERROR(IF(0=LEN(ReferenceData!$AB$176),"",ReferenceData!$AB$176),"")</f>
        <v>1.990801102</v>
      </c>
      <c r="AC176">
        <f ca="1">IFERROR(IF(0=LEN(ReferenceData!$AC$176),"",ReferenceData!$AC$176),"")</f>
        <v>1.4055368829999999</v>
      </c>
      <c r="AD176">
        <f ca="1">IFERROR(IF(0=LEN(ReferenceData!$AD$176),"",ReferenceData!$AD$176),"")</f>
        <v>1.829986769</v>
      </c>
      <c r="AE176">
        <f ca="1">IFERROR(IF(0=LEN(ReferenceData!$AE$176),"",ReferenceData!$AE$176),"")</f>
        <v>1.58841802</v>
      </c>
      <c r="AF176">
        <f ca="1">IFERROR(IF(0=LEN(ReferenceData!$AF$176),"",ReferenceData!$AF$176),"")</f>
        <v>1.895195422</v>
      </c>
      <c r="AG176">
        <f ca="1">IFERROR(IF(0=LEN(ReferenceData!$AG$176),"",ReferenceData!$AG$176),"")</f>
        <v>2.1675624359999999</v>
      </c>
      <c r="AH176">
        <f ca="1">IFERROR(IF(0=LEN(ReferenceData!$AH$176),"",ReferenceData!$AH$176),"")</f>
        <v>1.9214717729999999</v>
      </c>
      <c r="AI176">
        <f ca="1">IFERROR(IF(0=LEN(ReferenceData!$AI$176),"",ReferenceData!$AI$176),"")</f>
        <v>1.3800440869999999</v>
      </c>
      <c r="AJ176">
        <f ca="1">IFERROR(IF(0=LEN(ReferenceData!$AJ$176),"",ReferenceData!$AJ$176),"")</f>
        <v>1.8579857930000001</v>
      </c>
      <c r="AK176">
        <f ca="1">IFERROR(IF(0=LEN(ReferenceData!$AK$176),"",ReferenceData!$AK$176),"")</f>
        <v>1.374554724</v>
      </c>
      <c r="AL176">
        <f ca="1">IFERROR(IF(0=LEN(ReferenceData!$AL$176),"",ReferenceData!$AL$176),"")</f>
        <v>2.0093910570000002</v>
      </c>
      <c r="AM176" t="str">
        <f ca="1">IFERROR(IF(0=LEN(ReferenceData!$AM$176),"",ReferenceData!$AM$176),"")</f>
        <v/>
      </c>
      <c r="AN176" t="str">
        <f ca="1">IFERROR(IF(0=LEN(ReferenceData!$AN$176),"",ReferenceData!$AN$176),"")</f>
        <v/>
      </c>
      <c r="AO176" t="str">
        <f ca="1">IFERROR(IF(0=LEN(ReferenceData!$AO$176),"",ReferenceData!$AO$176),"")</f>
        <v/>
      </c>
      <c r="AP176" t="str">
        <f ca="1">IFERROR(IF(0=LEN(ReferenceData!$AP$176),"",ReferenceData!$AP$176),"")</f>
        <v/>
      </c>
      <c r="AQ176" t="str">
        <f ca="1">IFERROR(IF(0=LEN(ReferenceData!$AQ$176),"",ReferenceData!$AQ$176),"")</f>
        <v/>
      </c>
      <c r="AR176" t="str">
        <f ca="1">IFERROR(IF(0=LEN(ReferenceData!$AR$176),"",ReferenceData!$AR$176),"")</f>
        <v/>
      </c>
      <c r="AS176" t="str">
        <f ca="1">IFERROR(IF(0=LEN(ReferenceData!$AS$176),"",ReferenceData!$AS$176),"")</f>
        <v/>
      </c>
      <c r="AT176" t="str">
        <f ca="1">IFERROR(IF(0=LEN(ReferenceData!$AT$176),"",ReferenceData!$AT$176),"")</f>
        <v/>
      </c>
      <c r="AU176" t="str">
        <f ca="1">IFERROR(IF(0=LEN(ReferenceData!$AU$176),"",ReferenceData!$AU$176),"")</f>
        <v/>
      </c>
      <c r="AV176" t="str">
        <f ca="1">IFERROR(IF(0=LEN(ReferenceData!$AV$176),"",ReferenceData!$AV$176),"")</f>
        <v/>
      </c>
      <c r="AW176" t="str">
        <f ca="1">IFERROR(IF(0=LEN(ReferenceData!$AW$176),"",ReferenceData!$AW$176),"")</f>
        <v/>
      </c>
      <c r="AX176" t="str">
        <f ca="1">IFERROR(IF(0=LEN(ReferenceData!$AX$176),"",ReferenceData!$AX$176),"")</f>
        <v/>
      </c>
      <c r="AY176" t="str">
        <f ca="1">IFERROR(IF(0=LEN(ReferenceData!$AY$176),"",ReferenceData!$AY$176),"")</f>
        <v/>
      </c>
      <c r="AZ176" t="str">
        <f ca="1">IFERROR(IF(0=LEN(ReferenceData!$AZ$176),"",ReferenceData!$AZ$176),"")</f>
        <v/>
      </c>
      <c r="BA176" t="str">
        <f ca="1">IFERROR(IF(0=LEN(ReferenceData!$BA$176),"",ReferenceData!$BA$176),"")</f>
        <v/>
      </c>
      <c r="BB176" t="str">
        <f ca="1">IFERROR(IF(0=LEN(ReferenceData!$BB$176),"",ReferenceData!$BB$176),"")</f>
        <v/>
      </c>
      <c r="BC176" t="str">
        <f ca="1">IFERROR(IF(0=LEN(ReferenceData!$BC$176),"",ReferenceData!$BC$176),"")</f>
        <v/>
      </c>
      <c r="BD176" t="str">
        <f ca="1">IFERROR(IF(0=LEN(ReferenceData!$BD$176),"",ReferenceData!$BD$176),"")</f>
        <v/>
      </c>
      <c r="BE176" t="str">
        <f ca="1">IFERROR(IF(0=LEN(ReferenceData!$BE$176),"",ReferenceData!$BE$176),"")</f>
        <v/>
      </c>
      <c r="BF176" t="str">
        <f ca="1">IFERROR(IF(0=LEN(ReferenceData!$BF$176),"",ReferenceData!$BF$176),"")</f>
        <v/>
      </c>
      <c r="BG176" t="str">
        <f ca="1">IFERROR(IF(0=LEN(ReferenceData!$BG$176),"",ReferenceData!$BG$176),"")</f>
        <v/>
      </c>
      <c r="BH176" t="str">
        <f ca="1">IFERROR(IF(0=LEN(ReferenceData!$BH$176),"",ReferenceData!$BH$176),"")</f>
        <v/>
      </c>
      <c r="BI176" t="str">
        <f ca="1">IFERROR(IF(0=LEN(ReferenceData!$BI$176),"",ReferenceData!$BI$176),"")</f>
        <v/>
      </c>
      <c r="BJ176" t="str">
        <f ca="1">IFERROR(IF(0=LEN(ReferenceData!$BJ$176),"",ReferenceData!$BJ$176),"")</f>
        <v/>
      </c>
      <c r="BK176" t="str">
        <f ca="1">IFERROR(IF(0=LEN(ReferenceData!$BK$176),"",ReferenceData!$BK$176),"")</f>
        <v/>
      </c>
      <c r="BL176" t="str">
        <f ca="1">IFERROR(IF(0=LEN(ReferenceData!$BL$176),"",ReferenceData!$BL$176),"")</f>
        <v/>
      </c>
      <c r="BM176" t="str">
        <f ca="1">IFERROR(IF(0=LEN(ReferenceData!$BM$176),"",ReferenceData!$BM$176),"")</f>
        <v/>
      </c>
    </row>
    <row r="177" spans="1:65">
      <c r="A177" t="str">
        <f>IFERROR(IF(0=LEN(ReferenceData!$A$177),"",ReferenceData!$A$177),"")</f>
        <v xml:space="preserve">    Medical Properties Trust Inc</v>
      </c>
      <c r="B177" t="str">
        <f>IFERROR(IF(0=LEN(ReferenceData!$B$177),"",ReferenceData!$B$177),"")</f>
        <v>MPW US Equity</v>
      </c>
      <c r="C177" t="str">
        <f>IFERROR(IF(0=LEN(ReferenceData!$C$177),"",ReferenceData!$C$177),"")</f>
        <v>RR553</v>
      </c>
      <c r="D177" t="str">
        <f>IFERROR(IF(0=LEN(ReferenceData!$D$177),"",ReferenceData!$D$177),"")</f>
        <v>EBITDA_RE_ASSET</v>
      </c>
      <c r="E177" t="str">
        <f>IFERROR(IF(0=LEN(ReferenceData!$E$177),"",ReferenceData!$E$177),"")</f>
        <v>动态</v>
      </c>
      <c r="F177" t="str">
        <f ca="1">IFERROR(IF(0=LEN(ReferenceData!$F$177),"",ReferenceData!$F$177),"")</f>
        <v/>
      </c>
      <c r="G177">
        <f ca="1">IFERROR(IF(0=LEN(ReferenceData!$G$177),"",ReferenceData!$G$177),"")</f>
        <v>2.4094782299999999</v>
      </c>
      <c r="H177">
        <f ca="1">IFERROR(IF(0=LEN(ReferenceData!$H$177),"",ReferenceData!$H$177),"")</f>
        <v>1.970511313</v>
      </c>
      <c r="I177">
        <f ca="1">IFERROR(IF(0=LEN(ReferenceData!$I$177),"",ReferenceData!$I$177),"")</f>
        <v>2.2238015949999999</v>
      </c>
      <c r="J177">
        <f ca="1">IFERROR(IF(0=LEN(ReferenceData!$J$177),"",ReferenceData!$J$177),"")</f>
        <v>2.4777899479999999</v>
      </c>
      <c r="K177">
        <f ca="1">IFERROR(IF(0=LEN(ReferenceData!$K$177),"",ReferenceData!$K$177),"")</f>
        <v>1.8612535240000001</v>
      </c>
      <c r="L177">
        <f ca="1">IFERROR(IF(0=LEN(ReferenceData!$L$177),"",ReferenceData!$L$177),"")</f>
        <v>2.5350868919999998</v>
      </c>
      <c r="M177">
        <f ca="1">IFERROR(IF(0=LEN(ReferenceData!$M$177),"",ReferenceData!$M$177),"")</f>
        <v>2.347030347</v>
      </c>
      <c r="N177">
        <f ca="1">IFERROR(IF(0=LEN(ReferenceData!$N$177),"",ReferenceData!$N$177),"")</f>
        <v>2.7586500900000002</v>
      </c>
      <c r="O177">
        <f ca="1">IFERROR(IF(0=LEN(ReferenceData!$O$177),"",ReferenceData!$O$177),"")</f>
        <v>2.7652946530000002</v>
      </c>
      <c r="P177">
        <f ca="1">IFERROR(IF(0=LEN(ReferenceData!$P$177),"",ReferenceData!$P$177),"")</f>
        <v>1.787019318</v>
      </c>
      <c r="Q177">
        <f ca="1">IFERROR(IF(0=LEN(ReferenceData!$Q$177),"",ReferenceData!$Q$177),"")</f>
        <v>1.8739856050000001</v>
      </c>
      <c r="R177">
        <f ca="1">IFERROR(IF(0=LEN(ReferenceData!$R$177),"",ReferenceData!$R$177),"")</f>
        <v>2.660355257</v>
      </c>
      <c r="S177">
        <f ca="1">IFERROR(IF(0=LEN(ReferenceData!$S$177),"",ReferenceData!$S$177),"")</f>
        <v>1.9296201449999999</v>
      </c>
      <c r="T177">
        <f ca="1">IFERROR(IF(0=LEN(ReferenceData!$T$177),"",ReferenceData!$T$177),"")</f>
        <v>2.4839673329999998</v>
      </c>
      <c r="U177">
        <f ca="1">IFERROR(IF(0=LEN(ReferenceData!$U$177),"",ReferenceData!$U$177),"")</f>
        <v>1.3693818120000001</v>
      </c>
      <c r="V177">
        <f ca="1">IFERROR(IF(0=LEN(ReferenceData!$V$177),"",ReferenceData!$V$177),"")</f>
        <v>1.604364643</v>
      </c>
      <c r="W177">
        <f ca="1">IFERROR(IF(0=LEN(ReferenceData!$W$177),"",ReferenceData!$W$177),"")</f>
        <v>1.867533509</v>
      </c>
      <c r="X177">
        <f ca="1">IFERROR(IF(0=LEN(ReferenceData!$X$177),"",ReferenceData!$X$177),"")</f>
        <v>2.2237253629999998</v>
      </c>
      <c r="Y177">
        <f ca="1">IFERROR(IF(0=LEN(ReferenceData!$Y$177),"",ReferenceData!$Y$177),"")</f>
        <v>2.4886802170000002</v>
      </c>
      <c r="Z177">
        <f ca="1">IFERROR(IF(0=LEN(ReferenceData!$Z$177),"",ReferenceData!$Z$177),"")</f>
        <v>2.685120972</v>
      </c>
      <c r="AA177">
        <f ca="1">IFERROR(IF(0=LEN(ReferenceData!$AA$177),"",ReferenceData!$AA$177),"")</f>
        <v>2.6909428719999999</v>
      </c>
      <c r="AB177">
        <f ca="1">IFERROR(IF(0=LEN(ReferenceData!$AB$177),"",ReferenceData!$AB$177),"")</f>
        <v>2.5046643780000002</v>
      </c>
      <c r="AC177">
        <f ca="1">IFERROR(IF(0=LEN(ReferenceData!$AC$177),"",ReferenceData!$AC$177),"")</f>
        <v>2.5911257010000002</v>
      </c>
      <c r="AD177">
        <f ca="1">IFERROR(IF(0=LEN(ReferenceData!$AD$177),"",ReferenceData!$AD$177),"")</f>
        <v>1.8737455460000001</v>
      </c>
      <c r="AE177">
        <f ca="1">IFERROR(IF(0=LEN(ReferenceData!$AE$177),"",ReferenceData!$AE$177),"")</f>
        <v>2.1688502430000001</v>
      </c>
      <c r="AF177">
        <f ca="1">IFERROR(IF(0=LEN(ReferenceData!$AF$177),"",ReferenceData!$AF$177),"")</f>
        <v>2.19505851</v>
      </c>
      <c r="AG177">
        <f ca="1">IFERROR(IF(0=LEN(ReferenceData!$AG$177),"",ReferenceData!$AG$177),"")</f>
        <v>2.0290661069999998</v>
      </c>
      <c r="AH177">
        <f ca="1">IFERROR(IF(0=LEN(ReferenceData!$AH$177),"",ReferenceData!$AH$177),"")</f>
        <v>1.984555286</v>
      </c>
      <c r="AI177">
        <f ca="1">IFERROR(IF(0=LEN(ReferenceData!$AI$177),"",ReferenceData!$AI$177),"")</f>
        <v>2.0493155019999998</v>
      </c>
      <c r="AJ177">
        <f ca="1">IFERROR(IF(0=LEN(ReferenceData!$AJ$177),"",ReferenceData!$AJ$177),"")</f>
        <v>1.8868747100000001</v>
      </c>
      <c r="AK177">
        <f ca="1">IFERROR(IF(0=LEN(ReferenceData!$AK$177),"",ReferenceData!$AK$177),"")</f>
        <v>1.7540495599999999</v>
      </c>
      <c r="AL177">
        <f ca="1">IFERROR(IF(0=LEN(ReferenceData!$AL$177),"",ReferenceData!$AL$177),"")</f>
        <v>1.0815434450000001</v>
      </c>
      <c r="AM177">
        <f ca="1">IFERROR(IF(0=LEN(ReferenceData!$AM$177),"",ReferenceData!$AM$177),"")</f>
        <v>2.3536854950000001</v>
      </c>
      <c r="AN177">
        <f ca="1">IFERROR(IF(0=LEN(ReferenceData!$AN$177),"",ReferenceData!$AN$177),"")</f>
        <v>2.3148152259999999</v>
      </c>
      <c r="AO177">
        <f ca="1">IFERROR(IF(0=LEN(ReferenceData!$AO$177),"",ReferenceData!$AO$177),"")</f>
        <v>2.0487732329999999</v>
      </c>
      <c r="AP177">
        <f ca="1">IFERROR(IF(0=LEN(ReferenceData!$AP$177),"",ReferenceData!$AP$177),"")</f>
        <v>2.0436562550000001</v>
      </c>
      <c r="AQ177">
        <f ca="1">IFERROR(IF(0=LEN(ReferenceData!$AQ$177),"",ReferenceData!$AQ$177),"")</f>
        <v>1.7541062709999999</v>
      </c>
      <c r="AR177">
        <f ca="1">IFERROR(IF(0=LEN(ReferenceData!$AR$177),"",ReferenceData!$AR$177),"")</f>
        <v>2.3341625920000002</v>
      </c>
      <c r="AS177">
        <f ca="1">IFERROR(IF(0=LEN(ReferenceData!$AS$177),"",ReferenceData!$AS$177),"")</f>
        <v>2.487780442</v>
      </c>
      <c r="AT177">
        <f ca="1">IFERROR(IF(0=LEN(ReferenceData!$AT$177),"",ReferenceData!$AT$177),"")</f>
        <v>2.378774774</v>
      </c>
      <c r="AU177">
        <f ca="1">IFERROR(IF(0=LEN(ReferenceData!$AU$177),"",ReferenceData!$AU$177),"")</f>
        <v>2.6116888359999999</v>
      </c>
      <c r="AV177">
        <f ca="1">IFERROR(IF(0=LEN(ReferenceData!$AV$177),"",ReferenceData!$AV$177),"")</f>
        <v>2.2156065250000001</v>
      </c>
      <c r="AW177">
        <f ca="1">IFERROR(IF(0=LEN(ReferenceData!$AW$177),"",ReferenceData!$AW$177),"")</f>
        <v>2.544731386</v>
      </c>
      <c r="AX177">
        <f ca="1">IFERROR(IF(0=LEN(ReferenceData!$AX$177),"",ReferenceData!$AX$177),"")</f>
        <v>1.6332175410000001</v>
      </c>
      <c r="AY177">
        <f ca="1">IFERROR(IF(0=LEN(ReferenceData!$AY$177),"",ReferenceData!$AY$177),"")</f>
        <v>2.2189127119999998</v>
      </c>
      <c r="AZ177">
        <f ca="1">IFERROR(IF(0=LEN(ReferenceData!$AZ$177),"",ReferenceData!$AZ$177),"")</f>
        <v>1.960264333</v>
      </c>
      <c r="BA177">
        <f ca="1">IFERROR(IF(0=LEN(ReferenceData!$BA$177),"",ReferenceData!$BA$177),"")</f>
        <v>1.8778981889999999</v>
      </c>
      <c r="BB177">
        <f ca="1">IFERROR(IF(0=LEN(ReferenceData!$BB$177),"",ReferenceData!$BB$177),"")</f>
        <v>2.0014632689999998</v>
      </c>
      <c r="BC177">
        <f ca="1">IFERROR(IF(0=LEN(ReferenceData!$BC$177),"",ReferenceData!$BC$177),"")</f>
        <v>1.9669369919999999</v>
      </c>
      <c r="BD177">
        <f ca="1">IFERROR(IF(0=LEN(ReferenceData!$BD$177),"",ReferenceData!$BD$177),"")</f>
        <v>2.1088707680000001</v>
      </c>
      <c r="BE177">
        <f ca="1">IFERROR(IF(0=LEN(ReferenceData!$BE$177),"",ReferenceData!$BE$177),"")</f>
        <v>2.1959653119999998</v>
      </c>
      <c r="BF177">
        <f ca="1">IFERROR(IF(0=LEN(ReferenceData!$BF$177),"",ReferenceData!$BF$177),"")</f>
        <v>2.2151720849999998</v>
      </c>
      <c r="BG177" t="str">
        <f ca="1">IFERROR(IF(0=LEN(ReferenceData!$BG$177),"",ReferenceData!$BG$177),"")</f>
        <v/>
      </c>
      <c r="BH177" t="str">
        <f ca="1">IFERROR(IF(0=LEN(ReferenceData!$BH$177),"",ReferenceData!$BH$177),"")</f>
        <v/>
      </c>
      <c r="BI177" t="str">
        <f ca="1">IFERROR(IF(0=LEN(ReferenceData!$BI$177),"",ReferenceData!$BI$177),"")</f>
        <v/>
      </c>
      <c r="BJ177" t="str">
        <f ca="1">IFERROR(IF(0=LEN(ReferenceData!$BJ$177),"",ReferenceData!$BJ$177),"")</f>
        <v/>
      </c>
      <c r="BK177" t="str">
        <f ca="1">IFERROR(IF(0=LEN(ReferenceData!$BK$177),"",ReferenceData!$BK$177),"")</f>
        <v/>
      </c>
      <c r="BL177" t="str">
        <f ca="1">IFERROR(IF(0=LEN(ReferenceData!$BL$177),"",ReferenceData!$BL$177),"")</f>
        <v/>
      </c>
      <c r="BM177" t="str">
        <f ca="1">IFERROR(IF(0=LEN(ReferenceData!$BM$177),"",ReferenceData!$BM$177),"")</f>
        <v/>
      </c>
    </row>
    <row r="178" spans="1:65">
      <c r="A178" t="str">
        <f>IFERROR(IF(0=LEN(ReferenceData!$A$178),"",ReferenceData!$A$178),"")</f>
        <v xml:space="preserve">    Omega Healthcare Investors Inc</v>
      </c>
      <c r="B178" t="str">
        <f>IFERROR(IF(0=LEN(ReferenceData!$B$178),"",ReferenceData!$B$178),"")</f>
        <v>OHI US Equity</v>
      </c>
      <c r="C178" t="str">
        <f>IFERROR(IF(0=LEN(ReferenceData!$C$178),"",ReferenceData!$C$178),"")</f>
        <v>RR553</v>
      </c>
      <c r="D178" t="str">
        <f>IFERROR(IF(0=LEN(ReferenceData!$D$178),"",ReferenceData!$D$178),"")</f>
        <v>EBITDA_RE_ASSET</v>
      </c>
      <c r="E178" t="str">
        <f>IFERROR(IF(0=LEN(ReferenceData!$E$178),"",ReferenceData!$E$178),"")</f>
        <v>动态</v>
      </c>
      <c r="F178" t="str">
        <f ca="1">IFERROR(IF(0=LEN(ReferenceData!$F$178),"",ReferenceData!$F$178),"")</f>
        <v/>
      </c>
      <c r="G178">
        <f ca="1">IFERROR(IF(0=LEN(ReferenceData!$G$178),"",ReferenceData!$G$178),"")</f>
        <v>1.96579226</v>
      </c>
      <c r="H178">
        <f ca="1">IFERROR(IF(0=LEN(ReferenceData!$H$178),"",ReferenceData!$H$178),"")</f>
        <v>-0.21429626800000001</v>
      </c>
      <c r="I178">
        <f ca="1">IFERROR(IF(0=LEN(ReferenceData!$I$178),"",ReferenceData!$I$178),"")</f>
        <v>2.7645702879999998</v>
      </c>
      <c r="J178">
        <f ca="1">IFERROR(IF(0=LEN(ReferenceData!$J$178),"",ReferenceData!$J$178),"")</f>
        <v>2.7655426699999999</v>
      </c>
      <c r="K178">
        <f ca="1">IFERROR(IF(0=LEN(ReferenceData!$K$178),"",ReferenceData!$K$178),"")</f>
        <v>2.8552487439999998</v>
      </c>
      <c r="L178">
        <f ca="1">IFERROR(IF(0=LEN(ReferenceData!$L$178),"",ReferenceData!$L$178),"")</f>
        <v>2.5246506289999999</v>
      </c>
      <c r="M178">
        <f ca="1">IFERROR(IF(0=LEN(ReferenceData!$M$178),"",ReferenceData!$M$178),"")</f>
        <v>2.8167282060000001</v>
      </c>
      <c r="N178">
        <f ca="1">IFERROR(IF(0=LEN(ReferenceData!$N$178),"",ReferenceData!$N$178),"")</f>
        <v>2.185730816</v>
      </c>
      <c r="O178">
        <f ca="1">IFERROR(IF(0=LEN(ReferenceData!$O$178),"",ReferenceData!$O$178),"")</f>
        <v>2.657049808</v>
      </c>
      <c r="P178">
        <f ca="1">IFERROR(IF(0=LEN(ReferenceData!$P$178),"",ReferenceData!$P$178),"")</f>
        <v>2.65148786</v>
      </c>
      <c r="Q178">
        <f ca="1">IFERROR(IF(0=LEN(ReferenceData!$Q$178),"",ReferenceData!$Q$178),"")</f>
        <v>1.94232513</v>
      </c>
      <c r="R178">
        <f ca="1">IFERROR(IF(0=LEN(ReferenceData!$R$178),"",ReferenceData!$R$178),"")</f>
        <v>3.2627529750000002</v>
      </c>
      <c r="S178">
        <f ca="1">IFERROR(IF(0=LEN(ReferenceData!$S$178),"",ReferenceData!$S$178),"")</f>
        <v>3.3619139109999998</v>
      </c>
      <c r="T178">
        <f ca="1">IFERROR(IF(0=LEN(ReferenceData!$T$178),"",ReferenceData!$T$178),"")</f>
        <v>3.4620356769999998</v>
      </c>
      <c r="U178">
        <f ca="1">IFERROR(IF(0=LEN(ReferenceData!$U$178),"",ReferenceData!$U$178),"")</f>
        <v>3.136703829</v>
      </c>
      <c r="V178">
        <f ca="1">IFERROR(IF(0=LEN(ReferenceData!$V$178),"",ReferenceData!$V$178),"")</f>
        <v>3.5155024670000001</v>
      </c>
      <c r="W178">
        <f ca="1">IFERROR(IF(0=LEN(ReferenceData!$W$178),"",ReferenceData!$W$178),"")</f>
        <v>3.3324934389999998</v>
      </c>
      <c r="X178">
        <f ca="1">IFERROR(IF(0=LEN(ReferenceData!$X$178),"",ReferenceData!$X$178),"")</f>
        <v>3.637747702</v>
      </c>
      <c r="Y178">
        <f ca="1">IFERROR(IF(0=LEN(ReferenceData!$Y$178),"",ReferenceData!$Y$178),"")</f>
        <v>3.6600313390000001</v>
      </c>
      <c r="Z178">
        <f ca="1">IFERROR(IF(0=LEN(ReferenceData!$Z$178),"",ReferenceData!$Z$178),"")</f>
        <v>3.6047870440000001</v>
      </c>
      <c r="AA178">
        <f ca="1">IFERROR(IF(0=LEN(ReferenceData!$AA$178),"",ReferenceData!$AA$178),"")</f>
        <v>3.3043594989999998</v>
      </c>
      <c r="AB178">
        <f ca="1">IFERROR(IF(0=LEN(ReferenceData!$AB$178),"",ReferenceData!$AB$178),"")</f>
        <v>3.2825256249999999</v>
      </c>
      <c r="AC178">
        <f ca="1">IFERROR(IF(0=LEN(ReferenceData!$AC$178),"",ReferenceData!$AC$178),"")</f>
        <v>3.4515303450000001</v>
      </c>
      <c r="AD178">
        <f ca="1">IFERROR(IF(0=LEN(ReferenceData!$AD$178),"",ReferenceData!$AD$178),"")</f>
        <v>3.4561075400000001</v>
      </c>
      <c r="AE178">
        <f ca="1">IFERROR(IF(0=LEN(ReferenceData!$AE$178),"",ReferenceData!$AE$178),"")</f>
        <v>2.8863563609999998</v>
      </c>
      <c r="AF178">
        <f ca="1">IFERROR(IF(0=LEN(ReferenceData!$AF$178),"",ReferenceData!$AF$178),"")</f>
        <v>3.3887461679999999</v>
      </c>
      <c r="AG178">
        <f ca="1">IFERROR(IF(0=LEN(ReferenceData!$AG$178),"",ReferenceData!$AG$178),"")</f>
        <v>3.1153800729999999</v>
      </c>
      <c r="AH178">
        <f ca="1">IFERROR(IF(0=LEN(ReferenceData!$AH$178),"",ReferenceData!$AH$178),"")</f>
        <v>1.9512204639999999</v>
      </c>
      <c r="AI178">
        <f ca="1">IFERROR(IF(0=LEN(ReferenceData!$AI$178),"",ReferenceData!$AI$178),"")</f>
        <v>3.2278656890000001</v>
      </c>
      <c r="AJ178">
        <f ca="1">IFERROR(IF(0=LEN(ReferenceData!$AJ$178),"",ReferenceData!$AJ$178),"")</f>
        <v>3.1039356119999999</v>
      </c>
      <c r="AK178">
        <f ca="1">IFERROR(IF(0=LEN(ReferenceData!$AK$178),"",ReferenceData!$AK$178),"")</f>
        <v>2.4264230709999999</v>
      </c>
      <c r="AL178">
        <f ca="1">IFERROR(IF(0=LEN(ReferenceData!$AL$178),"",ReferenceData!$AL$178),"")</f>
        <v>3.4192460699999998</v>
      </c>
      <c r="AM178">
        <f ca="1">IFERROR(IF(0=LEN(ReferenceData!$AM$178),"",ReferenceData!$AM$178),"")</f>
        <v>2.5340911020000001</v>
      </c>
      <c r="AN178">
        <f ca="1">IFERROR(IF(0=LEN(ReferenceData!$AN$178),"",ReferenceData!$AN$178),"")</f>
        <v>3.5034885060000001</v>
      </c>
      <c r="AO178">
        <f ca="1">IFERROR(IF(0=LEN(ReferenceData!$AO$178),"",ReferenceData!$AO$178),"")</f>
        <v>3.3627125840000001</v>
      </c>
      <c r="AP178">
        <f ca="1">IFERROR(IF(0=LEN(ReferenceData!$AP$178),"",ReferenceData!$AP$178),"")</f>
        <v>3.3449949550000002</v>
      </c>
      <c r="AQ178">
        <f ca="1">IFERROR(IF(0=LEN(ReferenceData!$AQ$178),"",ReferenceData!$AQ$178),"")</f>
        <v>3.2517348780000002</v>
      </c>
      <c r="AR178">
        <f ca="1">IFERROR(IF(0=LEN(ReferenceData!$AR$178),"",ReferenceData!$AR$178),"")</f>
        <v>2.9899446909999998</v>
      </c>
      <c r="AS178">
        <f ca="1">IFERROR(IF(0=LEN(ReferenceData!$AS$178),"",ReferenceData!$AS$178),"")</f>
        <v>3.0527301929999999</v>
      </c>
      <c r="AT178">
        <f ca="1">IFERROR(IF(0=LEN(ReferenceData!$AT$178),"",ReferenceData!$AT$178),"")</f>
        <v>3.5424983710000002</v>
      </c>
      <c r="AU178">
        <f ca="1">IFERROR(IF(0=LEN(ReferenceData!$AU$178),"",ReferenceData!$AU$178),"")</f>
        <v>3.5146929390000001</v>
      </c>
      <c r="AV178">
        <f ca="1">IFERROR(IF(0=LEN(ReferenceData!$AV$178),"",ReferenceData!$AV$178),"")</f>
        <v>3.3421114279999999</v>
      </c>
      <c r="AW178">
        <f ca="1">IFERROR(IF(0=LEN(ReferenceData!$AW$178),"",ReferenceData!$AW$178),"")</f>
        <v>3.3161004639999998</v>
      </c>
      <c r="AX178">
        <f ca="1">IFERROR(IF(0=LEN(ReferenceData!$AX$178),"",ReferenceData!$AX$178),"")</f>
        <v>3.734282184</v>
      </c>
      <c r="AY178">
        <f ca="1">IFERROR(IF(0=LEN(ReferenceData!$AY$178),"",ReferenceData!$AY$178),"")</f>
        <v>4.2761201</v>
      </c>
      <c r="AZ178">
        <f ca="1">IFERROR(IF(0=LEN(ReferenceData!$AZ$178),"",ReferenceData!$AZ$178),"")</f>
        <v>1.828779846</v>
      </c>
      <c r="BA178">
        <f ca="1">IFERROR(IF(0=LEN(ReferenceData!$BA$178),"",ReferenceData!$BA$178),"")</f>
        <v>3.2695058650000002</v>
      </c>
      <c r="BB178">
        <f ca="1">IFERROR(IF(0=LEN(ReferenceData!$BB$178),"",ReferenceData!$BB$178),"")</f>
        <v>3.191304116</v>
      </c>
      <c r="BC178">
        <f ca="1">IFERROR(IF(0=LEN(ReferenceData!$BC$178),"",ReferenceData!$BC$178),"")</f>
        <v>3.0685459129999999</v>
      </c>
      <c r="BD178">
        <f ca="1">IFERROR(IF(0=LEN(ReferenceData!$BD$178),"",ReferenceData!$BD$178),"")</f>
        <v>3.2977971789999998</v>
      </c>
      <c r="BE178">
        <f ca="1">IFERROR(IF(0=LEN(ReferenceData!$BE$178),"",ReferenceData!$BE$178),"")</f>
        <v>2.9378598509999998</v>
      </c>
      <c r="BF178">
        <f ca="1">IFERROR(IF(0=LEN(ReferenceData!$BF$178),"",ReferenceData!$BF$178),"")</f>
        <v>3.3516467699999999</v>
      </c>
      <c r="BG178">
        <f ca="1">IFERROR(IF(0=LEN(ReferenceData!$BG$178),"",ReferenceData!$BG$178),"")</f>
        <v>2.3037737969999998</v>
      </c>
      <c r="BH178">
        <f ca="1">IFERROR(IF(0=LEN(ReferenceData!$BH$178),"",ReferenceData!$BH$178),"")</f>
        <v>2.9759383069999998</v>
      </c>
      <c r="BI178">
        <f ca="1">IFERROR(IF(0=LEN(ReferenceData!$BI$178),"",ReferenceData!$BI$178),"")</f>
        <v>2.9104351670000002</v>
      </c>
      <c r="BJ178">
        <f ca="1">IFERROR(IF(0=LEN(ReferenceData!$BJ$178),"",ReferenceData!$BJ$178),"")</f>
        <v>2.9209123419999998</v>
      </c>
      <c r="BK178">
        <f ca="1">IFERROR(IF(0=LEN(ReferenceData!$BK$178),"",ReferenceData!$BK$178),"")</f>
        <v>2.8213485870000001</v>
      </c>
      <c r="BL178">
        <f ca="1">IFERROR(IF(0=LEN(ReferenceData!$BL$178),"",ReferenceData!$BL$178),"")</f>
        <v>3.6136883829999999</v>
      </c>
      <c r="BM178">
        <f ca="1">IFERROR(IF(0=LEN(ReferenceData!$BM$178),"",ReferenceData!$BM$178),"")</f>
        <v>2.5797291580000001</v>
      </c>
    </row>
    <row r="179" spans="1:65">
      <c r="A179" t="str">
        <f>IFERROR(IF(0=LEN(ReferenceData!$A$179),"",ReferenceData!$A$179),"")</f>
        <v xml:space="preserve">    Sabra Health Care REIT Inc</v>
      </c>
      <c r="B179" t="str">
        <f>IFERROR(IF(0=LEN(ReferenceData!$B$179),"",ReferenceData!$B$179),"")</f>
        <v>SBRA US Equity</v>
      </c>
      <c r="C179" t="str">
        <f>IFERROR(IF(0=LEN(ReferenceData!$C$179),"",ReferenceData!$C$179),"")</f>
        <v>RR553</v>
      </c>
      <c r="D179" t="str">
        <f>IFERROR(IF(0=LEN(ReferenceData!$D$179),"",ReferenceData!$D$179),"")</f>
        <v>EBITDA_RE_ASSET</v>
      </c>
      <c r="E179" t="str">
        <f>IFERROR(IF(0=LEN(ReferenceData!$E$179),"",ReferenceData!$E$179),"")</f>
        <v>动态</v>
      </c>
      <c r="F179" t="str">
        <f ca="1">IFERROR(IF(0=LEN(ReferenceData!$F$179),"",ReferenceData!$F$179),"")</f>
        <v/>
      </c>
      <c r="G179">
        <f ca="1">IFERROR(IF(0=LEN(ReferenceData!$G$179),"",ReferenceData!$G$179),"")</f>
        <v>2.3489965349999999</v>
      </c>
      <c r="H179">
        <f ca="1">IFERROR(IF(0=LEN(ReferenceData!$H$179),"",ReferenceData!$H$179),"")</f>
        <v>1.093208612</v>
      </c>
      <c r="I179">
        <f ca="1">IFERROR(IF(0=LEN(ReferenceData!$I$179),"",ReferenceData!$I$179),"")</f>
        <v>2.4372329229999998</v>
      </c>
      <c r="J179">
        <f ca="1">IFERROR(IF(0=LEN(ReferenceData!$J$179),"",ReferenceData!$J$179),"")</f>
        <v>2.587640801</v>
      </c>
      <c r="K179">
        <f ca="1">IFERROR(IF(0=LEN(ReferenceData!$K$179),"",ReferenceData!$K$179),"")</f>
        <v>2.6712253459999999</v>
      </c>
      <c r="L179">
        <f ca="1">IFERROR(IF(0=LEN(ReferenceData!$L$179),"",ReferenceData!$L$179),"")</f>
        <v>2.69089869</v>
      </c>
      <c r="M179">
        <f ca="1">IFERROR(IF(0=LEN(ReferenceData!$M$179),"",ReferenceData!$M$179),"")</f>
        <v>3.5600762210000001</v>
      </c>
      <c r="N179">
        <f ca="1">IFERROR(IF(0=LEN(ReferenceData!$N$179),"",ReferenceData!$N$179),"")</f>
        <v>1.252694575</v>
      </c>
      <c r="O179">
        <f ca="1">IFERROR(IF(0=LEN(ReferenceData!$O$179),"",ReferenceData!$O$179),"")</f>
        <v>2.68707443</v>
      </c>
      <c r="P179">
        <f ca="1">IFERROR(IF(0=LEN(ReferenceData!$P$179),"",ReferenceData!$P$179),"")</f>
        <v>2.7069798390000002</v>
      </c>
      <c r="Q179">
        <f ca="1">IFERROR(IF(0=LEN(ReferenceData!$Q$179),"",ReferenceData!$Q$179),"")</f>
        <v>2.2624520960000001</v>
      </c>
      <c r="R179">
        <f ca="1">IFERROR(IF(0=LEN(ReferenceData!$R$179),"",ReferenceData!$R$179),"")</f>
        <v>2.9135049949999998</v>
      </c>
      <c r="S179">
        <f ca="1">IFERROR(IF(0=LEN(ReferenceData!$S$179),"",ReferenceData!$S$179),"")</f>
        <v>2.8178915490000001</v>
      </c>
      <c r="T179">
        <f ca="1">IFERROR(IF(0=LEN(ReferenceData!$T$179),"",ReferenceData!$T$179),"")</f>
        <v>2.407624207</v>
      </c>
      <c r="U179">
        <f ca="1">IFERROR(IF(0=LEN(ReferenceData!$U$179),"",ReferenceData!$U$179),"")</f>
        <v>3.381896572</v>
      </c>
      <c r="V179">
        <f ca="1">IFERROR(IF(0=LEN(ReferenceData!$V$179),"",ReferenceData!$V$179),"")</f>
        <v>3.425356072</v>
      </c>
      <c r="W179">
        <f ca="1">IFERROR(IF(0=LEN(ReferenceData!$W$179),"",ReferenceData!$W$179),"")</f>
        <v>3.531719936</v>
      </c>
      <c r="X179">
        <f ca="1">IFERROR(IF(0=LEN(ReferenceData!$X$179),"",ReferenceData!$X$179),"")</f>
        <v>3.6908526319999999</v>
      </c>
      <c r="Y179">
        <f ca="1">IFERROR(IF(0=LEN(ReferenceData!$Y$179),"",ReferenceData!$Y$179),"")</f>
        <v>3.530593665</v>
      </c>
      <c r="Z179">
        <f ca="1">IFERROR(IF(0=LEN(ReferenceData!$Z$179),"",ReferenceData!$Z$179),"")</f>
        <v>3.3338379979999999</v>
      </c>
      <c r="AA179">
        <f ca="1">IFERROR(IF(0=LEN(ReferenceData!$AA$179),"",ReferenceData!$AA$179),"")</f>
        <v>2.537204225</v>
      </c>
      <c r="AB179">
        <f ca="1">IFERROR(IF(0=LEN(ReferenceData!$AB$179),"",ReferenceData!$AB$179),"")</f>
        <v>3.036611218</v>
      </c>
      <c r="AC179">
        <f ca="1">IFERROR(IF(0=LEN(ReferenceData!$AC$179),"",ReferenceData!$AC$179),"")</f>
        <v>3.0960035960000001</v>
      </c>
      <c r="AD179">
        <f ca="1">IFERROR(IF(0=LEN(ReferenceData!$AD$179),"",ReferenceData!$AD$179),"")</f>
        <v>2.8511610479999998</v>
      </c>
      <c r="AE179">
        <f ca="1">IFERROR(IF(0=LEN(ReferenceData!$AE$179),"",ReferenceData!$AE$179),"")</f>
        <v>3.3596252600000001</v>
      </c>
      <c r="AF179">
        <f ca="1">IFERROR(IF(0=LEN(ReferenceData!$AF$179),"",ReferenceData!$AF$179),"")</f>
        <v>2.5903695180000001</v>
      </c>
      <c r="AG179">
        <f ca="1">IFERROR(IF(0=LEN(ReferenceData!$AG$179),"",ReferenceData!$AG$179),"")</f>
        <v>2.927256308</v>
      </c>
      <c r="AH179">
        <f ca="1">IFERROR(IF(0=LEN(ReferenceData!$AH$179),"",ReferenceData!$AH$179),"")</f>
        <v>3.135302443</v>
      </c>
      <c r="AI179" t="str">
        <f ca="1">IFERROR(IF(0=LEN(ReferenceData!$AI$179),"",ReferenceData!$AI$179),"")</f>
        <v/>
      </c>
      <c r="AJ179" t="str">
        <f ca="1">IFERROR(IF(0=LEN(ReferenceData!$AJ$179),"",ReferenceData!$AJ$179),"")</f>
        <v/>
      </c>
      <c r="AK179" t="str">
        <f ca="1">IFERROR(IF(0=LEN(ReferenceData!$AK$179),"",ReferenceData!$AK$179),"")</f>
        <v/>
      </c>
      <c r="AL179" t="str">
        <f ca="1">IFERROR(IF(0=LEN(ReferenceData!$AL$179),"",ReferenceData!$AL$179),"")</f>
        <v/>
      </c>
      <c r="AM179" t="str">
        <f ca="1">IFERROR(IF(0=LEN(ReferenceData!$AM$179),"",ReferenceData!$AM$179),"")</f>
        <v/>
      </c>
      <c r="AN179" t="str">
        <f ca="1">IFERROR(IF(0=LEN(ReferenceData!$AN$179),"",ReferenceData!$AN$179),"")</f>
        <v/>
      </c>
      <c r="AO179" t="str">
        <f ca="1">IFERROR(IF(0=LEN(ReferenceData!$AO$179),"",ReferenceData!$AO$179),"")</f>
        <v/>
      </c>
      <c r="AP179" t="str">
        <f ca="1">IFERROR(IF(0=LEN(ReferenceData!$AP$179),"",ReferenceData!$AP$179),"")</f>
        <v/>
      </c>
      <c r="AQ179" t="str">
        <f ca="1">IFERROR(IF(0=LEN(ReferenceData!$AQ$179),"",ReferenceData!$AQ$179),"")</f>
        <v/>
      </c>
      <c r="AR179" t="str">
        <f ca="1">IFERROR(IF(0=LEN(ReferenceData!$AR$179),"",ReferenceData!$AR$179),"")</f>
        <v/>
      </c>
      <c r="AS179" t="str">
        <f ca="1">IFERROR(IF(0=LEN(ReferenceData!$AS$179),"",ReferenceData!$AS$179),"")</f>
        <v/>
      </c>
      <c r="AT179" t="str">
        <f ca="1">IFERROR(IF(0=LEN(ReferenceData!$AT$179),"",ReferenceData!$AT$179),"")</f>
        <v/>
      </c>
      <c r="AU179" t="str">
        <f ca="1">IFERROR(IF(0=LEN(ReferenceData!$AU$179),"",ReferenceData!$AU$179),"")</f>
        <v/>
      </c>
      <c r="AV179" t="str">
        <f ca="1">IFERROR(IF(0=LEN(ReferenceData!$AV$179),"",ReferenceData!$AV$179),"")</f>
        <v/>
      </c>
      <c r="AW179" t="str">
        <f ca="1">IFERROR(IF(0=LEN(ReferenceData!$AW$179),"",ReferenceData!$AW$179),"")</f>
        <v/>
      </c>
      <c r="AX179" t="str">
        <f ca="1">IFERROR(IF(0=LEN(ReferenceData!$AX$179),"",ReferenceData!$AX$179),"")</f>
        <v/>
      </c>
      <c r="AY179" t="str">
        <f ca="1">IFERROR(IF(0=LEN(ReferenceData!$AY$179),"",ReferenceData!$AY$179),"")</f>
        <v/>
      </c>
      <c r="AZ179" t="str">
        <f ca="1">IFERROR(IF(0=LEN(ReferenceData!$AZ$179),"",ReferenceData!$AZ$179),"")</f>
        <v/>
      </c>
      <c r="BA179" t="str">
        <f ca="1">IFERROR(IF(0=LEN(ReferenceData!$BA$179),"",ReferenceData!$BA$179),"")</f>
        <v/>
      </c>
      <c r="BB179" t="str">
        <f ca="1">IFERROR(IF(0=LEN(ReferenceData!$BB$179),"",ReferenceData!$BB$179),"")</f>
        <v/>
      </c>
      <c r="BC179" t="str">
        <f ca="1">IFERROR(IF(0=LEN(ReferenceData!$BC$179),"",ReferenceData!$BC$179),"")</f>
        <v/>
      </c>
      <c r="BD179" t="str">
        <f ca="1">IFERROR(IF(0=LEN(ReferenceData!$BD$179),"",ReferenceData!$BD$179),"")</f>
        <v/>
      </c>
      <c r="BE179" t="str">
        <f ca="1">IFERROR(IF(0=LEN(ReferenceData!$BE$179),"",ReferenceData!$BE$179),"")</f>
        <v/>
      </c>
      <c r="BF179" t="str">
        <f ca="1">IFERROR(IF(0=LEN(ReferenceData!$BF$179),"",ReferenceData!$BF$179),"")</f>
        <v/>
      </c>
      <c r="BG179" t="str">
        <f ca="1">IFERROR(IF(0=LEN(ReferenceData!$BG$179),"",ReferenceData!$BG$179),"")</f>
        <v/>
      </c>
      <c r="BH179" t="str">
        <f ca="1">IFERROR(IF(0=LEN(ReferenceData!$BH$179),"",ReferenceData!$BH$179),"")</f>
        <v/>
      </c>
      <c r="BI179" t="str">
        <f ca="1">IFERROR(IF(0=LEN(ReferenceData!$BI$179),"",ReferenceData!$BI$179),"")</f>
        <v/>
      </c>
      <c r="BJ179" t="str">
        <f ca="1">IFERROR(IF(0=LEN(ReferenceData!$BJ$179),"",ReferenceData!$BJ$179),"")</f>
        <v/>
      </c>
      <c r="BK179" t="str">
        <f ca="1">IFERROR(IF(0=LEN(ReferenceData!$BK$179),"",ReferenceData!$BK$179),"")</f>
        <v/>
      </c>
      <c r="BL179" t="str">
        <f ca="1">IFERROR(IF(0=LEN(ReferenceData!$BL$179),"",ReferenceData!$BL$179),"")</f>
        <v/>
      </c>
      <c r="BM179" t="str">
        <f ca="1">IFERROR(IF(0=LEN(ReferenceData!$BM$179),"",ReferenceData!$BM$179),"")</f>
        <v/>
      </c>
    </row>
    <row r="180" spans="1:65">
      <c r="A180" t="str">
        <f>IFERROR(IF(0=LEN(ReferenceData!$A$180),"",ReferenceData!$A$180),"")</f>
        <v xml:space="preserve">    Senior Housing Properties Trus</v>
      </c>
      <c r="B180" t="str">
        <f>IFERROR(IF(0=LEN(ReferenceData!$B$180),"",ReferenceData!$B$180),"")</f>
        <v>SNH US Equity</v>
      </c>
      <c r="C180" t="str">
        <f>IFERROR(IF(0=LEN(ReferenceData!$C$180),"",ReferenceData!$C$180),"")</f>
        <v>RR553</v>
      </c>
      <c r="D180" t="str">
        <f>IFERROR(IF(0=LEN(ReferenceData!$D$180),"",ReferenceData!$D$180),"")</f>
        <v>EBITDA_RE_ASSET</v>
      </c>
      <c r="E180" t="str">
        <f>IFERROR(IF(0=LEN(ReferenceData!$E$180),"",ReferenceData!$E$180),"")</f>
        <v>动态</v>
      </c>
      <c r="F180" t="str">
        <f ca="1">IFERROR(IF(0=LEN(ReferenceData!$F$180),"",ReferenceData!$F$180),"")</f>
        <v/>
      </c>
      <c r="G180">
        <f ca="1">IFERROR(IF(0=LEN(ReferenceData!$G$180),"",ReferenceData!$G$180),"")</f>
        <v>2.0035678149999998</v>
      </c>
      <c r="H180">
        <f ca="1">IFERROR(IF(0=LEN(ReferenceData!$H$180),"",ReferenceData!$H$180),"")</f>
        <v>2.2332605270000001</v>
      </c>
      <c r="I180">
        <f ca="1">IFERROR(IF(0=LEN(ReferenceData!$I$180),"",ReferenceData!$I$180),"")</f>
        <v>2.1058336180000001</v>
      </c>
      <c r="J180">
        <f ca="1">IFERROR(IF(0=LEN(ReferenceData!$J$180),"",ReferenceData!$J$180),"")</f>
        <v>2.3178264949999998</v>
      </c>
      <c r="K180">
        <f ca="1">IFERROR(IF(0=LEN(ReferenceData!$K$180),"",ReferenceData!$K$180),"")</f>
        <v>2.4876173600000002</v>
      </c>
      <c r="L180">
        <f ca="1">IFERROR(IF(0=LEN(ReferenceData!$L$180),"",ReferenceData!$L$180),"")</f>
        <v>2.2408617560000001</v>
      </c>
      <c r="M180">
        <f ca="1">IFERROR(IF(0=LEN(ReferenceData!$M$180),"",ReferenceData!$M$180),"")</f>
        <v>2.2867699149999998</v>
      </c>
      <c r="N180">
        <f ca="1">IFERROR(IF(0=LEN(ReferenceData!$N$180),"",ReferenceData!$N$180),"")</f>
        <v>2.2509729909999998</v>
      </c>
      <c r="O180">
        <f ca="1">IFERROR(IF(0=LEN(ReferenceData!$O$180),"",ReferenceData!$O$180),"")</f>
        <v>2.462326053</v>
      </c>
      <c r="P180">
        <f ca="1">IFERROR(IF(0=LEN(ReferenceData!$P$180),"",ReferenceData!$P$180),"")</f>
        <v>2.325592404</v>
      </c>
      <c r="Q180">
        <f ca="1">IFERROR(IF(0=LEN(ReferenceData!$Q$180),"",ReferenceData!$Q$180),"")</f>
        <v>2.174029548</v>
      </c>
      <c r="R180">
        <f ca="1">IFERROR(IF(0=LEN(ReferenceData!$R$180),"",ReferenceData!$R$180),"")</f>
        <v>2.3015214159999999</v>
      </c>
      <c r="S180">
        <f ca="1">IFERROR(IF(0=LEN(ReferenceData!$S$180),"",ReferenceData!$S$180),"")</f>
        <v>2.5318360759999998</v>
      </c>
      <c r="T180">
        <f ca="1">IFERROR(IF(0=LEN(ReferenceData!$T$180),"",ReferenceData!$T$180),"")</f>
        <v>2.363111269</v>
      </c>
      <c r="U180">
        <f ca="1">IFERROR(IF(0=LEN(ReferenceData!$U$180),"",ReferenceData!$U$180),"")</f>
        <v>2.183688616</v>
      </c>
      <c r="V180">
        <f ca="1">IFERROR(IF(0=LEN(ReferenceData!$V$180),"",ReferenceData!$V$180),"")</f>
        <v>2.3872732569999999</v>
      </c>
      <c r="W180">
        <f ca="1">IFERROR(IF(0=LEN(ReferenceData!$W$180),"",ReferenceData!$W$180),"")</f>
        <v>2.5369076380000002</v>
      </c>
      <c r="X180">
        <f ca="1">IFERROR(IF(0=LEN(ReferenceData!$X$180),"",ReferenceData!$X$180),"")</f>
        <v>2.3770227589999999</v>
      </c>
      <c r="Y180">
        <f ca="1">IFERROR(IF(0=LEN(ReferenceData!$Y$180),"",ReferenceData!$Y$180),"")</f>
        <v>2.2733530979999999</v>
      </c>
      <c r="Z180">
        <f ca="1">IFERROR(IF(0=LEN(ReferenceData!$Z$180),"",ReferenceData!$Z$180),"")</f>
        <v>2.2765748299999999</v>
      </c>
      <c r="AA180">
        <f ca="1">IFERROR(IF(0=LEN(ReferenceData!$AA$180),"",ReferenceData!$AA$180),"")</f>
        <v>2.5734460600000002</v>
      </c>
      <c r="AB180">
        <f ca="1">IFERROR(IF(0=LEN(ReferenceData!$AB$180),"",ReferenceData!$AB$180),"")</f>
        <v>2.224341049</v>
      </c>
      <c r="AC180">
        <f ca="1">IFERROR(IF(0=LEN(ReferenceData!$AC$180),"",ReferenceData!$AC$180),"")</f>
        <v>2.2806220129999999</v>
      </c>
      <c r="AD180">
        <f ca="1">IFERROR(IF(0=LEN(ReferenceData!$AD$180),"",ReferenceData!$AD$180),"")</f>
        <v>2.2905504799999998</v>
      </c>
      <c r="AE180">
        <f ca="1">IFERROR(IF(0=LEN(ReferenceData!$AE$180),"",ReferenceData!$AE$180),"")</f>
        <v>2.3371345959999998</v>
      </c>
      <c r="AF180">
        <f ca="1">IFERROR(IF(0=LEN(ReferenceData!$AF$180),"",ReferenceData!$AF$180),"")</f>
        <v>2.2284993339999999</v>
      </c>
      <c r="AG180">
        <f ca="1">IFERROR(IF(0=LEN(ReferenceData!$AG$180),"",ReferenceData!$AG$180),"")</f>
        <v>2.2876355429999999</v>
      </c>
      <c r="AH180">
        <f ca="1">IFERROR(IF(0=LEN(ReferenceData!$AH$180),"",ReferenceData!$AH$180),"")</f>
        <v>2.4372082960000001</v>
      </c>
      <c r="AI180">
        <f ca="1">IFERROR(IF(0=LEN(ReferenceData!$AI$180),"",ReferenceData!$AI$180),"")</f>
        <v>2.4158506160000002</v>
      </c>
      <c r="AJ180">
        <f ca="1">IFERROR(IF(0=LEN(ReferenceData!$AJ$180),"",ReferenceData!$AJ$180),"")</f>
        <v>2.464603925</v>
      </c>
      <c r="AK180">
        <f ca="1">IFERROR(IF(0=LEN(ReferenceData!$AK$180),"",ReferenceData!$AK$180),"")</f>
        <v>2.482587804</v>
      </c>
      <c r="AL180">
        <f ca="1">IFERROR(IF(0=LEN(ReferenceData!$AL$180),"",ReferenceData!$AL$180),"")</f>
        <v>2.4759081950000001</v>
      </c>
      <c r="AM180">
        <f ca="1">IFERROR(IF(0=LEN(ReferenceData!$AM$180),"",ReferenceData!$AM$180),"")</f>
        <v>2.574078122</v>
      </c>
      <c r="AN180">
        <f ca="1">IFERROR(IF(0=LEN(ReferenceData!$AN$180),"",ReferenceData!$AN$180),"")</f>
        <v>1.856856651</v>
      </c>
      <c r="AO180">
        <f ca="1">IFERROR(IF(0=LEN(ReferenceData!$AO$180),"",ReferenceData!$AO$180),"")</f>
        <v>2.4575843019999999</v>
      </c>
      <c r="AP180">
        <f ca="1">IFERROR(IF(0=LEN(ReferenceData!$AP$180),"",ReferenceData!$AP$180),"")</f>
        <v>2.4838870320000002</v>
      </c>
      <c r="AQ180">
        <f ca="1">IFERROR(IF(0=LEN(ReferenceData!$AQ$180),"",ReferenceData!$AQ$180),"")</f>
        <v>2.7462604860000002</v>
      </c>
      <c r="AR180">
        <f ca="1">IFERROR(IF(0=LEN(ReferenceData!$AR$180),"",ReferenceData!$AR$180),"")</f>
        <v>2.3860735800000001</v>
      </c>
      <c r="AS180">
        <f ca="1">IFERROR(IF(0=LEN(ReferenceData!$AS$180),"",ReferenceData!$AS$180),"")</f>
        <v>2.4857478290000001</v>
      </c>
      <c r="AT180">
        <f ca="1">IFERROR(IF(0=LEN(ReferenceData!$AT$180),"",ReferenceData!$AT$180),"")</f>
        <v>2.4232486440000001</v>
      </c>
      <c r="AU180">
        <f ca="1">IFERROR(IF(0=LEN(ReferenceData!$AU$180),"",ReferenceData!$AU$180),"")</f>
        <v>3.0722766350000001</v>
      </c>
      <c r="AV180">
        <f ca="1">IFERROR(IF(0=LEN(ReferenceData!$AV$180),"",ReferenceData!$AV$180),"")</f>
        <v>2.712812548</v>
      </c>
      <c r="AW180">
        <f ca="1">IFERROR(IF(0=LEN(ReferenceData!$AW$180),"",ReferenceData!$AW$180),"")</f>
        <v>2.7102229590000002</v>
      </c>
      <c r="AX180">
        <f ca="1">IFERROR(IF(0=LEN(ReferenceData!$AX$180),"",ReferenceData!$AX$180),"")</f>
        <v>2.671788528</v>
      </c>
      <c r="AY180">
        <f ca="1">IFERROR(IF(0=LEN(ReferenceData!$AY$180),"",ReferenceData!$AY$180),"")</f>
        <v>3.3338730480000001</v>
      </c>
      <c r="AZ180">
        <f ca="1">IFERROR(IF(0=LEN(ReferenceData!$AZ$180),"",ReferenceData!$AZ$180),"")</f>
        <v>2.5452368939999999</v>
      </c>
      <c r="BA180">
        <f ca="1">IFERROR(IF(0=LEN(ReferenceData!$BA$180),"",ReferenceData!$BA$180),"")</f>
        <v>2.6221442580000001</v>
      </c>
      <c r="BB180">
        <f ca="1">IFERROR(IF(0=LEN(ReferenceData!$BB$180),"",ReferenceData!$BB$180),"")</f>
        <v>2.6196890420000001</v>
      </c>
      <c r="BC180">
        <f ca="1">IFERROR(IF(0=LEN(ReferenceData!$BC$180),"",ReferenceData!$BC$180),"")</f>
        <v>2.8162483470000002</v>
      </c>
      <c r="BD180">
        <f ca="1">IFERROR(IF(0=LEN(ReferenceData!$BD$180),"",ReferenceData!$BD$180),"")</f>
        <v>2.6385274970000001</v>
      </c>
      <c r="BE180">
        <f ca="1">IFERROR(IF(0=LEN(ReferenceData!$BE$180),"",ReferenceData!$BE$180),"")</f>
        <v>2.5500755129999999</v>
      </c>
      <c r="BF180">
        <f ca="1">IFERROR(IF(0=LEN(ReferenceData!$BF$180),"",ReferenceData!$BF$180),"")</f>
        <v>2.5692704609999999</v>
      </c>
      <c r="BG180">
        <f ca="1">IFERROR(IF(0=LEN(ReferenceData!$BG$180),"",ReferenceData!$BG$180),"")</f>
        <v>2.691336358</v>
      </c>
      <c r="BH180">
        <f ca="1">IFERROR(IF(0=LEN(ReferenceData!$BH$180),"",ReferenceData!$BH$180),"")</f>
        <v>2.6170678629999999</v>
      </c>
      <c r="BI180">
        <f ca="1">IFERROR(IF(0=LEN(ReferenceData!$BI$180),"",ReferenceData!$BI$180),"")</f>
        <v>2.5869515189999999</v>
      </c>
      <c r="BJ180">
        <f ca="1">IFERROR(IF(0=LEN(ReferenceData!$BJ$180),"",ReferenceData!$BJ$180),"")</f>
        <v>2.671415514</v>
      </c>
      <c r="BK180">
        <f ca="1">IFERROR(IF(0=LEN(ReferenceData!$BK$180),"",ReferenceData!$BK$180),"")</f>
        <v>2.6216893080000001</v>
      </c>
      <c r="BL180">
        <f ca="1">IFERROR(IF(0=LEN(ReferenceData!$BL$180),"",ReferenceData!$BL$180),"")</f>
        <v>2.4454519380000002</v>
      </c>
      <c r="BM180">
        <f ca="1">IFERROR(IF(0=LEN(ReferenceData!$BM$180),"",ReferenceData!$BM$180),"")</f>
        <v>2.4628230150000001</v>
      </c>
    </row>
    <row r="181" spans="1:65">
      <c r="A181" t="str">
        <f>IFERROR(IF(0=LEN(ReferenceData!$A$181),"",ReferenceData!$A$181),"")</f>
        <v xml:space="preserve">    Ventas Inc</v>
      </c>
      <c r="B181" t="str">
        <f>IFERROR(IF(0=LEN(ReferenceData!$B$181),"",ReferenceData!$B$181),"")</f>
        <v>VTR US Equity</v>
      </c>
      <c r="C181" t="str">
        <f>IFERROR(IF(0=LEN(ReferenceData!$C$181),"",ReferenceData!$C$181),"")</f>
        <v>RR553</v>
      </c>
      <c r="D181" t="str">
        <f>IFERROR(IF(0=LEN(ReferenceData!$D$181),"",ReferenceData!$D$181),"")</f>
        <v>EBITDA_RE_ASSET</v>
      </c>
      <c r="E181" t="str">
        <f>IFERROR(IF(0=LEN(ReferenceData!$E$181),"",ReferenceData!$E$181),"")</f>
        <v>动态</v>
      </c>
      <c r="F181" t="str">
        <f ca="1">IFERROR(IF(0=LEN(ReferenceData!$F$181),"",ReferenceData!$F$181),"")</f>
        <v/>
      </c>
      <c r="G181">
        <f ca="1">IFERROR(IF(0=LEN(ReferenceData!$G$181),"",ReferenceData!$G$181),"")</f>
        <v>2.1986884080000002</v>
      </c>
      <c r="H181">
        <f ca="1">IFERROR(IF(0=LEN(ReferenceData!$H$181),"",ReferenceData!$H$181),"")</f>
        <v>2.230195256</v>
      </c>
      <c r="I181">
        <f ca="1">IFERROR(IF(0=LEN(ReferenceData!$I$181),"",ReferenceData!$I$181),"")</f>
        <v>2.220738152</v>
      </c>
      <c r="J181">
        <f ca="1">IFERROR(IF(0=LEN(ReferenceData!$J$181),"",ReferenceData!$J$181),"")</f>
        <v>2.1592838479999998</v>
      </c>
      <c r="K181">
        <f ca="1">IFERROR(IF(0=LEN(ReferenceData!$K$181),"",ReferenceData!$K$181),"")</f>
        <v>2.2562537580000002</v>
      </c>
      <c r="L181">
        <f ca="1">IFERROR(IF(0=LEN(ReferenceData!$L$181),"",ReferenceData!$L$181),"")</f>
        <v>2.1246390540000002</v>
      </c>
      <c r="M181">
        <f ca="1">IFERROR(IF(0=LEN(ReferenceData!$M$181),"",ReferenceData!$M$181),"")</f>
        <v>2.241179018</v>
      </c>
      <c r="N181">
        <f ca="1">IFERROR(IF(0=LEN(ReferenceData!$N$181),"",ReferenceData!$N$181),"")</f>
        <v>2.2284126620000002</v>
      </c>
      <c r="O181">
        <f ca="1">IFERROR(IF(0=LEN(ReferenceData!$O$181),"",ReferenceData!$O$181),"")</f>
        <v>2.2155366700000001</v>
      </c>
      <c r="P181">
        <f ca="1">IFERROR(IF(0=LEN(ReferenceData!$P$181),"",ReferenceData!$P$181),"")</f>
        <v>1.904402728</v>
      </c>
      <c r="Q181">
        <f ca="1">IFERROR(IF(0=LEN(ReferenceData!$Q$181),"",ReferenceData!$Q$181),"")</f>
        <v>2.0313251389999998</v>
      </c>
      <c r="R181">
        <f ca="1">IFERROR(IF(0=LEN(ReferenceData!$R$181),"",ReferenceData!$R$181),"")</f>
        <v>1.9031946</v>
      </c>
      <c r="S181">
        <f ca="1">IFERROR(IF(0=LEN(ReferenceData!$S$181),"",ReferenceData!$S$181),"")</f>
        <v>2.2638149080000001</v>
      </c>
      <c r="T181">
        <f ca="1">IFERROR(IF(0=LEN(ReferenceData!$T$181),"",ReferenceData!$T$181),"")</f>
        <v>1.938085539</v>
      </c>
      <c r="U181">
        <f ca="1">IFERROR(IF(0=LEN(ReferenceData!$U$181),"",ReferenceData!$U$181),"")</f>
        <v>2.290461466</v>
      </c>
      <c r="V181">
        <f ca="1">IFERROR(IF(0=LEN(ReferenceData!$V$181),"",ReferenceData!$V$181),"")</f>
        <v>2.1930975190000002</v>
      </c>
      <c r="W181">
        <f ca="1">IFERROR(IF(0=LEN(ReferenceData!$W$181),"",ReferenceData!$W$181),"")</f>
        <v>2.207968508</v>
      </c>
      <c r="X181">
        <f ca="1">IFERROR(IF(0=LEN(ReferenceData!$X$181),"",ReferenceData!$X$181),"")</f>
        <v>2.1492269689999999</v>
      </c>
      <c r="Y181">
        <f ca="1">IFERROR(IF(0=LEN(ReferenceData!$Y$181),"",ReferenceData!$Y$181),"")</f>
        <v>2.2680090970000002</v>
      </c>
      <c r="Z181">
        <f ca="1">IFERROR(IF(0=LEN(ReferenceData!$Z$181),"",ReferenceData!$Z$181),"")</f>
        <v>2.2326834189999998</v>
      </c>
      <c r="AA181">
        <f ca="1">IFERROR(IF(0=LEN(ReferenceData!$AA$181),"",ReferenceData!$AA$181),"")</f>
        <v>2.1065306619999999</v>
      </c>
      <c r="AB181">
        <f ca="1">IFERROR(IF(0=LEN(ReferenceData!$AB$181),"",ReferenceData!$AB$181),"")</f>
        <v>2.095708203</v>
      </c>
      <c r="AC181">
        <f ca="1">IFERROR(IF(0=LEN(ReferenceData!$AC$181),"",ReferenceData!$AC$181),"")</f>
        <v>1.8940742230000001</v>
      </c>
      <c r="AD181">
        <f ca="1">IFERROR(IF(0=LEN(ReferenceData!$AD$181),"",ReferenceData!$AD$181),"")</f>
        <v>2.0007996110000001</v>
      </c>
      <c r="AE181">
        <f ca="1">IFERROR(IF(0=LEN(ReferenceData!$AE$181),"",ReferenceData!$AE$181),"")</f>
        <v>0.79698184000000005</v>
      </c>
      <c r="AF181">
        <f ca="1">IFERROR(IF(0=LEN(ReferenceData!$AF$181),"",ReferenceData!$AF$181),"")</f>
        <v>2.0589149660000001</v>
      </c>
      <c r="AG181">
        <f ca="1">IFERROR(IF(0=LEN(ReferenceData!$AG$181),"",ReferenceData!$AG$181),"")</f>
        <v>1.497207261</v>
      </c>
      <c r="AH181">
        <f ca="1">IFERROR(IF(0=LEN(ReferenceData!$AH$181),"",ReferenceData!$AH$181),"")</f>
        <v>2.9264750720000001</v>
      </c>
      <c r="AI181">
        <f ca="1">IFERROR(IF(0=LEN(ReferenceData!$AI$181),"",ReferenceData!$AI$181),"")</f>
        <v>2.9399641519999999</v>
      </c>
      <c r="AJ181">
        <f ca="1">IFERROR(IF(0=LEN(ReferenceData!$AJ$181),"",ReferenceData!$AJ$181),"")</f>
        <v>2.811287981</v>
      </c>
      <c r="AK181">
        <f ca="1">IFERROR(IF(0=LEN(ReferenceData!$AK$181),"",ReferenceData!$AK$181),"")</f>
        <v>3.0319064400000002</v>
      </c>
      <c r="AL181">
        <f ca="1">IFERROR(IF(0=LEN(ReferenceData!$AL$181),"",ReferenceData!$AL$181),"")</f>
        <v>2.9005717259999999</v>
      </c>
      <c r="AM181">
        <f ca="1">IFERROR(IF(0=LEN(ReferenceData!$AM$181),"",ReferenceData!$AM$181),"")</f>
        <v>2.8517424650000001</v>
      </c>
      <c r="AN181">
        <f ca="1">IFERROR(IF(0=LEN(ReferenceData!$AN$181),"",ReferenceData!$AN$181),"")</f>
        <v>2.7490728369999999</v>
      </c>
      <c r="AO181">
        <f ca="1">IFERROR(IF(0=LEN(ReferenceData!$AO$181),"",ReferenceData!$AO$181),"")</f>
        <v>2.7813585519999999</v>
      </c>
      <c r="AP181">
        <f ca="1">IFERROR(IF(0=LEN(ReferenceData!$AP$181),"",ReferenceData!$AP$181),"")</f>
        <v>2.683800636</v>
      </c>
      <c r="AQ181">
        <f ca="1">IFERROR(IF(0=LEN(ReferenceData!$AQ$181),"",ReferenceData!$AQ$181),"")</f>
        <v>6.178925832</v>
      </c>
      <c r="AR181">
        <f ca="1">IFERROR(IF(0=LEN(ReferenceData!$AR$181),"",ReferenceData!$AR$181),"")</f>
        <v>-0.63279925100000001</v>
      </c>
      <c r="AS181">
        <f ca="1">IFERROR(IF(0=LEN(ReferenceData!$AS$181),"",ReferenceData!$AS$181),"")</f>
        <v>2.6869037690000002</v>
      </c>
      <c r="AT181">
        <f ca="1">IFERROR(IF(0=LEN(ReferenceData!$AT$181),"",ReferenceData!$AT$181),"")</f>
        <v>2.7082174960000001</v>
      </c>
      <c r="AU181">
        <f ca="1">IFERROR(IF(0=LEN(ReferenceData!$AU$181),"",ReferenceData!$AU$181),"")</f>
        <v>2.5326672370000001</v>
      </c>
      <c r="AV181">
        <f ca="1">IFERROR(IF(0=LEN(ReferenceData!$AV$181),"",ReferenceData!$AV$181),"")</f>
        <v>2.6741672099999998</v>
      </c>
      <c r="AW181">
        <f ca="1">IFERROR(IF(0=LEN(ReferenceData!$AW$181),"",ReferenceData!$AW$181),"")</f>
        <v>2.512071052</v>
      </c>
      <c r="AX181">
        <f ca="1">IFERROR(IF(0=LEN(ReferenceData!$AX$181),"",ReferenceData!$AX$181),"")</f>
        <v>3.595706463</v>
      </c>
      <c r="AY181">
        <f ca="1">IFERROR(IF(0=LEN(ReferenceData!$AY$181),"",ReferenceData!$AY$181),"")</f>
        <v>3.421661592</v>
      </c>
      <c r="AZ181">
        <f ca="1">IFERROR(IF(0=LEN(ReferenceData!$AZ$181),"",ReferenceData!$AZ$181),"")</f>
        <v>3.6291090119999998</v>
      </c>
      <c r="BA181">
        <f ca="1">IFERROR(IF(0=LEN(ReferenceData!$BA$181),"",ReferenceData!$BA$181),"")</f>
        <v>3.5571419629999999</v>
      </c>
      <c r="BB181">
        <f ca="1">IFERROR(IF(0=LEN(ReferenceData!$BB$181),"",ReferenceData!$BB$181),"")</f>
        <v>3.5576886440000002</v>
      </c>
      <c r="BC181">
        <f ca="1">IFERROR(IF(0=LEN(ReferenceData!$BC$181),"",ReferenceData!$BC$181),"")</f>
        <v>3.5196881370000002</v>
      </c>
      <c r="BD181">
        <f ca="1">IFERROR(IF(0=LEN(ReferenceData!$BD$181),"",ReferenceData!$BD$181),"")</f>
        <v>3.5304303199999998</v>
      </c>
      <c r="BE181">
        <f ca="1">IFERROR(IF(0=LEN(ReferenceData!$BE$181),"",ReferenceData!$BE$181),"")</f>
        <v>2.790693085</v>
      </c>
      <c r="BF181">
        <f ca="1">IFERROR(IF(0=LEN(ReferenceData!$BF$181),"",ReferenceData!$BF$181),"")</f>
        <v>5.169549108</v>
      </c>
      <c r="BG181">
        <f ca="1">IFERROR(IF(0=LEN(ReferenceData!$BG$181),"",ReferenceData!$BG$181),"")</f>
        <v>5.3699546140000001</v>
      </c>
      <c r="BH181">
        <f ca="1">IFERROR(IF(0=LEN(ReferenceData!$BH$181),"",ReferenceData!$BH$181),"")</f>
        <v>5.4760828909999999</v>
      </c>
      <c r="BI181">
        <f ca="1">IFERROR(IF(0=LEN(ReferenceData!$BI$181),"",ReferenceData!$BI$181),"")</f>
        <v>5.3143681149999997</v>
      </c>
      <c r="BJ181">
        <f ca="1">IFERROR(IF(0=LEN(ReferenceData!$BJ$181),"",ReferenceData!$BJ$181),"")</f>
        <v>5.0799572130000001</v>
      </c>
      <c r="BK181">
        <f ca="1">IFERROR(IF(0=LEN(ReferenceData!$BK$181),"",ReferenceData!$BK$181),"")</f>
        <v>6.6167438809999997</v>
      </c>
      <c r="BL181">
        <f ca="1">IFERROR(IF(0=LEN(ReferenceData!$BL$181),"",ReferenceData!$BL$181),"")</f>
        <v>6.329804695</v>
      </c>
      <c r="BM181">
        <f ca="1">IFERROR(IF(0=LEN(ReferenceData!$BM$181),"",ReferenceData!$BM$181),"")</f>
        <v>5.7009617270000001</v>
      </c>
    </row>
    <row r="182" spans="1:65">
      <c r="A182" t="str">
        <f>IFERROR(IF(0=LEN(ReferenceData!$A$182),"",ReferenceData!$A$182),"")</f>
        <v xml:space="preserve">    Welltower Inc</v>
      </c>
      <c r="B182" t="str">
        <f>IFERROR(IF(0=LEN(ReferenceData!$B$182),"",ReferenceData!$B$182),"")</f>
        <v>HCN US Equity</v>
      </c>
      <c r="C182" t="str">
        <f>IFERROR(IF(0=LEN(ReferenceData!$C$182),"",ReferenceData!$C$182),"")</f>
        <v>RR553</v>
      </c>
      <c r="D182" t="str">
        <f>IFERROR(IF(0=LEN(ReferenceData!$D$182),"",ReferenceData!$D$182),"")</f>
        <v>EBITDA_RE_ASSET</v>
      </c>
      <c r="E182" t="str">
        <f>IFERROR(IF(0=LEN(ReferenceData!$E$182),"",ReferenceData!$E$182),"")</f>
        <v>动态</v>
      </c>
      <c r="F182" t="str">
        <f ca="1">IFERROR(IF(0=LEN(ReferenceData!$F$182),"",ReferenceData!$F$182),"")</f>
        <v/>
      </c>
      <c r="G182">
        <f ca="1">IFERROR(IF(0=LEN(ReferenceData!$G$182),"",ReferenceData!$G$182),"")</f>
        <v>1.2372446180000001</v>
      </c>
      <c r="H182">
        <f ca="1">IFERROR(IF(0=LEN(ReferenceData!$H$182),"",ReferenceData!$H$182),"")</f>
        <v>1.7583382059999999</v>
      </c>
      <c r="I182">
        <f ca="1">IFERROR(IF(0=LEN(ReferenceData!$I$182),"",ReferenceData!$I$182),"")</f>
        <v>2.0503040229999998</v>
      </c>
      <c r="J182">
        <f ca="1">IFERROR(IF(0=LEN(ReferenceData!$J$182),"",ReferenceData!$J$182),"")</f>
        <v>2.038814608</v>
      </c>
      <c r="K182">
        <f ca="1">IFERROR(IF(0=LEN(ReferenceData!$K$182),"",ReferenceData!$K$182),"")</f>
        <v>2.0215100939999999</v>
      </c>
      <c r="L182">
        <f ca="1">IFERROR(IF(0=LEN(ReferenceData!$L$182),"",ReferenceData!$L$182),"")</f>
        <v>2.0747812890000001</v>
      </c>
      <c r="M182">
        <f ca="1">IFERROR(IF(0=LEN(ReferenceData!$M$182),"",ReferenceData!$M$182),"")</f>
        <v>2.2477607220000002</v>
      </c>
      <c r="N182">
        <f ca="1">IFERROR(IF(0=LEN(ReferenceData!$N$182),"",ReferenceData!$N$182),"")</f>
        <v>2.0686910570000001</v>
      </c>
      <c r="O182">
        <f ca="1">IFERROR(IF(0=LEN(ReferenceData!$O$182),"",ReferenceData!$O$182),"")</f>
        <v>1.8360621340000001</v>
      </c>
      <c r="P182">
        <f ca="1">IFERROR(IF(0=LEN(ReferenceData!$P$182),"",ReferenceData!$P$182),"")</f>
        <v>2.1788610890000002</v>
      </c>
      <c r="Q182">
        <f ca="1">IFERROR(IF(0=LEN(ReferenceData!$Q$182),"",ReferenceData!$Q$182),"")</f>
        <v>2.006558794</v>
      </c>
      <c r="R182">
        <f ca="1">IFERROR(IF(0=LEN(ReferenceData!$R$182),"",ReferenceData!$R$182),"")</f>
        <v>1.849066382</v>
      </c>
      <c r="S182">
        <f ca="1">IFERROR(IF(0=LEN(ReferenceData!$S$182),"",ReferenceData!$S$182),"")</f>
        <v>1.911813271</v>
      </c>
      <c r="T182">
        <f ca="1">IFERROR(IF(0=LEN(ReferenceData!$T$182),"",ReferenceData!$T$182),"")</f>
        <v>2.0984712399999998</v>
      </c>
      <c r="U182">
        <f ca="1">IFERROR(IF(0=LEN(ReferenceData!$U$182),"",ReferenceData!$U$182),"")</f>
        <v>1.971762633</v>
      </c>
      <c r="V182">
        <f ca="1">IFERROR(IF(0=LEN(ReferenceData!$V$182),"",ReferenceData!$V$182),"")</f>
        <v>2.076939281</v>
      </c>
      <c r="W182">
        <f ca="1">IFERROR(IF(0=LEN(ReferenceData!$W$182),"",ReferenceData!$W$182),"")</f>
        <v>2.8964504519999998</v>
      </c>
      <c r="X182">
        <f ca="1">IFERROR(IF(0=LEN(ReferenceData!$X$182),"",ReferenceData!$X$182),"")</f>
        <v>1.9045630520000001</v>
      </c>
      <c r="Y182">
        <f ca="1">IFERROR(IF(0=LEN(ReferenceData!$Y$182),"",ReferenceData!$Y$182),"")</f>
        <v>1.8440830109999999</v>
      </c>
      <c r="Z182">
        <f ca="1">IFERROR(IF(0=LEN(ReferenceData!$Z$182),"",ReferenceData!$Z$182),"")</f>
        <v>1.9500372960000001</v>
      </c>
      <c r="AA182">
        <f ca="1">IFERROR(IF(0=LEN(ReferenceData!$AA$182),"",ReferenceData!$AA$182),"")</f>
        <v>1.7952604059999999</v>
      </c>
      <c r="AB182">
        <f ca="1">IFERROR(IF(0=LEN(ReferenceData!$AB$182),"",ReferenceData!$AB$182),"")</f>
        <v>1.738311975</v>
      </c>
      <c r="AC182">
        <f ca="1">IFERROR(IF(0=LEN(ReferenceData!$AC$182),"",ReferenceData!$AC$182),"")</f>
        <v>1.7448309390000001</v>
      </c>
      <c r="AD182">
        <f ca="1">IFERROR(IF(0=LEN(ReferenceData!$AD$182),"",ReferenceData!$AD$182),"")</f>
        <v>1.8638665249999999</v>
      </c>
      <c r="AE182">
        <f ca="1">IFERROR(IF(0=LEN(ReferenceData!$AE$182),"",ReferenceData!$AE$182),"")</f>
        <v>1.797301214</v>
      </c>
      <c r="AF182">
        <f ca="1">IFERROR(IF(0=LEN(ReferenceData!$AF$182),"",ReferenceData!$AF$182),"")</f>
        <v>1.9405053379999999</v>
      </c>
      <c r="AG182">
        <f ca="1">IFERROR(IF(0=LEN(ReferenceData!$AG$182),"",ReferenceData!$AG$182),"")</f>
        <v>1.9863543889999999</v>
      </c>
      <c r="AH182">
        <f ca="1">IFERROR(IF(0=LEN(ReferenceData!$AH$182),"",ReferenceData!$AH$182),"")</f>
        <v>1.380009673</v>
      </c>
      <c r="AI182">
        <f ca="1">IFERROR(IF(0=LEN(ReferenceData!$AI$182),"",ReferenceData!$AI$182),"")</f>
        <v>1.568989076</v>
      </c>
      <c r="AJ182">
        <f ca="1">IFERROR(IF(0=LEN(ReferenceData!$AJ$182),"",ReferenceData!$AJ$182),"")</f>
        <v>1.251810933</v>
      </c>
      <c r="AK182">
        <f ca="1">IFERROR(IF(0=LEN(ReferenceData!$AK$182),"",ReferenceData!$AK$182),"")</f>
        <v>2.0601920589999998</v>
      </c>
      <c r="AL182">
        <f ca="1">IFERROR(IF(0=LEN(ReferenceData!$AL$182),"",ReferenceData!$AL$182),"")</f>
        <v>1.7903026179999999</v>
      </c>
      <c r="AM182">
        <f ca="1">IFERROR(IF(0=LEN(ReferenceData!$AM$182),"",ReferenceData!$AM$182),"")</f>
        <v>1.444560348</v>
      </c>
      <c r="AN182">
        <f ca="1">IFERROR(IF(0=LEN(ReferenceData!$AN$182),"",ReferenceData!$AN$182),"")</f>
        <v>2.203987664</v>
      </c>
      <c r="AO182">
        <f ca="1">IFERROR(IF(0=LEN(ReferenceData!$AO$182),"",ReferenceData!$AO$182),"")</f>
        <v>2.0311955859999999</v>
      </c>
      <c r="AP182">
        <f ca="1">IFERROR(IF(0=LEN(ReferenceData!$AP$182),"",ReferenceData!$AP$182),"")</f>
        <v>1.9488609290000001</v>
      </c>
      <c r="AQ182">
        <f ca="1">IFERROR(IF(0=LEN(ReferenceData!$AQ$182),"",ReferenceData!$AQ$182),"")</f>
        <v>0.818426616</v>
      </c>
      <c r="AR182">
        <f ca="1">IFERROR(IF(0=LEN(ReferenceData!$AR$182),"",ReferenceData!$AR$182),"")</f>
        <v>2.2309969330000001</v>
      </c>
      <c r="AS182">
        <f ca="1">IFERROR(IF(0=LEN(ReferenceData!$AS$182),"",ReferenceData!$AS$182),"")</f>
        <v>2.2173505269999998</v>
      </c>
      <c r="AT182">
        <f ca="1">IFERROR(IF(0=LEN(ReferenceData!$AT$182),"",ReferenceData!$AT$182),"")</f>
        <v>2.123105786</v>
      </c>
      <c r="AU182">
        <f ca="1">IFERROR(IF(0=LEN(ReferenceData!$AU$182),"",ReferenceData!$AU$182),"")</f>
        <v>2.1350424929999998</v>
      </c>
      <c r="AV182">
        <f ca="1">IFERROR(IF(0=LEN(ReferenceData!$AV$182),"",ReferenceData!$AV$182),"")</f>
        <v>2.2073009200000002</v>
      </c>
      <c r="AW182">
        <f ca="1">IFERROR(IF(0=LEN(ReferenceData!$AW$182),"",ReferenceData!$AW$182),"")</f>
        <v>2.1685973870000002</v>
      </c>
      <c r="AX182">
        <f ca="1">IFERROR(IF(0=LEN(ReferenceData!$AX$182),"",ReferenceData!$AX$182),"")</f>
        <v>2.1979610709999999</v>
      </c>
      <c r="AY182">
        <f ca="1">IFERROR(IF(0=LEN(ReferenceData!$AY$182),"",ReferenceData!$AY$182),"")</f>
        <v>1.8245963970000001</v>
      </c>
      <c r="AZ182">
        <f ca="1">IFERROR(IF(0=LEN(ReferenceData!$AZ$182),"",ReferenceData!$AZ$182),"")</f>
        <v>2.4266615140000001</v>
      </c>
      <c r="BA182">
        <f ca="1">IFERROR(IF(0=LEN(ReferenceData!$BA$182),"",ReferenceData!$BA$182),"")</f>
        <v>2.4235729479999999</v>
      </c>
      <c r="BB182">
        <f ca="1">IFERROR(IF(0=LEN(ReferenceData!$BB$182),"",ReferenceData!$BB$182),"")</f>
        <v>2.5335071490000001</v>
      </c>
      <c r="BC182">
        <f ca="1">IFERROR(IF(0=LEN(ReferenceData!$BC$182),"",ReferenceData!$BC$182),"")</f>
        <v>2.581278658</v>
      </c>
      <c r="BD182">
        <f ca="1">IFERROR(IF(0=LEN(ReferenceData!$BD$182),"",ReferenceData!$BD$182),"")</f>
        <v>2.5890498289999999</v>
      </c>
      <c r="BE182">
        <f ca="1">IFERROR(IF(0=LEN(ReferenceData!$BE$182),"",ReferenceData!$BE$182),"")</f>
        <v>2.4372910050000001</v>
      </c>
      <c r="BF182">
        <f ca="1">IFERROR(IF(0=LEN(ReferenceData!$BF$182),"",ReferenceData!$BF$182),"")</f>
        <v>2.5626196459999999</v>
      </c>
      <c r="BG182">
        <f ca="1">IFERROR(IF(0=LEN(ReferenceData!$BG$182),"",ReferenceData!$BG$182),"")</f>
        <v>2.1742264040000001</v>
      </c>
      <c r="BH182">
        <f ca="1">IFERROR(IF(0=LEN(ReferenceData!$BH$182),"",ReferenceData!$BH$182),"")</f>
        <v>2.5438715649999999</v>
      </c>
      <c r="BI182">
        <f ca="1">IFERROR(IF(0=LEN(ReferenceData!$BI$182),"",ReferenceData!$BI$182),"")</f>
        <v>2.683825541</v>
      </c>
      <c r="BJ182">
        <f ca="1">IFERROR(IF(0=LEN(ReferenceData!$BJ$182),"",ReferenceData!$BJ$182),"")</f>
        <v>2.7911139220000001</v>
      </c>
      <c r="BK182">
        <f ca="1">IFERROR(IF(0=LEN(ReferenceData!$BK$182),"",ReferenceData!$BK$182),"")</f>
        <v>2.821252264</v>
      </c>
      <c r="BL182">
        <f ca="1">IFERROR(IF(0=LEN(ReferenceData!$BL$182),"",ReferenceData!$BL$182),"")</f>
        <v>2.3830342080000002</v>
      </c>
      <c r="BM182">
        <f ca="1">IFERROR(IF(0=LEN(ReferenceData!$BM$182),"",ReferenceData!$BM$182),"")</f>
        <v>2.5478335630000002</v>
      </c>
    </row>
    <row r="183" spans="1:65">
      <c r="A183" t="str">
        <f>IFERROR(IF(0=LEN(ReferenceData!$A$183),"",ReferenceData!$A$183),"")</f>
        <v>FFO/资产(%)</v>
      </c>
      <c r="B183" t="str">
        <f>IFERROR(IF(0=LEN(ReferenceData!$B$183),"",ReferenceData!$B$183),"")</f>
        <v/>
      </c>
      <c r="C183" t="str">
        <f>IFERROR(IF(0=LEN(ReferenceData!$C$183),"",ReferenceData!$C$183),"")</f>
        <v/>
      </c>
      <c r="D183" t="str">
        <f>IFERROR(IF(0=LEN(ReferenceData!$D$183),"",ReferenceData!$D$183),"")</f>
        <v/>
      </c>
      <c r="E183" t="str">
        <f>IFERROR(IF(0=LEN(ReferenceData!$E$183),"",ReferenceData!$E$183),"")</f>
        <v>Median</v>
      </c>
      <c r="F183" t="str">
        <f ca="1">IFERROR(IF(0=LEN(ReferenceData!$F$183),"",ReferenceData!$F$183),"")</f>
        <v/>
      </c>
      <c r="G183">
        <f ca="1">IFERROR(IF(0=LEN(ReferenceData!$G$183),"",ReferenceData!$G$183),"")</f>
        <v>5.6086556349999999</v>
      </c>
      <c r="H183">
        <f ca="1">IFERROR(IF(0=LEN(ReferenceData!$H$183),"",ReferenceData!$H$183),"")</f>
        <v>6.0134705090000002</v>
      </c>
      <c r="I183">
        <f ca="1">IFERROR(IF(0=LEN(ReferenceData!$I$183),"",ReferenceData!$I$183),"")</f>
        <v>6.4524601830000003</v>
      </c>
      <c r="J183">
        <f ca="1">IFERROR(IF(0=LEN(ReferenceData!$J$183),"",ReferenceData!$J$183),"")</f>
        <v>6.7893854859999996</v>
      </c>
      <c r="K183">
        <f ca="1">IFERROR(IF(0=LEN(ReferenceData!$K$183),"",ReferenceData!$K$183),"")</f>
        <v>6.8973840180000003</v>
      </c>
      <c r="L183">
        <f ca="1">IFERROR(IF(0=LEN(ReferenceData!$L$183),"",ReferenceData!$L$183),"")</f>
        <v>6.4064057610000003</v>
      </c>
      <c r="M183">
        <f ca="1">IFERROR(IF(0=LEN(ReferenceData!$M$183),"",ReferenceData!$M$183),"")</f>
        <v>6.4489521639999996</v>
      </c>
      <c r="N183">
        <f ca="1">IFERROR(IF(0=LEN(ReferenceData!$N$183),"",ReferenceData!$N$183),"")</f>
        <v>6.3130264240000002</v>
      </c>
      <c r="O183">
        <f ca="1">IFERROR(IF(0=LEN(ReferenceData!$O$183),"",ReferenceData!$O$183),"")</f>
        <v>6.2979522560000003</v>
      </c>
      <c r="P183">
        <f ca="1">IFERROR(IF(0=LEN(ReferenceData!$P$183),"",ReferenceData!$P$183),"")</f>
        <v>6.4018009985000006</v>
      </c>
      <c r="Q183">
        <f ca="1">IFERROR(IF(0=LEN(ReferenceData!$Q$183),"",ReferenceData!$Q$183),"")</f>
        <v>6.0287875280000005</v>
      </c>
      <c r="R183">
        <f ca="1">IFERROR(IF(0=LEN(ReferenceData!$R$183),"",ReferenceData!$R$183),"")</f>
        <v>6.1622152544999995</v>
      </c>
      <c r="S183">
        <f ca="1">IFERROR(IF(0=LEN(ReferenceData!$S$183),"",ReferenceData!$S$183),"")</f>
        <v>6.4387730080000001</v>
      </c>
      <c r="T183">
        <f ca="1">IFERROR(IF(0=LEN(ReferenceData!$T$183),"",ReferenceData!$T$183),"")</f>
        <v>6.0684705594999997</v>
      </c>
      <c r="U183">
        <f ca="1">IFERROR(IF(0=LEN(ReferenceData!$U$183),"",ReferenceData!$U$183),"")</f>
        <v>6.4552981235000004</v>
      </c>
      <c r="V183">
        <f ca="1">IFERROR(IF(0=LEN(ReferenceData!$V$183),"",ReferenceData!$V$183),"")</f>
        <v>6.0838893335000002</v>
      </c>
      <c r="W183">
        <f ca="1">IFERROR(IF(0=LEN(ReferenceData!$W$183),"",ReferenceData!$W$183),"")</f>
        <v>6.6856275199999997</v>
      </c>
      <c r="X183">
        <f ca="1">IFERROR(IF(0=LEN(ReferenceData!$X$183),"",ReferenceData!$X$183),"")</f>
        <v>6.6335994135000007</v>
      </c>
      <c r="Y183">
        <f ca="1">IFERROR(IF(0=LEN(ReferenceData!$Y$183),"",ReferenceData!$Y$183),"")</f>
        <v>6.6502642129999998</v>
      </c>
      <c r="Z183">
        <f ca="1">IFERROR(IF(0=LEN(ReferenceData!$Z$183),"",ReferenceData!$Z$183),"")</f>
        <v>6.617055755</v>
      </c>
      <c r="AA183">
        <f ca="1">IFERROR(IF(0=LEN(ReferenceData!$AA$183),"",ReferenceData!$AA$183),"")</f>
        <v>6.332803663</v>
      </c>
      <c r="AB183">
        <f ca="1">IFERROR(IF(0=LEN(ReferenceData!$AB$183),"",ReferenceData!$AB$183),"")</f>
        <v>6.0880617184999997</v>
      </c>
      <c r="AC183">
        <f ca="1">IFERROR(IF(0=LEN(ReferenceData!$AC$183),"",ReferenceData!$AC$183),"")</f>
        <v>5.4762257185000003</v>
      </c>
      <c r="AD183">
        <f ca="1">IFERROR(IF(0=LEN(ReferenceData!$AD$183),"",ReferenceData!$AD$183),"")</f>
        <v>6.2721035599999997</v>
      </c>
      <c r="AE183">
        <f ca="1">IFERROR(IF(0=LEN(ReferenceData!$AE$183),"",ReferenceData!$AE$183),"")</f>
        <v>6.1254312459999998</v>
      </c>
      <c r="AF183">
        <f ca="1">IFERROR(IF(0=LEN(ReferenceData!$AF$183),"",ReferenceData!$AF$183),"")</f>
        <v>5.2493675199999998</v>
      </c>
      <c r="AG183">
        <f ca="1">IFERROR(IF(0=LEN(ReferenceData!$AG$183),"",ReferenceData!$AG$183),"")</f>
        <v>5.5392009</v>
      </c>
      <c r="AH183">
        <f ca="1">IFERROR(IF(0=LEN(ReferenceData!$AH$183),"",ReferenceData!$AH$183),"")</f>
        <v>5.1460867099999996</v>
      </c>
      <c r="AI183">
        <f ca="1">IFERROR(IF(0=LEN(ReferenceData!$AI$183),"",ReferenceData!$AI$183),"")</f>
        <v>4.6921475985000001</v>
      </c>
      <c r="AJ183">
        <f ca="1">IFERROR(IF(0=LEN(ReferenceData!$AJ$183),"",ReferenceData!$AJ$183),"")</f>
        <v>4.2854357474999993</v>
      </c>
      <c r="AK183">
        <f ca="1">IFERROR(IF(0=LEN(ReferenceData!$AK$183),"",ReferenceData!$AK$183),"")</f>
        <v>4.6809668845000001</v>
      </c>
      <c r="AL183">
        <f ca="1">IFERROR(IF(0=LEN(ReferenceData!$AL$183),"",ReferenceData!$AL$183),"")</f>
        <v>4.8460423395000003</v>
      </c>
      <c r="AM183">
        <f ca="1">IFERROR(IF(0=LEN(ReferenceData!$AM$183),"",ReferenceData!$AM$183),"")</f>
        <v>5.5773489109999996</v>
      </c>
      <c r="AN183">
        <f ca="1">IFERROR(IF(0=LEN(ReferenceData!$AN$183),"",ReferenceData!$AN$183),"")</f>
        <v>5.6327894349999994</v>
      </c>
      <c r="AO183">
        <f ca="1">IFERROR(IF(0=LEN(ReferenceData!$AO$183),"",ReferenceData!$AO$183),"")</f>
        <v>5.761915213</v>
      </c>
      <c r="AP183">
        <f ca="1">IFERROR(IF(0=LEN(ReferenceData!$AP$183),"",ReferenceData!$AP$183),"")</f>
        <v>5.4547504364999995</v>
      </c>
      <c r="AQ183">
        <f ca="1">IFERROR(IF(0=LEN(ReferenceData!$AQ$183),"",ReferenceData!$AQ$183),"")</f>
        <v>5.344839737</v>
      </c>
      <c r="AR183">
        <f ca="1">IFERROR(IF(0=LEN(ReferenceData!$AR$183),"",ReferenceData!$AR$183),"")</f>
        <v>5.6585548980000002</v>
      </c>
      <c r="AS183">
        <f ca="1">IFERROR(IF(0=LEN(ReferenceData!$AS$183),"",ReferenceData!$AS$183),"")</f>
        <v>5.6429265730000004</v>
      </c>
      <c r="AT183">
        <f ca="1">IFERROR(IF(0=LEN(ReferenceData!$AT$183),"",ReferenceData!$AT$183),"")</f>
        <v>6.6192651764999999</v>
      </c>
      <c r="AU183">
        <f ca="1">IFERROR(IF(0=LEN(ReferenceData!$AU$183),"",ReferenceData!$AU$183),"")</f>
        <v>6.3347763179999994</v>
      </c>
      <c r="AV183">
        <f ca="1">IFERROR(IF(0=LEN(ReferenceData!$AV$183),"",ReferenceData!$AV$183),"")</f>
        <v>6.2483642100000001</v>
      </c>
      <c r="AW183">
        <f ca="1">IFERROR(IF(0=LEN(ReferenceData!$AW$183),"",ReferenceData!$AW$183),"")</f>
        <v>6.7553645229999999</v>
      </c>
      <c r="AX183">
        <f ca="1">IFERROR(IF(0=LEN(ReferenceData!$AX$183),"",ReferenceData!$AX$183),"")</f>
        <v>6.844448227</v>
      </c>
      <c r="AY183">
        <f ca="1">IFERROR(IF(0=LEN(ReferenceData!$AY$183),"",ReferenceData!$AY$183),"")</f>
        <v>6.9062434274999998</v>
      </c>
      <c r="AZ183">
        <f ca="1">IFERROR(IF(0=LEN(ReferenceData!$AZ$183),"",ReferenceData!$AZ$183),"")</f>
        <v>7.4715715290000002</v>
      </c>
      <c r="BA183">
        <f ca="1">IFERROR(IF(0=LEN(ReferenceData!$BA$183),"",ReferenceData!$BA$183),"")</f>
        <v>7.4986714370000005</v>
      </c>
      <c r="BB183">
        <f ca="1">IFERROR(IF(0=LEN(ReferenceData!$BB$183),"",ReferenceData!$BB$183),"")</f>
        <v>6.5244241399999998</v>
      </c>
      <c r="BC183">
        <f ca="1">IFERROR(IF(0=LEN(ReferenceData!$BC$183),"",ReferenceData!$BC$183),"")</f>
        <v>6.2558603120000003</v>
      </c>
      <c r="BD183">
        <f ca="1">IFERROR(IF(0=LEN(ReferenceData!$BD$183),"",ReferenceData!$BD$183),"")</f>
        <v>6.1272600969999997</v>
      </c>
      <c r="BE183">
        <f ca="1">IFERROR(IF(0=LEN(ReferenceData!$BE$183),"",ReferenceData!$BE$183),"")</f>
        <v>6.2869690844999999</v>
      </c>
      <c r="BF183">
        <f ca="1">IFERROR(IF(0=LEN(ReferenceData!$BF$183),"",ReferenceData!$BF$183),"")</f>
        <v>6.9765456480000001</v>
      </c>
      <c r="BG183">
        <f ca="1">IFERROR(IF(0=LEN(ReferenceData!$BG$183),"",ReferenceData!$BG$183),"")</f>
        <v>7.0055744655000005</v>
      </c>
      <c r="BH183">
        <f ca="1">IFERROR(IF(0=LEN(ReferenceData!$BH$183),"",ReferenceData!$BH$183),"")</f>
        <v>7.1863777649999996</v>
      </c>
      <c r="BI183">
        <f ca="1">IFERROR(IF(0=LEN(ReferenceData!$BI$183),"",ReferenceData!$BI$183),"")</f>
        <v>10.49075438</v>
      </c>
      <c r="BJ183">
        <f ca="1">IFERROR(IF(0=LEN(ReferenceData!$BJ$183),"",ReferenceData!$BJ$183),"")</f>
        <v>10.969776510000001</v>
      </c>
      <c r="BK183">
        <f ca="1">IFERROR(IF(0=LEN(ReferenceData!$BK$183),"",ReferenceData!$BK$183),"")</f>
        <v>11.124472020000001</v>
      </c>
      <c r="BL183">
        <f ca="1">IFERROR(IF(0=LEN(ReferenceData!$BL$183),"",ReferenceData!$BL$183),"")</f>
        <v>11.281623290000001</v>
      </c>
      <c r="BM183">
        <f ca="1">IFERROR(IF(0=LEN(ReferenceData!$BM$183),"",ReferenceData!$BM$183),"")</f>
        <v>6.6575402229999998</v>
      </c>
    </row>
    <row r="184" spans="1:65">
      <c r="A184" t="str">
        <f>IFERROR(IF(0=LEN(ReferenceData!$A$184),"",ReferenceData!$A$184),"")</f>
        <v xml:space="preserve">    Alexandria Real Estate Equitie</v>
      </c>
      <c r="B184" t="str">
        <f>IFERROR(IF(0=LEN(ReferenceData!$B$184),"",ReferenceData!$B$184),"")</f>
        <v>ARE US Equity</v>
      </c>
      <c r="C184" t="str">
        <f>IFERROR(IF(0=LEN(ReferenceData!$C$184),"",ReferenceData!$C$184),"")</f>
        <v>RR554</v>
      </c>
      <c r="D184" t="str">
        <f>IFERROR(IF(0=LEN(ReferenceData!$D$184),"",ReferenceData!$D$184),"")</f>
        <v>FFO_RE_ASSET</v>
      </c>
      <c r="E184" t="str">
        <f>IFERROR(IF(0=LEN(ReferenceData!$E$184),"",ReferenceData!$E$184),"")</f>
        <v>动态</v>
      </c>
      <c r="F184" t="str">
        <f ca="1">IFERROR(IF(0=LEN(ReferenceData!$F$184),"",ReferenceData!$F$184),"")</f>
        <v/>
      </c>
      <c r="G184">
        <f ca="1">IFERROR(IF(0=LEN(ReferenceData!$G$184),"",ReferenceData!$G$184),"")</f>
        <v>5.4435340840000004</v>
      </c>
      <c r="H184">
        <f ca="1">IFERROR(IF(0=LEN(ReferenceData!$H$184),"",ReferenceData!$H$184),"")</f>
        <v>5.0594910850000003</v>
      </c>
      <c r="I184">
        <f ca="1">IFERROR(IF(0=LEN(ReferenceData!$I$184),"",ReferenceData!$I$184),"")</f>
        <v>4.5571610890000001</v>
      </c>
      <c r="J184">
        <f ca="1">IFERROR(IF(0=LEN(ReferenceData!$J$184),"",ReferenceData!$J$184),"")</f>
        <v>3.4830968000000002</v>
      </c>
      <c r="K184">
        <f ca="1">IFERROR(IF(0=LEN(ReferenceData!$K$184),"",ReferenceData!$K$184),"")</f>
        <v>2.9549679430000002</v>
      </c>
      <c r="L184">
        <f ca="1">IFERROR(IF(0=LEN(ReferenceData!$L$184),"",ReferenceData!$L$184),"")</f>
        <v>3.6241696430000001</v>
      </c>
      <c r="M184">
        <f ca="1">IFERROR(IF(0=LEN(ReferenceData!$M$184),"",ReferenceData!$M$184),"")</f>
        <v>3.8900668899999999</v>
      </c>
      <c r="N184">
        <f ca="1">IFERROR(IF(0=LEN(ReferenceData!$N$184),"",ReferenceData!$N$184),"")</f>
        <v>4.7540193840000002</v>
      </c>
      <c r="O184">
        <f ca="1">IFERROR(IF(0=LEN(ReferenceData!$O$184),"",ReferenceData!$O$184),"")</f>
        <v>5.1868265349999998</v>
      </c>
      <c r="P184">
        <f ca="1">IFERROR(IF(0=LEN(ReferenceData!$P$184),"",ReferenceData!$P$184),"")</f>
        <v>4.6674219939999997</v>
      </c>
      <c r="Q184">
        <f ca="1">IFERROR(IF(0=LEN(ReferenceData!$Q$184),"",ReferenceData!$Q$184),"")</f>
        <v>4.5850781930000002</v>
      </c>
      <c r="R184">
        <f ca="1">IFERROR(IF(0=LEN(ReferenceData!$R$184),"",ReferenceData!$R$184),"")</f>
        <v>4.5100120329999998</v>
      </c>
      <c r="S184">
        <f ca="1">IFERROR(IF(0=LEN(ReferenceData!$S$184),"",ReferenceData!$S$184),"")</f>
        <v>4.4935881279999998</v>
      </c>
      <c r="T184">
        <f ca="1">IFERROR(IF(0=LEN(ReferenceData!$T$184),"",ReferenceData!$T$184),"")</f>
        <v>4.8273197100000003</v>
      </c>
      <c r="U184">
        <f ca="1">IFERROR(IF(0=LEN(ReferenceData!$U$184),"",ReferenceData!$U$184),"")</f>
        <v>4.7672354410000004</v>
      </c>
      <c r="V184">
        <f ca="1">IFERROR(IF(0=LEN(ReferenceData!$V$184),"",ReferenceData!$V$184),"")</f>
        <v>4.6282559230000002</v>
      </c>
      <c r="W184">
        <f ca="1">IFERROR(IF(0=LEN(ReferenceData!$W$184),"",ReferenceData!$W$184),"")</f>
        <v>4.4673283899999996</v>
      </c>
      <c r="X184">
        <f ca="1">IFERROR(IF(0=LEN(ReferenceData!$X$184),"",ReferenceData!$X$184),"")</f>
        <v>4.4226217739999996</v>
      </c>
      <c r="Y184">
        <f ca="1">IFERROR(IF(0=LEN(ReferenceData!$Y$184),"",ReferenceData!$Y$184),"")</f>
        <v>4.4081169620000002</v>
      </c>
      <c r="Z184">
        <f ca="1">IFERROR(IF(0=LEN(ReferenceData!$Z$184),"",ReferenceData!$Z$184),"")</f>
        <v>4.4520714129999996</v>
      </c>
      <c r="AA184">
        <f ca="1">IFERROR(IF(0=LEN(ReferenceData!$AA$184),"",ReferenceData!$AA$184),"")</f>
        <v>4.3056159010000004</v>
      </c>
      <c r="AB184">
        <f ca="1">IFERROR(IF(0=LEN(ReferenceData!$AB$184),"",ReferenceData!$AB$184),"")</f>
        <v>4.3280343029999999</v>
      </c>
      <c r="AC184">
        <f ca="1">IFERROR(IF(0=LEN(ReferenceData!$AC$184),"",ReferenceData!$AC$184),"")</f>
        <v>4.3553780240000002</v>
      </c>
      <c r="AD184">
        <f ca="1">IFERROR(IF(0=LEN(ReferenceData!$AD$184),"",ReferenceData!$AD$184),"")</f>
        <v>4.4555512329999996</v>
      </c>
      <c r="AE184">
        <f ca="1">IFERROR(IF(0=LEN(ReferenceData!$AE$184),"",ReferenceData!$AE$184),"")</f>
        <v>4.5334714480000002</v>
      </c>
      <c r="AF184">
        <f ca="1">IFERROR(IF(0=LEN(ReferenceData!$AF$184),"",ReferenceData!$AF$184),"")</f>
        <v>4.4697976349999999</v>
      </c>
      <c r="AG184">
        <f ca="1">IFERROR(IF(0=LEN(ReferenceData!$AG$184),"",ReferenceData!$AG$184),"")</f>
        <v>4.3391348489999997</v>
      </c>
      <c r="AH184">
        <f ca="1">IFERROR(IF(0=LEN(ReferenceData!$AH$184),"",ReferenceData!$AH$184),"")</f>
        <v>3.4644192629999999</v>
      </c>
      <c r="AI184">
        <f ca="1">IFERROR(IF(0=LEN(ReferenceData!$AI$184),"",ReferenceData!$AI$184),"")</f>
        <v>3.3604916930000002</v>
      </c>
      <c r="AJ184">
        <f ca="1">IFERROR(IF(0=LEN(ReferenceData!$AJ$184),"",ReferenceData!$AJ$184),"")</f>
        <v>3.3564103749999998</v>
      </c>
      <c r="AK184">
        <f ca="1">IFERROR(IF(0=LEN(ReferenceData!$AK$184),"",ReferenceData!$AK$184),"")</f>
        <v>3.3581173230000001</v>
      </c>
      <c r="AL184">
        <f ca="1">IFERROR(IF(0=LEN(ReferenceData!$AL$184),"",ReferenceData!$AL$184),"")</f>
        <v>4.5513147900000002</v>
      </c>
      <c r="AM184">
        <f ca="1">IFERROR(IF(0=LEN(ReferenceData!$AM$184),"",ReferenceData!$AM$184),"")</f>
        <v>4.7408110270000003</v>
      </c>
      <c r="AN184">
        <f ca="1">IFERROR(IF(0=LEN(ReferenceData!$AN$184),"",ReferenceData!$AN$184),"")</f>
        <v>4.7054912499999997</v>
      </c>
      <c r="AO184">
        <f ca="1">IFERROR(IF(0=LEN(ReferenceData!$AO$184),"",ReferenceData!$AO$184),"")</f>
        <v>4.7169950910000003</v>
      </c>
      <c r="AP184">
        <f ca="1">IFERROR(IF(0=LEN(ReferenceData!$AP$184),"",ReferenceData!$AP$184),"")</f>
        <v>4.3995279099999998</v>
      </c>
      <c r="AQ184">
        <f ca="1">IFERROR(IF(0=LEN(ReferenceData!$AQ$184),"",ReferenceData!$AQ$184),"")</f>
        <v>3.9383145449999999</v>
      </c>
      <c r="AR184">
        <f ca="1">IFERROR(IF(0=LEN(ReferenceData!$AR$184),"",ReferenceData!$AR$184),"")</f>
        <v>4.1480704270000004</v>
      </c>
      <c r="AS184">
        <f ca="1">IFERROR(IF(0=LEN(ReferenceData!$AS$184),"",ReferenceData!$AS$184),"")</f>
        <v>4.3579117219999999</v>
      </c>
      <c r="AT184">
        <f ca="1">IFERROR(IF(0=LEN(ReferenceData!$AT$184),"",ReferenceData!$AT$184),"")</f>
        <v>4.3755621800000002</v>
      </c>
      <c r="AU184">
        <f ca="1">IFERROR(IF(0=LEN(ReferenceData!$AU$184),"",ReferenceData!$AU$184),"")</f>
        <v>4.418874057</v>
      </c>
      <c r="AV184">
        <f ca="1">IFERROR(IF(0=LEN(ReferenceData!$AV$184),"",ReferenceData!$AV$184),"")</f>
        <v>4.623173178</v>
      </c>
      <c r="AW184">
        <f ca="1">IFERROR(IF(0=LEN(ReferenceData!$AW$184),"",ReferenceData!$AW$184),"")</f>
        <v>5.2748364170000004</v>
      </c>
      <c r="AX184">
        <f ca="1">IFERROR(IF(0=LEN(ReferenceData!$AX$184),"",ReferenceData!$AX$184),"")</f>
        <v>4.9923101709999997</v>
      </c>
      <c r="AY184">
        <f ca="1">IFERROR(IF(0=LEN(ReferenceData!$AY$184),"",ReferenceData!$AY$184),"")</f>
        <v>4.8399684010000001</v>
      </c>
      <c r="AZ184">
        <f ca="1">IFERROR(IF(0=LEN(ReferenceData!$AZ$184),"",ReferenceData!$AZ$184),"")</f>
        <v>4.8225926000000001</v>
      </c>
      <c r="BA184">
        <f ca="1">IFERROR(IF(0=LEN(ReferenceData!$BA$184),"",ReferenceData!$BA$184),"")</f>
        <v>5.2929005130000002</v>
      </c>
      <c r="BB184">
        <f ca="1">IFERROR(IF(0=LEN(ReferenceData!$BB$184),"",ReferenceData!$BB$184),"")</f>
        <v>5.2820225949999999</v>
      </c>
      <c r="BC184">
        <f ca="1">IFERROR(IF(0=LEN(ReferenceData!$BC$184),"",ReferenceData!$BC$184),"")</f>
        <v>5.4061625089999996</v>
      </c>
      <c r="BD184">
        <f ca="1">IFERROR(IF(0=LEN(ReferenceData!$BD$184),"",ReferenceData!$BD$184),"")</f>
        <v>5.9241691899999998</v>
      </c>
      <c r="BE184">
        <f ca="1">IFERROR(IF(0=LEN(ReferenceData!$BE$184),"",ReferenceData!$BE$184),"")</f>
        <v>6.0689480570000001</v>
      </c>
      <c r="BF184">
        <f ca="1">IFERROR(IF(0=LEN(ReferenceData!$BF$184),"",ReferenceData!$BF$184),"")</f>
        <v>6.0136901749999998</v>
      </c>
      <c r="BG184">
        <f ca="1">IFERROR(IF(0=LEN(ReferenceData!$BG$184),"",ReferenceData!$BG$184),"")</f>
        <v>6.1524649279999997</v>
      </c>
      <c r="BH184">
        <f ca="1">IFERROR(IF(0=LEN(ReferenceData!$BH$184),"",ReferenceData!$BH$184),"")</f>
        <v>6.9204385290000001</v>
      </c>
      <c r="BI184">
        <f ca="1">IFERROR(IF(0=LEN(ReferenceData!$BI$184),"",ReferenceData!$BI$184),"")</f>
        <v>10.49075438</v>
      </c>
      <c r="BJ184">
        <f ca="1">IFERROR(IF(0=LEN(ReferenceData!$BJ$184),"",ReferenceData!$BJ$184),"")</f>
        <v>10.969776510000001</v>
      </c>
      <c r="BK184">
        <f ca="1">IFERROR(IF(0=LEN(ReferenceData!$BK$184),"",ReferenceData!$BK$184),"")</f>
        <v>11.124472020000001</v>
      </c>
      <c r="BL184" t="str">
        <f ca="1">IFERROR(IF(0=LEN(ReferenceData!$BL$184),"",ReferenceData!$BL$184),"")</f>
        <v/>
      </c>
      <c r="BM184" t="str">
        <f ca="1">IFERROR(IF(0=LEN(ReferenceData!$BM$184),"",ReferenceData!$BM$184),"")</f>
        <v/>
      </c>
    </row>
    <row r="185" spans="1:65">
      <c r="A185" t="str">
        <f>IFERROR(IF(0=LEN(ReferenceData!$A$185),"",ReferenceData!$A$185),"")</f>
        <v xml:space="preserve">    Care Capital Properties Inc</v>
      </c>
      <c r="B185" t="str">
        <f>IFERROR(IF(0=LEN(ReferenceData!$B$185),"",ReferenceData!$B$185),"")</f>
        <v>CCP US Equity</v>
      </c>
      <c r="C185" t="str">
        <f>IFERROR(IF(0=LEN(ReferenceData!$C$185),"",ReferenceData!$C$185),"")</f>
        <v>RR554</v>
      </c>
      <c r="D185" t="str">
        <f>IFERROR(IF(0=LEN(ReferenceData!$D$185),"",ReferenceData!$D$185),"")</f>
        <v>FFO_RE_ASSET</v>
      </c>
      <c r="E185" t="str">
        <f>IFERROR(IF(0=LEN(ReferenceData!$E$185),"",ReferenceData!$E$185),"")</f>
        <v>动态</v>
      </c>
      <c r="F185" t="str">
        <f ca="1">IFERROR(IF(0=LEN(ReferenceData!$F$185),"",ReferenceData!$F$185),"")</f>
        <v/>
      </c>
      <c r="G185" t="str">
        <f ca="1">IFERROR(IF(0=LEN(ReferenceData!$G$185),"",ReferenceData!$G$185),"")</f>
        <v/>
      </c>
      <c r="H185" t="str">
        <f ca="1">IFERROR(IF(0=LEN(ReferenceData!$H$185),"",ReferenceData!$H$185),"")</f>
        <v/>
      </c>
      <c r="I185">
        <f ca="1">IFERROR(IF(0=LEN(ReferenceData!$I$185),"",ReferenceData!$I$185),"")</f>
        <v>9.3264216159999993</v>
      </c>
      <c r="J185">
        <f ca="1">IFERROR(IF(0=LEN(ReferenceData!$J$185),"",ReferenceData!$J$185),"")</f>
        <v>9.3739036430000002</v>
      </c>
      <c r="K185">
        <f ca="1">IFERROR(IF(0=LEN(ReferenceData!$K$185),"",ReferenceData!$K$185),"")</f>
        <v>9.3562175140000008</v>
      </c>
      <c r="L185">
        <f ca="1">IFERROR(IF(0=LEN(ReferenceData!$L$185),"",ReferenceData!$L$185),"")</f>
        <v>9.5715438000000006</v>
      </c>
      <c r="M185">
        <f ca="1">IFERROR(IF(0=LEN(ReferenceData!$M$185),"",ReferenceData!$M$185),"")</f>
        <v>10.186255360000001</v>
      </c>
      <c r="N185" t="str">
        <f ca="1">IFERROR(IF(0=LEN(ReferenceData!$N$185),"",ReferenceData!$N$185),"")</f>
        <v/>
      </c>
      <c r="O185" t="str">
        <f ca="1">IFERROR(IF(0=LEN(ReferenceData!$O$185),"",ReferenceData!$O$185),"")</f>
        <v/>
      </c>
      <c r="P185" t="str">
        <f ca="1">IFERROR(IF(0=LEN(ReferenceData!$P$185),"",ReferenceData!$P$185),"")</f>
        <v/>
      </c>
      <c r="Q185" t="str">
        <f ca="1">IFERROR(IF(0=LEN(ReferenceData!$Q$185),"",ReferenceData!$Q$185),"")</f>
        <v/>
      </c>
      <c r="R185" t="str">
        <f ca="1">IFERROR(IF(0=LEN(ReferenceData!$R$185),"",ReferenceData!$R$185),"")</f>
        <v/>
      </c>
      <c r="S185" t="str">
        <f ca="1">IFERROR(IF(0=LEN(ReferenceData!$S$185),"",ReferenceData!$S$185),"")</f>
        <v/>
      </c>
      <c r="T185" t="str">
        <f ca="1">IFERROR(IF(0=LEN(ReferenceData!$T$185),"",ReferenceData!$T$185),"")</f>
        <v/>
      </c>
      <c r="U185" t="str">
        <f ca="1">IFERROR(IF(0=LEN(ReferenceData!$U$185),"",ReferenceData!$U$185),"")</f>
        <v/>
      </c>
      <c r="V185" t="str">
        <f ca="1">IFERROR(IF(0=LEN(ReferenceData!$V$185),"",ReferenceData!$V$185),"")</f>
        <v/>
      </c>
      <c r="W185" t="str">
        <f ca="1">IFERROR(IF(0=LEN(ReferenceData!$W$185),"",ReferenceData!$W$185),"")</f>
        <v/>
      </c>
      <c r="X185" t="str">
        <f ca="1">IFERROR(IF(0=LEN(ReferenceData!$X$185),"",ReferenceData!$X$185),"")</f>
        <v/>
      </c>
      <c r="Y185" t="str">
        <f ca="1">IFERROR(IF(0=LEN(ReferenceData!$Y$185),"",ReferenceData!$Y$185),"")</f>
        <v/>
      </c>
      <c r="Z185" t="str">
        <f ca="1">IFERROR(IF(0=LEN(ReferenceData!$Z$185),"",ReferenceData!$Z$185),"")</f>
        <v/>
      </c>
      <c r="AA185" t="str">
        <f ca="1">IFERROR(IF(0=LEN(ReferenceData!$AA$185),"",ReferenceData!$AA$185),"")</f>
        <v/>
      </c>
      <c r="AB185" t="str">
        <f ca="1">IFERROR(IF(0=LEN(ReferenceData!$AB$185),"",ReferenceData!$AB$185),"")</f>
        <v/>
      </c>
      <c r="AC185" t="str">
        <f ca="1">IFERROR(IF(0=LEN(ReferenceData!$AC$185),"",ReferenceData!$AC$185),"")</f>
        <v/>
      </c>
      <c r="AD185" t="str">
        <f ca="1">IFERROR(IF(0=LEN(ReferenceData!$AD$185),"",ReferenceData!$AD$185),"")</f>
        <v/>
      </c>
      <c r="AE185" t="str">
        <f ca="1">IFERROR(IF(0=LEN(ReferenceData!$AE$185),"",ReferenceData!$AE$185),"")</f>
        <v/>
      </c>
      <c r="AF185" t="str">
        <f ca="1">IFERROR(IF(0=LEN(ReferenceData!$AF$185),"",ReferenceData!$AF$185),"")</f>
        <v/>
      </c>
      <c r="AG185" t="str">
        <f ca="1">IFERROR(IF(0=LEN(ReferenceData!$AG$185),"",ReferenceData!$AG$185),"")</f>
        <v/>
      </c>
      <c r="AH185" t="str">
        <f ca="1">IFERROR(IF(0=LEN(ReferenceData!$AH$185),"",ReferenceData!$AH$185),"")</f>
        <v/>
      </c>
      <c r="AI185" t="str">
        <f ca="1">IFERROR(IF(0=LEN(ReferenceData!$AI$185),"",ReferenceData!$AI$185),"")</f>
        <v/>
      </c>
      <c r="AJ185" t="str">
        <f ca="1">IFERROR(IF(0=LEN(ReferenceData!$AJ$185),"",ReferenceData!$AJ$185),"")</f>
        <v/>
      </c>
      <c r="AK185" t="str">
        <f ca="1">IFERROR(IF(0=LEN(ReferenceData!$AK$185),"",ReferenceData!$AK$185),"")</f>
        <v/>
      </c>
      <c r="AL185" t="str">
        <f ca="1">IFERROR(IF(0=LEN(ReferenceData!$AL$185),"",ReferenceData!$AL$185),"")</f>
        <v/>
      </c>
      <c r="AM185" t="str">
        <f ca="1">IFERROR(IF(0=LEN(ReferenceData!$AM$185),"",ReferenceData!$AM$185),"")</f>
        <v/>
      </c>
      <c r="AN185" t="str">
        <f ca="1">IFERROR(IF(0=LEN(ReferenceData!$AN$185),"",ReferenceData!$AN$185),"")</f>
        <v/>
      </c>
      <c r="AO185" t="str">
        <f ca="1">IFERROR(IF(0=LEN(ReferenceData!$AO$185),"",ReferenceData!$AO$185),"")</f>
        <v/>
      </c>
      <c r="AP185" t="str">
        <f ca="1">IFERROR(IF(0=LEN(ReferenceData!$AP$185),"",ReferenceData!$AP$185),"")</f>
        <v/>
      </c>
      <c r="AQ185" t="str">
        <f ca="1">IFERROR(IF(0=LEN(ReferenceData!$AQ$185),"",ReferenceData!$AQ$185),"")</f>
        <v/>
      </c>
      <c r="AR185" t="str">
        <f ca="1">IFERROR(IF(0=LEN(ReferenceData!$AR$185),"",ReferenceData!$AR$185),"")</f>
        <v/>
      </c>
      <c r="AS185" t="str">
        <f ca="1">IFERROR(IF(0=LEN(ReferenceData!$AS$185),"",ReferenceData!$AS$185),"")</f>
        <v/>
      </c>
      <c r="AT185" t="str">
        <f ca="1">IFERROR(IF(0=LEN(ReferenceData!$AT$185),"",ReferenceData!$AT$185),"")</f>
        <v/>
      </c>
      <c r="AU185" t="str">
        <f ca="1">IFERROR(IF(0=LEN(ReferenceData!$AU$185),"",ReferenceData!$AU$185),"")</f>
        <v/>
      </c>
      <c r="AV185" t="str">
        <f ca="1">IFERROR(IF(0=LEN(ReferenceData!$AV$185),"",ReferenceData!$AV$185),"")</f>
        <v/>
      </c>
      <c r="AW185" t="str">
        <f ca="1">IFERROR(IF(0=LEN(ReferenceData!$AW$185),"",ReferenceData!$AW$185),"")</f>
        <v/>
      </c>
      <c r="AX185" t="str">
        <f ca="1">IFERROR(IF(0=LEN(ReferenceData!$AX$185),"",ReferenceData!$AX$185),"")</f>
        <v/>
      </c>
      <c r="AY185" t="str">
        <f ca="1">IFERROR(IF(0=LEN(ReferenceData!$AY$185),"",ReferenceData!$AY$185),"")</f>
        <v/>
      </c>
      <c r="AZ185" t="str">
        <f ca="1">IFERROR(IF(0=LEN(ReferenceData!$AZ$185),"",ReferenceData!$AZ$185),"")</f>
        <v/>
      </c>
      <c r="BA185" t="str">
        <f ca="1">IFERROR(IF(0=LEN(ReferenceData!$BA$185),"",ReferenceData!$BA$185),"")</f>
        <v/>
      </c>
      <c r="BB185" t="str">
        <f ca="1">IFERROR(IF(0=LEN(ReferenceData!$BB$185),"",ReferenceData!$BB$185),"")</f>
        <v/>
      </c>
      <c r="BC185" t="str">
        <f ca="1">IFERROR(IF(0=LEN(ReferenceData!$BC$185),"",ReferenceData!$BC$185),"")</f>
        <v/>
      </c>
      <c r="BD185" t="str">
        <f ca="1">IFERROR(IF(0=LEN(ReferenceData!$BD$185),"",ReferenceData!$BD$185),"")</f>
        <v/>
      </c>
      <c r="BE185" t="str">
        <f ca="1">IFERROR(IF(0=LEN(ReferenceData!$BE$185),"",ReferenceData!$BE$185),"")</f>
        <v/>
      </c>
      <c r="BF185" t="str">
        <f ca="1">IFERROR(IF(0=LEN(ReferenceData!$BF$185),"",ReferenceData!$BF$185),"")</f>
        <v/>
      </c>
      <c r="BG185" t="str">
        <f ca="1">IFERROR(IF(0=LEN(ReferenceData!$BG$185),"",ReferenceData!$BG$185),"")</f>
        <v/>
      </c>
      <c r="BH185" t="str">
        <f ca="1">IFERROR(IF(0=LEN(ReferenceData!$BH$185),"",ReferenceData!$BH$185),"")</f>
        <v/>
      </c>
      <c r="BI185" t="str">
        <f ca="1">IFERROR(IF(0=LEN(ReferenceData!$BI$185),"",ReferenceData!$BI$185),"")</f>
        <v/>
      </c>
      <c r="BJ185" t="str">
        <f ca="1">IFERROR(IF(0=LEN(ReferenceData!$BJ$185),"",ReferenceData!$BJ$185),"")</f>
        <v/>
      </c>
      <c r="BK185" t="str">
        <f ca="1">IFERROR(IF(0=LEN(ReferenceData!$BK$185),"",ReferenceData!$BK$185),"")</f>
        <v/>
      </c>
      <c r="BL185" t="str">
        <f ca="1">IFERROR(IF(0=LEN(ReferenceData!$BL$185),"",ReferenceData!$BL$185),"")</f>
        <v/>
      </c>
      <c r="BM185" t="str">
        <f ca="1">IFERROR(IF(0=LEN(ReferenceData!$BM$185),"",ReferenceData!$BM$185),"")</f>
        <v/>
      </c>
    </row>
    <row r="186" spans="1:65">
      <c r="A186" t="str">
        <f>IFERROR(IF(0=LEN(ReferenceData!$A$186),"",ReferenceData!$A$186),"")</f>
        <v xml:space="preserve">    HCP Inc</v>
      </c>
      <c r="B186" t="str">
        <f>IFERROR(IF(0=LEN(ReferenceData!$B$186),"",ReferenceData!$B$186),"")</f>
        <v>HCP US Equity</v>
      </c>
      <c r="C186" t="str">
        <f>IFERROR(IF(0=LEN(ReferenceData!$C$186),"",ReferenceData!$C$186),"")</f>
        <v>RR554</v>
      </c>
      <c r="D186" t="str">
        <f>IFERROR(IF(0=LEN(ReferenceData!$D$186),"",ReferenceData!$D$186),"")</f>
        <v>FFO_RE_ASSET</v>
      </c>
      <c r="E186" t="str">
        <f>IFERROR(IF(0=LEN(ReferenceData!$E$186),"",ReferenceData!$E$186),"")</f>
        <v>动态</v>
      </c>
      <c r="F186" t="str">
        <f ca="1">IFERROR(IF(0=LEN(ReferenceData!$F$186),"",ReferenceData!$F$186),"")</f>
        <v/>
      </c>
      <c r="G186">
        <f ca="1">IFERROR(IF(0=LEN(ReferenceData!$G$186),"",ReferenceData!$G$186),"")</f>
        <v>4.8520308710000002</v>
      </c>
      <c r="H186">
        <f ca="1">IFERROR(IF(0=LEN(ReferenceData!$H$186),"",ReferenceData!$H$186),"")</f>
        <v>4.7875068059999997</v>
      </c>
      <c r="I186">
        <f ca="1">IFERROR(IF(0=LEN(ReferenceData!$I$186),"",ReferenceData!$I$186),"")</f>
        <v>5.7774196189999998</v>
      </c>
      <c r="J186">
        <f ca="1">IFERROR(IF(0=LEN(ReferenceData!$J$186),"",ReferenceData!$J$186),"")</f>
        <v>6.7345364109999997</v>
      </c>
      <c r="K186">
        <f ca="1">IFERROR(IF(0=LEN(ReferenceData!$K$186),"",ReferenceData!$K$186),"")</f>
        <v>6.6352375429999997</v>
      </c>
      <c r="L186">
        <f ca="1">IFERROR(IF(0=LEN(ReferenceData!$L$186),"",ReferenceData!$L$186),"")</f>
        <v>2.5305608849999999</v>
      </c>
      <c r="M186">
        <f ca="1">IFERROR(IF(0=LEN(ReferenceData!$M$186),"",ReferenceData!$M$186),"")</f>
        <v>2.3320485419999999</v>
      </c>
      <c r="N186">
        <f ca="1">IFERROR(IF(0=LEN(ReferenceData!$N$186),"",ReferenceData!$N$186),"")</f>
        <v>2.2177575030000001</v>
      </c>
      <c r="O186">
        <f ca="1">IFERROR(IF(0=LEN(ReferenceData!$O$186),"",ReferenceData!$O$186),"")</f>
        <v>-4.3654906E-2</v>
      </c>
      <c r="P186">
        <f ca="1">IFERROR(IF(0=LEN(ReferenceData!$P$186),"",ReferenceData!$P$186),"")</f>
        <v>3.9248032149999998</v>
      </c>
      <c r="Q186">
        <f ca="1">IFERROR(IF(0=LEN(ReferenceData!$Q$186),"",ReferenceData!$Q$186),"")</f>
        <v>4.5406005240000002</v>
      </c>
      <c r="R186">
        <f ca="1">IFERROR(IF(0=LEN(ReferenceData!$R$186),"",ReferenceData!$R$186),"")</f>
        <v>4.8878614359999997</v>
      </c>
      <c r="S186">
        <f ca="1">IFERROR(IF(0=LEN(ReferenceData!$S$186),"",ReferenceData!$S$186),"")</f>
        <v>7.267323824</v>
      </c>
      <c r="T186">
        <f ca="1">IFERROR(IF(0=LEN(ReferenceData!$T$186),"",ReferenceData!$T$186),"")</f>
        <v>7.4937792920000001</v>
      </c>
      <c r="U186">
        <f ca="1">IFERROR(IF(0=LEN(ReferenceData!$U$186),"",ReferenceData!$U$186),"")</f>
        <v>7.3229144579999996</v>
      </c>
      <c r="V186">
        <f ca="1">IFERROR(IF(0=LEN(ReferenceData!$V$186),"",ReferenceData!$V$186),"")</f>
        <v>7.3827086639999999</v>
      </c>
      <c r="W186">
        <f ca="1">IFERROR(IF(0=LEN(ReferenceData!$W$186),"",ReferenceData!$W$186),"")</f>
        <v>7.373420018</v>
      </c>
      <c r="X186">
        <f ca="1">IFERROR(IF(0=LEN(ReferenceData!$X$186),"",ReferenceData!$X$186),"")</f>
        <v>7.5592403580000003</v>
      </c>
      <c r="Y186">
        <f ca="1">IFERROR(IF(0=LEN(ReferenceData!$Y$186),"",ReferenceData!$Y$186),"")</f>
        <v>7.2761950669999997</v>
      </c>
      <c r="Z186">
        <f ca="1">IFERROR(IF(0=LEN(ReferenceData!$Z$186),"",ReferenceData!$Z$186),"")</f>
        <v>7.1461161860000004</v>
      </c>
      <c r="AA186">
        <f ca="1">IFERROR(IF(0=LEN(ReferenceData!$AA$186),"",ReferenceData!$AA$186),"")</f>
        <v>6.7433326720000002</v>
      </c>
      <c r="AB186">
        <f ca="1">IFERROR(IF(0=LEN(ReferenceData!$AB$186),"",ReferenceData!$AB$186),"")</f>
        <v>6.0328276269999996</v>
      </c>
      <c r="AC186">
        <f ca="1">IFERROR(IF(0=LEN(ReferenceData!$AC$186),"",ReferenceData!$AC$186),"")</f>
        <v>5.8813906720000002</v>
      </c>
      <c r="AD186">
        <f ca="1">IFERROR(IF(0=LEN(ReferenceData!$AD$186),"",ReferenceData!$AD$186),"")</f>
        <v>6.8395598150000003</v>
      </c>
      <c r="AE186">
        <f ca="1">IFERROR(IF(0=LEN(ReferenceData!$AE$186),"",ReferenceData!$AE$186),"")</f>
        <v>6.3084484429999996</v>
      </c>
      <c r="AF186">
        <f ca="1">IFERROR(IF(0=LEN(ReferenceData!$AF$186),"",ReferenceData!$AF$186),"")</f>
        <v>6.7009014069999999</v>
      </c>
      <c r="AG186">
        <f ca="1">IFERROR(IF(0=LEN(ReferenceData!$AG$186),"",ReferenceData!$AG$186),"")</f>
        <v>5.5392009</v>
      </c>
      <c r="AH186">
        <f ca="1">IFERROR(IF(0=LEN(ReferenceData!$AH$186),"",ReferenceData!$AH$186),"")</f>
        <v>5.1460867099999996</v>
      </c>
      <c r="AI186">
        <f ca="1">IFERROR(IF(0=LEN(ReferenceData!$AI$186),"",ReferenceData!$AI$186),"")</f>
        <v>5.4772629620000002</v>
      </c>
      <c r="AJ186">
        <f ca="1">IFERROR(IF(0=LEN(ReferenceData!$AJ$186),"",ReferenceData!$AJ$186),"")</f>
        <v>4.6493301569999996</v>
      </c>
      <c r="AK186">
        <f ca="1">IFERROR(IF(0=LEN(ReferenceData!$AK$186),"",ReferenceData!$AK$186),"")</f>
        <v>4.1984543499999996</v>
      </c>
      <c r="AL186">
        <f ca="1">IFERROR(IF(0=LEN(ReferenceData!$AL$186),"",ReferenceData!$AL$186),"")</f>
        <v>4.0642582010000003</v>
      </c>
      <c r="AM186">
        <f ca="1">IFERROR(IF(0=LEN(ReferenceData!$AM$186),"",ReferenceData!$AM$186),"")</f>
        <v>3.7748279060000001</v>
      </c>
      <c r="AN186">
        <f ca="1">IFERROR(IF(0=LEN(ReferenceData!$AN$186),"",ReferenceData!$AN$186),"")</f>
        <v>3.8904172319999999</v>
      </c>
      <c r="AO186">
        <f ca="1">IFERROR(IF(0=LEN(ReferenceData!$AO$186),"",ReferenceData!$AO$186),"")</f>
        <v>5.2926226679999999</v>
      </c>
      <c r="AP186">
        <f ca="1">IFERROR(IF(0=LEN(ReferenceData!$AP$186),"",ReferenceData!$AP$186),"")</f>
        <v>4.9616985290000004</v>
      </c>
      <c r="AQ186">
        <f ca="1">IFERROR(IF(0=LEN(ReferenceData!$AQ$186),"",ReferenceData!$AQ$186),"")</f>
        <v>4.7746297699999998</v>
      </c>
      <c r="AR186">
        <f ca="1">IFERROR(IF(0=LEN(ReferenceData!$AR$186),"",ReferenceData!$AR$186),"")</f>
        <v>5.0601535350000004</v>
      </c>
      <c r="AS186">
        <f ca="1">IFERROR(IF(0=LEN(ReferenceData!$AS$186),"",ReferenceData!$AS$186),"")</f>
        <v>5.0326580989999998</v>
      </c>
      <c r="AT186">
        <f ca="1">IFERROR(IF(0=LEN(ReferenceData!$AT$186),"",ReferenceData!$AT$186),"")</f>
        <v>4.8010413180000002</v>
      </c>
      <c r="AU186">
        <f ca="1">IFERROR(IF(0=LEN(ReferenceData!$AU$186),"",ReferenceData!$AU$186),"")</f>
        <v>4.3501565519999996</v>
      </c>
      <c r="AV186">
        <f ca="1">IFERROR(IF(0=LEN(ReferenceData!$AV$186),"",ReferenceData!$AV$186),"")</f>
        <v>5.6921802709999998</v>
      </c>
      <c r="AW186">
        <f ca="1">IFERROR(IF(0=LEN(ReferenceData!$AW$186),"",ReferenceData!$AW$186),"")</f>
        <v>6.287045805</v>
      </c>
      <c r="AX186">
        <f ca="1">IFERROR(IF(0=LEN(ReferenceData!$AX$186),"",ReferenceData!$AX$186),"")</f>
        <v>5.0682008190000003</v>
      </c>
      <c r="AY186">
        <f ca="1">IFERROR(IF(0=LEN(ReferenceData!$AY$186),"",ReferenceData!$AY$186),"")</f>
        <v>4.3978707930000001</v>
      </c>
      <c r="AZ186">
        <f ca="1">IFERROR(IF(0=LEN(ReferenceData!$AZ$186),"",ReferenceData!$AZ$186),"")</f>
        <v>7.7664367590000003</v>
      </c>
      <c r="BA186">
        <f ca="1">IFERROR(IF(0=LEN(ReferenceData!$BA$186),"",ReferenceData!$BA$186),"")</f>
        <v>8.0944485939999993</v>
      </c>
      <c r="BB186">
        <f ca="1">IFERROR(IF(0=LEN(ReferenceData!$BB$186),"",ReferenceData!$BB$186),"")</f>
        <v>6.5450362269999998</v>
      </c>
      <c r="BC186">
        <f ca="1">IFERROR(IF(0=LEN(ReferenceData!$BC$186),"",ReferenceData!$BC$186),"")</f>
        <v>6.2558603120000003</v>
      </c>
      <c r="BD186">
        <f ca="1">IFERROR(IF(0=LEN(ReferenceData!$BD$186),"",ReferenceData!$BD$186),"")</f>
        <v>6.3776188180000002</v>
      </c>
      <c r="BE186">
        <f ca="1">IFERROR(IF(0=LEN(ReferenceData!$BE$186),"",ReferenceData!$BE$186),"")</f>
        <v>0.59511341799999995</v>
      </c>
      <c r="BF186" t="str">
        <f ca="1">IFERROR(IF(0=LEN(ReferenceData!$BF$186),"",ReferenceData!$BF$186),"")</f>
        <v/>
      </c>
      <c r="BG186" t="str">
        <f ca="1">IFERROR(IF(0=LEN(ReferenceData!$BG$186),"",ReferenceData!$BG$186),"")</f>
        <v/>
      </c>
      <c r="BH186" t="str">
        <f ca="1">IFERROR(IF(0=LEN(ReferenceData!$BH$186),"",ReferenceData!$BH$186),"")</f>
        <v/>
      </c>
      <c r="BI186" t="str">
        <f ca="1">IFERROR(IF(0=LEN(ReferenceData!$BI$186),"",ReferenceData!$BI$186),"")</f>
        <v/>
      </c>
      <c r="BJ186" t="str">
        <f ca="1">IFERROR(IF(0=LEN(ReferenceData!$BJ$186),"",ReferenceData!$BJ$186),"")</f>
        <v/>
      </c>
      <c r="BK186" t="str">
        <f ca="1">IFERROR(IF(0=LEN(ReferenceData!$BK$186),"",ReferenceData!$BK$186),"")</f>
        <v/>
      </c>
      <c r="BL186">
        <f ca="1">IFERROR(IF(0=LEN(ReferenceData!$BL$186),"",ReferenceData!$BL$186),"")</f>
        <v>2.1913338759999998</v>
      </c>
      <c r="BM186">
        <f ca="1">IFERROR(IF(0=LEN(ReferenceData!$BM$186),"",ReferenceData!$BM$186),"")</f>
        <v>2.018616626</v>
      </c>
    </row>
    <row r="187" spans="1:65">
      <c r="A187" t="str">
        <f>IFERROR(IF(0=LEN(ReferenceData!$A$187),"",ReferenceData!$A$187),"")</f>
        <v xml:space="preserve">    Healthcare Realty Trust Inc</v>
      </c>
      <c r="B187" t="str">
        <f>IFERROR(IF(0=LEN(ReferenceData!$B$187),"",ReferenceData!$B$187),"")</f>
        <v>HR US Equity</v>
      </c>
      <c r="C187" t="str">
        <f>IFERROR(IF(0=LEN(ReferenceData!$C$187),"",ReferenceData!$C$187),"")</f>
        <v>RR554</v>
      </c>
      <c r="D187" t="str">
        <f>IFERROR(IF(0=LEN(ReferenceData!$D$187),"",ReferenceData!$D$187),"")</f>
        <v>FFO_RE_ASSET</v>
      </c>
      <c r="E187" t="str">
        <f>IFERROR(IF(0=LEN(ReferenceData!$E$187),"",ReferenceData!$E$187),"")</f>
        <v>动态</v>
      </c>
      <c r="F187" t="str">
        <f ca="1">IFERROR(IF(0=LEN(ReferenceData!$F$187),"",ReferenceData!$F$187),"")</f>
        <v/>
      </c>
      <c r="G187">
        <f ca="1">IFERROR(IF(0=LEN(ReferenceData!$G$187),"",ReferenceData!$G$187),"")</f>
        <v>4.6878551269999997</v>
      </c>
      <c r="H187">
        <f ca="1">IFERROR(IF(0=LEN(ReferenceData!$H$187),"",ReferenceData!$H$187),"")</f>
        <v>6.5301547180000004</v>
      </c>
      <c r="I187">
        <f ca="1">IFERROR(IF(0=LEN(ReferenceData!$I$187),"",ReferenceData!$I$187),"")</f>
        <v>6.6041271930000001</v>
      </c>
      <c r="J187">
        <f ca="1">IFERROR(IF(0=LEN(ReferenceData!$J$187),"",ReferenceData!$J$187),"")</f>
        <v>6.6502140089999999</v>
      </c>
      <c r="K187">
        <f ca="1">IFERROR(IF(0=LEN(ReferenceData!$K$187),"",ReferenceData!$K$187),"")</f>
        <v>6.4523957320000003</v>
      </c>
      <c r="L187">
        <f ca="1">IFERROR(IF(0=LEN(ReferenceData!$L$187),"",ReferenceData!$L$187),"")</f>
        <v>6.3505131300000004</v>
      </c>
      <c r="M187">
        <f ca="1">IFERROR(IF(0=LEN(ReferenceData!$M$187),"",ReferenceData!$M$187),"")</f>
        <v>6.3122823539999997</v>
      </c>
      <c r="N187">
        <f ca="1">IFERROR(IF(0=LEN(ReferenceData!$N$187),"",ReferenceData!$N$187),"")</f>
        <v>4.8060495000000003</v>
      </c>
      <c r="O187">
        <f ca="1">IFERROR(IF(0=LEN(ReferenceData!$O$187),"",ReferenceData!$O$187),"")</f>
        <v>4.7783813430000004</v>
      </c>
      <c r="P187">
        <f ca="1">IFERROR(IF(0=LEN(ReferenceData!$P$187),"",ReferenceData!$P$187),"")</f>
        <v>4.8037251149999998</v>
      </c>
      <c r="Q187">
        <f ca="1">IFERROR(IF(0=LEN(ReferenceData!$Q$187),"",ReferenceData!$Q$187),"")</f>
        <v>4.6626406459999998</v>
      </c>
      <c r="R187">
        <f ca="1">IFERROR(IF(0=LEN(ReferenceData!$R$187),"",ReferenceData!$R$187),"")</f>
        <v>5.8485821160000002</v>
      </c>
      <c r="S187">
        <f ca="1">IFERROR(IF(0=LEN(ReferenceData!$S$187),"",ReferenceData!$S$187),"")</f>
        <v>5.6661028140000003</v>
      </c>
      <c r="T187">
        <f ca="1">IFERROR(IF(0=LEN(ReferenceData!$T$187),"",ReferenceData!$T$187),"")</f>
        <v>5.6533881680000002</v>
      </c>
      <c r="U187">
        <f ca="1">IFERROR(IF(0=LEN(ReferenceData!$U$187),"",ReferenceData!$U$187),"")</f>
        <v>5.4249445520000004</v>
      </c>
      <c r="V187">
        <f ca="1">IFERROR(IF(0=LEN(ReferenceData!$V$187),"",ReferenceData!$V$187),"")</f>
        <v>3.921530578</v>
      </c>
      <c r="W187">
        <f ca="1">IFERROR(IF(0=LEN(ReferenceData!$W$187),"",ReferenceData!$W$187),"")</f>
        <v>3.6291165830000001</v>
      </c>
      <c r="X187">
        <f ca="1">IFERROR(IF(0=LEN(ReferenceData!$X$187),"",ReferenceData!$X$187),"")</f>
        <v>3.3212898339999999</v>
      </c>
      <c r="Y187">
        <f ca="1">IFERROR(IF(0=LEN(ReferenceData!$Y$187),"",ReferenceData!$Y$187),"")</f>
        <v>3.164498676</v>
      </c>
      <c r="Z187">
        <f ca="1">IFERROR(IF(0=LEN(ReferenceData!$Z$187),"",ReferenceData!$Z$187),"")</f>
        <v>4.3568390819999996</v>
      </c>
      <c r="AA187">
        <f ca="1">IFERROR(IF(0=LEN(ReferenceData!$AA$187),"",ReferenceData!$AA$187),"")</f>
        <v>4.3865352900000003</v>
      </c>
      <c r="AB187">
        <f ca="1">IFERROR(IF(0=LEN(ReferenceData!$AB$187),"",ReferenceData!$AB$187),"")</f>
        <v>4.4767248620000002</v>
      </c>
      <c r="AC187">
        <f ca="1">IFERROR(IF(0=LEN(ReferenceData!$AC$187),"",ReferenceData!$AC$187),"")</f>
        <v>4.4307257030000002</v>
      </c>
      <c r="AD187">
        <f ca="1">IFERROR(IF(0=LEN(ReferenceData!$AD$187),"",ReferenceData!$AD$187),"")</f>
        <v>4.2947743760000003</v>
      </c>
      <c r="AE187">
        <f ca="1">IFERROR(IF(0=LEN(ReferenceData!$AE$187),"",ReferenceData!$AE$187),"")</f>
        <v>3.7696633400000001</v>
      </c>
      <c r="AF187">
        <f ca="1">IFERROR(IF(0=LEN(ReferenceData!$AF$187),"",ReferenceData!$AF$187),"")</f>
        <v>3.6535639770000001</v>
      </c>
      <c r="AG187">
        <f ca="1">IFERROR(IF(0=LEN(ReferenceData!$AG$187),"",ReferenceData!$AG$187),"")</f>
        <v>3.2741485890000002</v>
      </c>
      <c r="AH187">
        <f ca="1">IFERROR(IF(0=LEN(ReferenceData!$AH$187),"",ReferenceData!$AH$187),"")</f>
        <v>3.3334587930000001</v>
      </c>
      <c r="AI187">
        <f ca="1">IFERROR(IF(0=LEN(ReferenceData!$AI$187),"",ReferenceData!$AI$187),"")</f>
        <v>3.6349823529999998</v>
      </c>
      <c r="AJ187">
        <f ca="1">IFERROR(IF(0=LEN(ReferenceData!$AJ$187),"",ReferenceData!$AJ$187),"")</f>
        <v>3.9215413379999999</v>
      </c>
      <c r="AK187">
        <f ca="1">IFERROR(IF(0=LEN(ReferenceData!$AK$187),"",ReferenceData!$AK$187),"")</f>
        <v>4.9136912859999997</v>
      </c>
      <c r="AL187">
        <f ca="1">IFERROR(IF(0=LEN(ReferenceData!$AL$187),"",ReferenceData!$AL$187),"")</f>
        <v>5.1407698890000004</v>
      </c>
      <c r="AM187">
        <f ca="1">IFERROR(IF(0=LEN(ReferenceData!$AM$187),"",ReferenceData!$AM$187),"")</f>
        <v>5.5676429279999997</v>
      </c>
      <c r="AN187">
        <f ca="1">IFERROR(IF(0=LEN(ReferenceData!$AN$187),"",ReferenceData!$AN$187),"")</f>
        <v>6.56008762</v>
      </c>
      <c r="AO187">
        <f ca="1">IFERROR(IF(0=LEN(ReferenceData!$AO$187),"",ReferenceData!$AO$187),"")</f>
        <v>6.231207758</v>
      </c>
      <c r="AP187">
        <f ca="1">IFERROR(IF(0=LEN(ReferenceData!$AP$187),"",ReferenceData!$AP$187),"")</f>
        <v>5.817786055</v>
      </c>
      <c r="AQ187">
        <f ca="1">IFERROR(IF(0=LEN(ReferenceData!$AQ$187),"",ReferenceData!$AQ$187),"")</f>
        <v>5.5575015729999997</v>
      </c>
      <c r="AR187">
        <f ca="1">IFERROR(IF(0=LEN(ReferenceData!$AR$187),"",ReferenceData!$AR$187),"")</f>
        <v>5.4947085360000001</v>
      </c>
      <c r="AS187">
        <f ca="1">IFERROR(IF(0=LEN(ReferenceData!$AS$187),"",ReferenceData!$AS$187),"")</f>
        <v>5.4032452219999998</v>
      </c>
      <c r="AT187">
        <f ca="1">IFERROR(IF(0=LEN(ReferenceData!$AT$187),"",ReferenceData!$AT$187),"")</f>
        <v>5.3617198400000001</v>
      </c>
      <c r="AU187">
        <f ca="1">IFERROR(IF(0=LEN(ReferenceData!$AU$187),"",ReferenceData!$AU$187),"")</f>
        <v>4.8611752539999999</v>
      </c>
      <c r="AV187">
        <f ca="1">IFERROR(IF(0=LEN(ReferenceData!$AV$187),"",ReferenceData!$AV$187),"")</f>
        <v>5.2791143729999996</v>
      </c>
      <c r="AW187">
        <f ca="1">IFERROR(IF(0=LEN(ReferenceData!$AW$187),"",ReferenceData!$AW$187),"")</f>
        <v>5.9458851929999996</v>
      </c>
      <c r="AX187">
        <f ca="1">IFERROR(IF(0=LEN(ReferenceData!$AX$187),"",ReferenceData!$AX$187),"")</f>
        <v>6.6786758769999999</v>
      </c>
      <c r="AY187">
        <f ca="1">IFERROR(IF(0=LEN(ReferenceData!$AY$187),"",ReferenceData!$AY$187),"")</f>
        <v>6.2190029400000002</v>
      </c>
      <c r="AZ187">
        <f ca="1">IFERROR(IF(0=LEN(ReferenceData!$AZ$187),"",ReferenceData!$AZ$187),"")</f>
        <v>6.3102709179999996</v>
      </c>
      <c r="BA187">
        <f ca="1">IFERROR(IF(0=LEN(ReferenceData!$BA$187),"",ReferenceData!$BA$187),"")</f>
        <v>6.4329952339999998</v>
      </c>
      <c r="BB187">
        <f ca="1">IFERROR(IF(0=LEN(ReferenceData!$BB$187),"",ReferenceData!$BB$187),"")</f>
        <v>6.5038120529999999</v>
      </c>
      <c r="BC187">
        <f ca="1">IFERROR(IF(0=LEN(ReferenceData!$BC$187),"",ReferenceData!$BC$187),"")</f>
        <v>6.6917388090000003</v>
      </c>
      <c r="BD187">
        <f ca="1">IFERROR(IF(0=LEN(ReferenceData!$BD$187),"",ReferenceData!$BD$187),"")</f>
        <v>6.1272600969999997</v>
      </c>
      <c r="BE187">
        <f ca="1">IFERROR(IF(0=LEN(ReferenceData!$BE$187),"",ReferenceData!$BE$187),"")</f>
        <v>6.5049901119999998</v>
      </c>
      <c r="BF187">
        <f ca="1">IFERROR(IF(0=LEN(ReferenceData!$BF$187),"",ReferenceData!$BF$187),"")</f>
        <v>6.9765456480000001</v>
      </c>
      <c r="BG187">
        <f ca="1">IFERROR(IF(0=LEN(ReferenceData!$BG$187),"",ReferenceData!$BG$187),"")</f>
        <v>6.8802781509999997</v>
      </c>
      <c r="BH187">
        <f ca="1">IFERROR(IF(0=LEN(ReferenceData!$BH$187),"",ReferenceData!$BH$187),"")</f>
        <v>6.5132117010000004</v>
      </c>
      <c r="BI187">
        <f ca="1">IFERROR(IF(0=LEN(ReferenceData!$BI$187),"",ReferenceData!$BI$187),"")</f>
        <v>6.7278729750000004</v>
      </c>
      <c r="BJ187">
        <f ca="1">IFERROR(IF(0=LEN(ReferenceData!$BJ$187),"",ReferenceData!$BJ$187),"")</f>
        <v>7.0322769569999997</v>
      </c>
      <c r="BK187">
        <f ca="1">IFERROR(IF(0=LEN(ReferenceData!$BK$187),"",ReferenceData!$BK$187),"")</f>
        <v>7.3594037270000001</v>
      </c>
      <c r="BL187">
        <f ca="1">IFERROR(IF(0=LEN(ReferenceData!$BL$187),"",ReferenceData!$BL$187),"")</f>
        <v>11.281623290000001</v>
      </c>
      <c r="BM187">
        <f ca="1">IFERROR(IF(0=LEN(ReferenceData!$BM$187),"",ReferenceData!$BM$187),"")</f>
        <v>9.3274440070000004</v>
      </c>
    </row>
    <row r="188" spans="1:65">
      <c r="A188" t="str">
        <f>IFERROR(IF(0=LEN(ReferenceData!$A$188),"",ReferenceData!$A$188),"")</f>
        <v xml:space="preserve">    Healthcare Trust of America In</v>
      </c>
      <c r="B188" t="str">
        <f>IFERROR(IF(0=LEN(ReferenceData!$B$188),"",ReferenceData!$B$188),"")</f>
        <v>HTA US Equity</v>
      </c>
      <c r="C188" t="str">
        <f>IFERROR(IF(0=LEN(ReferenceData!$C$188),"",ReferenceData!$C$188),"")</f>
        <v>RR554</v>
      </c>
      <c r="D188" t="str">
        <f>IFERROR(IF(0=LEN(ReferenceData!$D$188),"",ReferenceData!$D$188),"")</f>
        <v>FFO_RE_ASSET</v>
      </c>
      <c r="E188" t="str">
        <f>IFERROR(IF(0=LEN(ReferenceData!$E$188),"",ReferenceData!$E$188),"")</f>
        <v>动态</v>
      </c>
      <c r="F188" t="str">
        <f ca="1">IFERROR(IF(0=LEN(ReferenceData!$F$188),"",ReferenceData!$F$188),"")</f>
        <v/>
      </c>
      <c r="G188">
        <f ca="1">IFERROR(IF(0=LEN(ReferenceData!$G$188),"",ReferenceData!$G$188),"")</f>
        <v>6.7570688649999999</v>
      </c>
      <c r="H188">
        <f ca="1">IFERROR(IF(0=LEN(ReferenceData!$H$188),"",ReferenceData!$H$188),"")</f>
        <v>6.156764269</v>
      </c>
      <c r="I188">
        <f ca="1">IFERROR(IF(0=LEN(ReferenceData!$I$188),"",ReferenceData!$I$188),"")</f>
        <v>5.6070523110000003</v>
      </c>
      <c r="J188">
        <f ca="1">IFERROR(IF(0=LEN(ReferenceData!$J$188),"",ReferenceData!$J$188),"")</f>
        <v>8.0377572609999994</v>
      </c>
      <c r="K188">
        <f ca="1">IFERROR(IF(0=LEN(ReferenceData!$K$188),"",ReferenceData!$K$188),"")</f>
        <v>7.7485079529999998</v>
      </c>
      <c r="L188">
        <f ca="1">IFERROR(IF(0=LEN(ReferenceData!$L$188),"",ReferenceData!$L$188),"")</f>
        <v>7.3875809180000003</v>
      </c>
      <c r="M188">
        <f ca="1">IFERROR(IF(0=LEN(ReferenceData!$M$188),"",ReferenceData!$M$188),"")</f>
        <v>7.2829718579999998</v>
      </c>
      <c r="N188">
        <f ca="1">IFERROR(IF(0=LEN(ReferenceData!$N$188),"",ReferenceData!$N$188),"")</f>
        <v>7.6199127979999997</v>
      </c>
      <c r="O188">
        <f ca="1">IFERROR(IF(0=LEN(ReferenceData!$O$188),"",ReferenceData!$O$188),"")</f>
        <v>7.6316101600000001</v>
      </c>
      <c r="P188">
        <f ca="1">IFERROR(IF(0=LEN(ReferenceData!$P$188),"",ReferenceData!$P$188),"")</f>
        <v>7.3998459099999998</v>
      </c>
      <c r="Q188">
        <f ca="1">IFERROR(IF(0=LEN(ReferenceData!$Q$188),"",ReferenceData!$Q$188),"")</f>
        <v>7.1589310189999997</v>
      </c>
      <c r="R188">
        <f ca="1">IFERROR(IF(0=LEN(ReferenceData!$R$188),"",ReferenceData!$R$188),"")</f>
        <v>7.1016985469999998</v>
      </c>
      <c r="S188">
        <f ca="1">IFERROR(IF(0=LEN(ReferenceData!$S$188),"",ReferenceData!$S$188),"")</f>
        <v>6.9328859840000003</v>
      </c>
      <c r="T188">
        <f ca="1">IFERROR(IF(0=LEN(ReferenceData!$T$188),"",ReferenceData!$T$188),"")</f>
        <v>7.0942658549999997</v>
      </c>
      <c r="U188">
        <f ca="1">IFERROR(IF(0=LEN(ReferenceData!$U$188),"",ReferenceData!$U$188),"")</f>
        <v>7.0835679410000001</v>
      </c>
      <c r="V188">
        <f ca="1">IFERROR(IF(0=LEN(ReferenceData!$V$188),"",ReferenceData!$V$188),"")</f>
        <v>7.6823614249999999</v>
      </c>
      <c r="W188">
        <f ca="1">IFERROR(IF(0=LEN(ReferenceData!$W$188),"",ReferenceData!$W$188),"")</f>
        <v>7.2129042109999997</v>
      </c>
      <c r="X188">
        <f ca="1">IFERROR(IF(0=LEN(ReferenceData!$X$188),"",ReferenceData!$X$188),"")</f>
        <v>6.6509599870000002</v>
      </c>
      <c r="Y188">
        <f ca="1">IFERROR(IF(0=LEN(ReferenceData!$Y$188),"",ReferenceData!$Y$188),"")</f>
        <v>6.4102269270000001</v>
      </c>
      <c r="Z188">
        <f ca="1">IFERROR(IF(0=LEN(ReferenceData!$Z$188),"",ReferenceData!$Z$188),"")</f>
        <v>4.7661526439999999</v>
      </c>
      <c r="AA188">
        <f ca="1">IFERROR(IF(0=LEN(ReferenceData!$AA$188),"",ReferenceData!$AA$188),"")</f>
        <v>4.8898945830000002</v>
      </c>
      <c r="AB188">
        <f ca="1">IFERROR(IF(0=LEN(ReferenceData!$AB$188),"",ReferenceData!$AB$188),"")</f>
        <v>4.8796149010000001</v>
      </c>
      <c r="AC188">
        <f ca="1">IFERROR(IF(0=LEN(ReferenceData!$AC$188),"",ReferenceData!$AC$188),"")</f>
        <v>4.899000901</v>
      </c>
      <c r="AD188">
        <f ca="1">IFERROR(IF(0=LEN(ReferenceData!$AD$188),"",ReferenceData!$AD$188),"")</f>
        <v>5.7046473049999999</v>
      </c>
      <c r="AE188">
        <f ca="1">IFERROR(IF(0=LEN(ReferenceData!$AE$188),"",ReferenceData!$AE$188),"")</f>
        <v>6.1254312459999998</v>
      </c>
      <c r="AF188">
        <f ca="1">IFERROR(IF(0=LEN(ReferenceData!$AF$188),"",ReferenceData!$AF$188),"")</f>
        <v>5.9503216610000003</v>
      </c>
      <c r="AG188">
        <f ca="1">IFERROR(IF(0=LEN(ReferenceData!$AG$188),"",ReferenceData!$AG$188),"")</f>
        <v>5.6069014069999996</v>
      </c>
      <c r="AH188">
        <f ca="1">IFERROR(IF(0=LEN(ReferenceData!$AH$188),"",ReferenceData!$AH$188),"")</f>
        <v>5.1684257379999998</v>
      </c>
      <c r="AI188" t="str">
        <f ca="1">IFERROR(IF(0=LEN(ReferenceData!$AI$188),"",ReferenceData!$AI$188),"")</f>
        <v/>
      </c>
      <c r="AJ188" t="str">
        <f ca="1">IFERROR(IF(0=LEN(ReferenceData!$AJ$188),"",ReferenceData!$AJ$188),"")</f>
        <v/>
      </c>
      <c r="AK188" t="str">
        <f ca="1">IFERROR(IF(0=LEN(ReferenceData!$AK$188),"",ReferenceData!$AK$188),"")</f>
        <v/>
      </c>
      <c r="AL188" t="str">
        <f ca="1">IFERROR(IF(0=LEN(ReferenceData!$AL$188),"",ReferenceData!$AL$188),"")</f>
        <v/>
      </c>
      <c r="AM188" t="str">
        <f ca="1">IFERROR(IF(0=LEN(ReferenceData!$AM$188),"",ReferenceData!$AM$188),"")</f>
        <v/>
      </c>
      <c r="AN188" t="str">
        <f ca="1">IFERROR(IF(0=LEN(ReferenceData!$AN$188),"",ReferenceData!$AN$188),"")</f>
        <v/>
      </c>
      <c r="AO188" t="str">
        <f ca="1">IFERROR(IF(0=LEN(ReferenceData!$AO$188),"",ReferenceData!$AO$188),"")</f>
        <v/>
      </c>
      <c r="AP188" t="str">
        <f ca="1">IFERROR(IF(0=LEN(ReferenceData!$AP$188),"",ReferenceData!$AP$188),"")</f>
        <v/>
      </c>
      <c r="AQ188" t="str">
        <f ca="1">IFERROR(IF(0=LEN(ReferenceData!$AQ$188),"",ReferenceData!$AQ$188),"")</f>
        <v/>
      </c>
      <c r="AR188" t="str">
        <f ca="1">IFERROR(IF(0=LEN(ReferenceData!$AR$188),"",ReferenceData!$AR$188),"")</f>
        <v/>
      </c>
      <c r="AS188" t="str">
        <f ca="1">IFERROR(IF(0=LEN(ReferenceData!$AS$188),"",ReferenceData!$AS$188),"")</f>
        <v/>
      </c>
      <c r="AT188" t="str">
        <f ca="1">IFERROR(IF(0=LEN(ReferenceData!$AT$188),"",ReferenceData!$AT$188),"")</f>
        <v/>
      </c>
      <c r="AU188" t="str">
        <f ca="1">IFERROR(IF(0=LEN(ReferenceData!$AU$188),"",ReferenceData!$AU$188),"")</f>
        <v/>
      </c>
      <c r="AV188" t="str">
        <f ca="1">IFERROR(IF(0=LEN(ReferenceData!$AV$188),"",ReferenceData!$AV$188),"")</f>
        <v/>
      </c>
      <c r="AW188" t="str">
        <f ca="1">IFERROR(IF(0=LEN(ReferenceData!$AW$188),"",ReferenceData!$AW$188),"")</f>
        <v/>
      </c>
      <c r="AX188" t="str">
        <f ca="1">IFERROR(IF(0=LEN(ReferenceData!$AX$188),"",ReferenceData!$AX$188),"")</f>
        <v/>
      </c>
      <c r="AY188" t="str">
        <f ca="1">IFERROR(IF(0=LEN(ReferenceData!$AY$188),"",ReferenceData!$AY$188),"")</f>
        <v/>
      </c>
      <c r="AZ188" t="str">
        <f ca="1">IFERROR(IF(0=LEN(ReferenceData!$AZ$188),"",ReferenceData!$AZ$188),"")</f>
        <v/>
      </c>
      <c r="BA188" t="str">
        <f ca="1">IFERROR(IF(0=LEN(ReferenceData!$BA$188),"",ReferenceData!$BA$188),"")</f>
        <v/>
      </c>
      <c r="BB188" t="str">
        <f ca="1">IFERROR(IF(0=LEN(ReferenceData!$BB$188),"",ReferenceData!$BB$188),"")</f>
        <v/>
      </c>
      <c r="BC188" t="str">
        <f ca="1">IFERROR(IF(0=LEN(ReferenceData!$BC$188),"",ReferenceData!$BC$188),"")</f>
        <v/>
      </c>
      <c r="BD188" t="str">
        <f ca="1">IFERROR(IF(0=LEN(ReferenceData!$BD$188),"",ReferenceData!$BD$188),"")</f>
        <v/>
      </c>
      <c r="BE188" t="str">
        <f ca="1">IFERROR(IF(0=LEN(ReferenceData!$BE$188),"",ReferenceData!$BE$188),"")</f>
        <v/>
      </c>
      <c r="BF188" t="str">
        <f ca="1">IFERROR(IF(0=LEN(ReferenceData!$BF$188),"",ReferenceData!$BF$188),"")</f>
        <v/>
      </c>
      <c r="BG188" t="str">
        <f ca="1">IFERROR(IF(0=LEN(ReferenceData!$BG$188),"",ReferenceData!$BG$188),"")</f>
        <v/>
      </c>
      <c r="BH188" t="str">
        <f ca="1">IFERROR(IF(0=LEN(ReferenceData!$BH$188),"",ReferenceData!$BH$188),"")</f>
        <v/>
      </c>
      <c r="BI188" t="str">
        <f ca="1">IFERROR(IF(0=LEN(ReferenceData!$BI$188),"",ReferenceData!$BI$188),"")</f>
        <v/>
      </c>
      <c r="BJ188" t="str">
        <f ca="1">IFERROR(IF(0=LEN(ReferenceData!$BJ$188),"",ReferenceData!$BJ$188),"")</f>
        <v/>
      </c>
      <c r="BK188" t="str">
        <f ca="1">IFERROR(IF(0=LEN(ReferenceData!$BK$188),"",ReferenceData!$BK$188),"")</f>
        <v/>
      </c>
      <c r="BL188" t="str">
        <f ca="1">IFERROR(IF(0=LEN(ReferenceData!$BL$188),"",ReferenceData!$BL$188),"")</f>
        <v/>
      </c>
      <c r="BM188" t="str">
        <f ca="1">IFERROR(IF(0=LEN(ReferenceData!$BM$188),"",ReferenceData!$BM$188),"")</f>
        <v/>
      </c>
    </row>
    <row r="189" spans="1:65">
      <c r="A189" t="str">
        <f>IFERROR(IF(0=LEN(ReferenceData!$A$189),"",ReferenceData!$A$189),"")</f>
        <v xml:space="preserve">    Medical Properties Trust Inc</v>
      </c>
      <c r="B189" t="str">
        <f>IFERROR(IF(0=LEN(ReferenceData!$B$189),"",ReferenceData!$B$189),"")</f>
        <v>MPW US Equity</v>
      </c>
      <c r="C189" t="str">
        <f>IFERROR(IF(0=LEN(ReferenceData!$C$189),"",ReferenceData!$C$189),"")</f>
        <v>RR554</v>
      </c>
      <c r="D189" t="str">
        <f>IFERROR(IF(0=LEN(ReferenceData!$D$189),"",ReferenceData!$D$189),"")</f>
        <v>FFO_RE_ASSET</v>
      </c>
      <c r="E189" t="str">
        <f>IFERROR(IF(0=LEN(ReferenceData!$E$189),"",ReferenceData!$E$189),"")</f>
        <v>动态</v>
      </c>
      <c r="F189" t="str">
        <f ca="1">IFERROR(IF(0=LEN(ReferenceData!$F$189),"",ReferenceData!$F$189),"")</f>
        <v/>
      </c>
      <c r="G189">
        <f ca="1">IFERROR(IF(0=LEN(ReferenceData!$G$189),"",ReferenceData!$G$189),"")</f>
        <v>6.3200542349999997</v>
      </c>
      <c r="H189">
        <f ca="1">IFERROR(IF(0=LEN(ReferenceData!$H$189),"",ReferenceData!$H$189),"")</f>
        <v>6.035987897</v>
      </c>
      <c r="I189">
        <f ca="1">IFERROR(IF(0=LEN(ReferenceData!$I$189),"",ReferenceData!$I$189),"")</f>
        <v>5.8328799519999999</v>
      </c>
      <c r="J189">
        <f ca="1">IFERROR(IF(0=LEN(ReferenceData!$J$189),"",ReferenceData!$J$189),"")</f>
        <v>5.1662319270000001</v>
      </c>
      <c r="K189">
        <f ca="1">IFERROR(IF(0=LEN(ReferenceData!$K$189),"",ReferenceData!$K$189),"")</f>
        <v>5.2959784360000004</v>
      </c>
      <c r="L189">
        <f ca="1">IFERROR(IF(0=LEN(ReferenceData!$L$189),"",ReferenceData!$L$189),"")</f>
        <v>5.9605921149999999</v>
      </c>
      <c r="M189">
        <f ca="1">IFERROR(IF(0=LEN(ReferenceData!$M$189),"",ReferenceData!$M$189),"")</f>
        <v>6.5031332700000002</v>
      </c>
      <c r="N189">
        <f ca="1">IFERROR(IF(0=LEN(ReferenceData!$N$189),"",ReferenceData!$N$189),"")</f>
        <v>6.2690299500000002</v>
      </c>
      <c r="O189">
        <f ca="1">IFERROR(IF(0=LEN(ReferenceData!$O$189),"",ReferenceData!$O$189),"")</f>
        <v>5.9765995900000002</v>
      </c>
      <c r="P189">
        <f ca="1">IFERROR(IF(0=LEN(ReferenceData!$P$189),"",ReferenceData!$P$189),"")</f>
        <v>4.3552071640000003</v>
      </c>
      <c r="Q189">
        <f ca="1">IFERROR(IF(0=LEN(ReferenceData!$Q$189),"",ReferenceData!$Q$189),"")</f>
        <v>5.1402444760000003</v>
      </c>
      <c r="R189">
        <f ca="1">IFERROR(IF(0=LEN(ReferenceData!$R$189),"",ReferenceData!$R$189),"")</f>
        <v>4.8542605710000002</v>
      </c>
      <c r="S189">
        <f ca="1">IFERROR(IF(0=LEN(ReferenceData!$S$189),"",ReferenceData!$S$189),"")</f>
        <v>4.1564735019999999</v>
      </c>
      <c r="T189">
        <f ca="1">IFERROR(IF(0=LEN(ReferenceData!$T$189),"",ReferenceData!$T$189),"")</f>
        <v>4.229294039</v>
      </c>
      <c r="U189">
        <f ca="1">IFERROR(IF(0=LEN(ReferenceData!$U$189),"",ReferenceData!$U$189),"")</f>
        <v>4.2164758840000003</v>
      </c>
      <c r="V189">
        <f ca="1">IFERROR(IF(0=LEN(ReferenceData!$V$189),"",ReferenceData!$V$189),"")</f>
        <v>4.9966259739999996</v>
      </c>
      <c r="W189">
        <f ca="1">IFERROR(IF(0=LEN(ReferenceData!$W$189),"",ReferenceData!$W$189),"")</f>
        <v>5.9864125509999999</v>
      </c>
      <c r="X189">
        <f ca="1">IFERROR(IF(0=LEN(ReferenceData!$X$189),"",ReferenceData!$X$189),"")</f>
        <v>6.429763855</v>
      </c>
      <c r="Y189">
        <f ca="1">IFERROR(IF(0=LEN(ReferenceData!$Y$189),"",ReferenceData!$Y$189),"")</f>
        <v>7.210013354</v>
      </c>
      <c r="Z189">
        <f ca="1">IFERROR(IF(0=LEN(ReferenceData!$Z$189),"",ReferenceData!$Z$189),"")</f>
        <v>7.0759713350000002</v>
      </c>
      <c r="AA189">
        <f ca="1">IFERROR(IF(0=LEN(ReferenceData!$AA$189),"",ReferenceData!$AA$189),"")</f>
        <v>7.0089431690000001</v>
      </c>
      <c r="AB189">
        <f ca="1">IFERROR(IF(0=LEN(ReferenceData!$AB$189),"",ReferenceData!$AB$189),"")</f>
        <v>6.1432958099999997</v>
      </c>
      <c r="AC189">
        <f ca="1">IFERROR(IF(0=LEN(ReferenceData!$AC$189),"",ReferenceData!$AC$189),"")</f>
        <v>5.0710607650000004</v>
      </c>
      <c r="AD189">
        <f ca="1">IFERROR(IF(0=LEN(ReferenceData!$AD$189),"",ReferenceData!$AD$189),"")</f>
        <v>3.809491451</v>
      </c>
      <c r="AE189">
        <f ca="1">IFERROR(IF(0=LEN(ReferenceData!$AE$189),"",ReferenceData!$AE$189),"")</f>
        <v>4.6665542960000002</v>
      </c>
      <c r="AF189">
        <f ca="1">IFERROR(IF(0=LEN(ReferenceData!$AF$189),"",ReferenceData!$AF$189),"")</f>
        <v>4.1865855859999996</v>
      </c>
      <c r="AG189">
        <f ca="1">IFERROR(IF(0=LEN(ReferenceData!$AG$189),"",ReferenceData!$AG$189),"")</f>
        <v>4.6123711009999999</v>
      </c>
      <c r="AH189">
        <f ca="1">IFERROR(IF(0=LEN(ReferenceData!$AH$189),"",ReferenceData!$AH$189),"")</f>
        <v>4.1054051319999996</v>
      </c>
      <c r="AI189">
        <f ca="1">IFERROR(IF(0=LEN(ReferenceData!$AI$189),"",ReferenceData!$AI$189),"")</f>
        <v>3.417913907</v>
      </c>
      <c r="AJ189">
        <f ca="1">IFERROR(IF(0=LEN(ReferenceData!$AJ$189),"",ReferenceData!$AJ$189),"")</f>
        <v>3.1545398279999999</v>
      </c>
      <c r="AK189">
        <f ca="1">IFERROR(IF(0=LEN(ReferenceData!$AK$189),"",ReferenceData!$AK$189),"")</f>
        <v>3.4062380779999999</v>
      </c>
      <c r="AL189">
        <f ca="1">IFERROR(IF(0=LEN(ReferenceData!$AL$189),"",ReferenceData!$AL$189),"")</f>
        <v>3.86958796</v>
      </c>
      <c r="AM189">
        <f ca="1">IFERROR(IF(0=LEN(ReferenceData!$AM$189),"",ReferenceData!$AM$189),"")</f>
        <v>5.5870548940000004</v>
      </c>
      <c r="AN189">
        <f ca="1">IFERROR(IF(0=LEN(ReferenceData!$AN$189),"",ReferenceData!$AN$189),"")</f>
        <v>4.6090079570000002</v>
      </c>
      <c r="AO189">
        <f ca="1">IFERROR(IF(0=LEN(ReferenceData!$AO$189),"",ReferenceData!$AO$189),"")</f>
        <v>4.9618742779999998</v>
      </c>
      <c r="AP189">
        <f ca="1">IFERROR(IF(0=LEN(ReferenceData!$AP$189),"",ReferenceData!$AP$189),"")</f>
        <v>4.7966118079999998</v>
      </c>
      <c r="AQ189">
        <f ca="1">IFERROR(IF(0=LEN(ReferenceData!$AQ$189),"",ReferenceData!$AQ$189),"")</f>
        <v>5.1321779010000004</v>
      </c>
      <c r="AR189">
        <f ca="1">IFERROR(IF(0=LEN(ReferenceData!$AR$189),"",ReferenceData!$AR$189),"")</f>
        <v>5.0599991009999998</v>
      </c>
      <c r="AS189">
        <f ca="1">IFERROR(IF(0=LEN(ReferenceData!$AS$189),"",ReferenceData!$AS$189),"")</f>
        <v>5.5916717299999998</v>
      </c>
      <c r="AT189">
        <f ca="1">IFERROR(IF(0=LEN(ReferenceData!$AT$189),"",ReferenceData!$AT$189),"")</f>
        <v>7.531427205</v>
      </c>
      <c r="AU189">
        <f ca="1">IFERROR(IF(0=LEN(ReferenceData!$AU$189),"",ReferenceData!$AU$189),"")</f>
        <v>7.0392465829999997</v>
      </c>
      <c r="AV189">
        <f ca="1">IFERROR(IF(0=LEN(ReferenceData!$AV$189),"",ReferenceData!$AV$189),"")</f>
        <v>6.7049880259999997</v>
      </c>
      <c r="AW189">
        <f ca="1">IFERROR(IF(0=LEN(ReferenceData!$AW$189),"",ReferenceData!$AW$189),"")</f>
        <v>7.2236832409999998</v>
      </c>
      <c r="AX189">
        <f ca="1">IFERROR(IF(0=LEN(ReferenceData!$AX$189),"",ReferenceData!$AX$189),"")</f>
        <v>7.0102205770000001</v>
      </c>
      <c r="AY189">
        <f ca="1">IFERROR(IF(0=LEN(ReferenceData!$AY$189),"",ReferenceData!$AY$189),"")</f>
        <v>7.9800048889999999</v>
      </c>
      <c r="AZ189">
        <f ca="1">IFERROR(IF(0=LEN(ReferenceData!$AZ$189),"",ReferenceData!$AZ$189),"")</f>
        <v>8.2656896080000006</v>
      </c>
      <c r="BA189">
        <f ca="1">IFERROR(IF(0=LEN(ReferenceData!$BA$189),"",ReferenceData!$BA$189),"")</f>
        <v>8.7340707930000008</v>
      </c>
      <c r="BB189">
        <f ca="1">IFERROR(IF(0=LEN(ReferenceData!$BB$189),"",ReferenceData!$BB$189),"")</f>
        <v>8.5486634739999996</v>
      </c>
      <c r="BC189" t="str">
        <f ca="1">IFERROR(IF(0=LEN(ReferenceData!$BC$189),"",ReferenceData!$BC$189),"")</f>
        <v/>
      </c>
      <c r="BD189" t="str">
        <f ca="1">IFERROR(IF(0=LEN(ReferenceData!$BD$189),"",ReferenceData!$BD$189),"")</f>
        <v/>
      </c>
      <c r="BE189" t="str">
        <f ca="1">IFERROR(IF(0=LEN(ReferenceData!$BE$189),"",ReferenceData!$BE$189),"")</f>
        <v/>
      </c>
      <c r="BF189" t="str">
        <f ca="1">IFERROR(IF(0=LEN(ReferenceData!$BF$189),"",ReferenceData!$BF$189),"")</f>
        <v/>
      </c>
      <c r="BG189" t="str">
        <f ca="1">IFERROR(IF(0=LEN(ReferenceData!$BG$189),"",ReferenceData!$BG$189),"")</f>
        <v/>
      </c>
      <c r="BH189" t="str">
        <f ca="1">IFERROR(IF(0=LEN(ReferenceData!$BH$189),"",ReferenceData!$BH$189),"")</f>
        <v/>
      </c>
      <c r="BI189" t="str">
        <f ca="1">IFERROR(IF(0=LEN(ReferenceData!$BI$189),"",ReferenceData!$BI$189),"")</f>
        <v/>
      </c>
      <c r="BJ189" t="str">
        <f ca="1">IFERROR(IF(0=LEN(ReferenceData!$BJ$189),"",ReferenceData!$BJ$189),"")</f>
        <v/>
      </c>
      <c r="BK189" t="str">
        <f ca="1">IFERROR(IF(0=LEN(ReferenceData!$BK$189),"",ReferenceData!$BK$189),"")</f>
        <v/>
      </c>
      <c r="BL189" t="str">
        <f ca="1">IFERROR(IF(0=LEN(ReferenceData!$BL$189),"",ReferenceData!$BL$189),"")</f>
        <v/>
      </c>
      <c r="BM189" t="str">
        <f ca="1">IFERROR(IF(0=LEN(ReferenceData!$BM$189),"",ReferenceData!$BM$189),"")</f>
        <v/>
      </c>
    </row>
    <row r="190" spans="1:65">
      <c r="A190" t="str">
        <f>IFERROR(IF(0=LEN(ReferenceData!$A$190),"",ReferenceData!$A$190),"")</f>
        <v xml:space="preserve">    Omega Healthcare Investors Inc</v>
      </c>
      <c r="B190" t="str">
        <f>IFERROR(IF(0=LEN(ReferenceData!$B$190),"",ReferenceData!$B$190),"")</f>
        <v>OHI US Equity</v>
      </c>
      <c r="C190" t="str">
        <f>IFERROR(IF(0=LEN(ReferenceData!$C$190),"",ReferenceData!$C$190),"")</f>
        <v>RR554</v>
      </c>
      <c r="D190" t="str">
        <f>IFERROR(IF(0=LEN(ReferenceData!$D$190),"",ReferenceData!$D$190),"")</f>
        <v>FFO_RE_ASSET</v>
      </c>
      <c r="E190" t="str">
        <f>IFERROR(IF(0=LEN(ReferenceData!$E$190),"",ReferenceData!$E$190),"")</f>
        <v>动态</v>
      </c>
      <c r="F190" t="str">
        <f ca="1">IFERROR(IF(0=LEN(ReferenceData!$F$190),"",ReferenceData!$F$190),"")</f>
        <v/>
      </c>
      <c r="G190">
        <f ca="1">IFERROR(IF(0=LEN(ReferenceData!$G$190),"",ReferenceData!$G$190),"")</f>
        <v>5.9365480479999997</v>
      </c>
      <c r="H190">
        <f ca="1">IFERROR(IF(0=LEN(ReferenceData!$H$190),"",ReferenceData!$H$190),"")</f>
        <v>5.9909531210000004</v>
      </c>
      <c r="I190">
        <f ca="1">IFERROR(IF(0=LEN(ReferenceData!$I$190),"",ReferenceData!$I$190),"")</f>
        <v>8.8663314110000009</v>
      </c>
      <c r="J190">
        <f ca="1">IFERROR(IF(0=LEN(ReferenceData!$J$190),"",ReferenceData!$J$190),"")</f>
        <v>9.2654471859999994</v>
      </c>
      <c r="K190">
        <f ca="1">IFERROR(IF(0=LEN(ReferenceData!$K$190),"",ReferenceData!$K$190),"")</f>
        <v>9.0366469719999998</v>
      </c>
      <c r="L190">
        <f ca="1">IFERROR(IF(0=LEN(ReferenceData!$L$190),"",ReferenceData!$L$190),"")</f>
        <v>8.4074178839999991</v>
      </c>
      <c r="M190">
        <f ca="1">IFERROR(IF(0=LEN(ReferenceData!$M$190),"",ReferenceData!$M$190),"")</f>
        <v>8.4373511449999992</v>
      </c>
      <c r="N190">
        <f ca="1">IFERROR(IF(0=LEN(ReferenceData!$N$190),"",ReferenceData!$N$190),"")</f>
        <v>9.7610531920000003</v>
      </c>
      <c r="O190">
        <f ca="1">IFERROR(IF(0=LEN(ReferenceData!$O$190),"",ReferenceData!$O$190),"")</f>
        <v>8.6063017550000005</v>
      </c>
      <c r="P190">
        <f ca="1">IFERROR(IF(0=LEN(ReferenceData!$P$190),"",ReferenceData!$P$190),"")</f>
        <v>7.8681268129999999</v>
      </c>
      <c r="Q190">
        <f ca="1">IFERROR(IF(0=LEN(ReferenceData!$Q$190),"",ReferenceData!$Q$190),"")</f>
        <v>6.9482459719999996</v>
      </c>
      <c r="R190">
        <f ca="1">IFERROR(IF(0=LEN(ReferenceData!$R$190),"",ReferenceData!$R$190),"")</f>
        <v>9.9793313589999997</v>
      </c>
      <c r="S190">
        <f ca="1">IFERROR(IF(0=LEN(ReferenceData!$S$190),"",ReferenceData!$S$190),"")</f>
        <v>10.230402720000001</v>
      </c>
      <c r="T190">
        <f ca="1">IFERROR(IF(0=LEN(ReferenceData!$T$190),"",ReferenceData!$T$190),"")</f>
        <v>10.97140508</v>
      </c>
      <c r="U190">
        <f ca="1">IFERROR(IF(0=LEN(ReferenceData!$U$190),"",ReferenceData!$U$190),"")</f>
        <v>10.150895930000001</v>
      </c>
      <c r="V190">
        <f ca="1">IFERROR(IF(0=LEN(ReferenceData!$V$190),"",ReferenceData!$V$190),"")</f>
        <v>10.693022490000001</v>
      </c>
      <c r="W190">
        <f ca="1">IFERROR(IF(0=LEN(ReferenceData!$W$190),"",ReferenceData!$W$190),"")</f>
        <v>10.33236415</v>
      </c>
      <c r="X190">
        <f ca="1">IFERROR(IF(0=LEN(ReferenceData!$X$190),"",ReferenceData!$X$190),"")</f>
        <v>11.132176510000001</v>
      </c>
      <c r="Y190">
        <f ca="1">IFERROR(IF(0=LEN(ReferenceData!$Y$190),"",ReferenceData!$Y$190),"")</f>
        <v>10.977769650000001</v>
      </c>
      <c r="Z190">
        <f ca="1">IFERROR(IF(0=LEN(ReferenceData!$Z$190),"",ReferenceData!$Z$190),"")</f>
        <v>9.8611695889999993</v>
      </c>
      <c r="AA190">
        <f ca="1">IFERROR(IF(0=LEN(ReferenceData!$AA$190),"",ReferenceData!$AA$190),"")</f>
        <v>8.8824382580000005</v>
      </c>
      <c r="AB190">
        <f ca="1">IFERROR(IF(0=LEN(ReferenceData!$AB$190),"",ReferenceData!$AB$190),"")</f>
        <v>9.2083578169999996</v>
      </c>
      <c r="AC190">
        <f ca="1">IFERROR(IF(0=LEN(ReferenceData!$AC$190),"",ReferenceData!$AC$190),"")</f>
        <v>9.0291743919999998</v>
      </c>
      <c r="AD190">
        <f ca="1">IFERROR(IF(0=LEN(ReferenceData!$AD$190),"",ReferenceData!$AD$190),"")</f>
        <v>8.395513674</v>
      </c>
      <c r="AE190">
        <f ca="1">IFERROR(IF(0=LEN(ReferenceData!$AE$190),"",ReferenceData!$AE$190),"")</f>
        <v>7.8400586219999999</v>
      </c>
      <c r="AF190">
        <f ca="1">IFERROR(IF(0=LEN(ReferenceData!$AF$190),"",ReferenceData!$AF$190),"")</f>
        <v>7.5385540219999996</v>
      </c>
      <c r="AG190">
        <f ca="1">IFERROR(IF(0=LEN(ReferenceData!$AG$190),"",ReferenceData!$AG$190),"")</f>
        <v>7.3833124559999996</v>
      </c>
      <c r="AH190">
        <f ca="1">IFERROR(IF(0=LEN(ReferenceData!$AH$190),"",ReferenceData!$AH$190),"")</f>
        <v>7.9440833140000002</v>
      </c>
      <c r="AI190">
        <f ca="1">IFERROR(IF(0=LEN(ReferenceData!$AI$190),"",ReferenceData!$AI$190),"")</f>
        <v>7.5098310189999999</v>
      </c>
      <c r="AJ190">
        <f ca="1">IFERROR(IF(0=LEN(ReferenceData!$AJ$190),"",ReferenceData!$AJ$190),"")</f>
        <v>7.9305530050000002</v>
      </c>
      <c r="AK190">
        <f ca="1">IFERROR(IF(0=LEN(ReferenceData!$AK$190),"",ReferenceData!$AK$190),"")</f>
        <v>7.1276701549999997</v>
      </c>
      <c r="AL190">
        <f ca="1">IFERROR(IF(0=LEN(ReferenceData!$AL$190),"",ReferenceData!$AL$190),"")</f>
        <v>8.7117066100000002</v>
      </c>
      <c r="AM190">
        <f ca="1">IFERROR(IF(0=LEN(ReferenceData!$AM$190),"",ReferenceData!$AM$190),"")</f>
        <v>8.6814982829999998</v>
      </c>
      <c r="AN190">
        <f ca="1">IFERROR(IF(0=LEN(ReferenceData!$AN$190),"",ReferenceData!$AN$190),"")</f>
        <v>9.8080357330000005</v>
      </c>
      <c r="AO190">
        <f ca="1">IFERROR(IF(0=LEN(ReferenceData!$AO$190),"",ReferenceData!$AO$190),"")</f>
        <v>9.3474114739999994</v>
      </c>
      <c r="AP190">
        <f ca="1">IFERROR(IF(0=LEN(ReferenceData!$AP$190),"",ReferenceData!$AP$190),"")</f>
        <v>9.4730631110000001</v>
      </c>
      <c r="AQ190">
        <f ca="1">IFERROR(IF(0=LEN(ReferenceData!$AQ$190),"",ReferenceData!$AQ$190),"")</f>
        <v>8.5124005650000001</v>
      </c>
      <c r="AR190">
        <f ca="1">IFERROR(IF(0=LEN(ReferenceData!$AR$190),"",ReferenceData!$AR$190),"")</f>
        <v>8.2962540039999997</v>
      </c>
      <c r="AS190">
        <f ca="1">IFERROR(IF(0=LEN(ReferenceData!$AS$190),"",ReferenceData!$AS$190),"")</f>
        <v>8.2903125830000004</v>
      </c>
      <c r="AT190">
        <f ca="1">IFERROR(IF(0=LEN(ReferenceData!$AT$190),"",ReferenceData!$AT$190),"")</f>
        <v>8.5721928950000006</v>
      </c>
      <c r="AU190">
        <f ca="1">IFERROR(IF(0=LEN(ReferenceData!$AU$190),"",ReferenceData!$AU$190),"")</f>
        <v>8.6350851469999998</v>
      </c>
      <c r="AV190">
        <f ca="1">IFERROR(IF(0=LEN(ReferenceData!$AV$190),"",ReferenceData!$AV$190),"")</f>
        <v>8.1458549280000003</v>
      </c>
      <c r="AW190">
        <f ca="1">IFERROR(IF(0=LEN(ReferenceData!$AW$190),"",ReferenceData!$AW$190),"")</f>
        <v>8.6873286390000004</v>
      </c>
      <c r="AX190">
        <f ca="1">IFERROR(IF(0=LEN(ReferenceData!$AX$190),"",ReferenceData!$AX$190),"")</f>
        <v>8.6164932610000005</v>
      </c>
      <c r="AY190">
        <f ca="1">IFERROR(IF(0=LEN(ReferenceData!$AY$190),"",ReferenceData!$AY$190),"")</f>
        <v>7.5934839150000002</v>
      </c>
      <c r="AZ190">
        <f ca="1">IFERROR(IF(0=LEN(ReferenceData!$AZ$190),"",ReferenceData!$AZ$190),"")</f>
        <v>7.686411251</v>
      </c>
      <c r="BA190">
        <f ca="1">IFERROR(IF(0=LEN(ReferenceData!$BA$190),"",ReferenceData!$BA$190),"")</f>
        <v>7.10668992</v>
      </c>
      <c r="BB190">
        <f ca="1">IFERROR(IF(0=LEN(ReferenceData!$BB$190),"",ReferenceData!$BB$190),"")</f>
        <v>5.4226118809999999</v>
      </c>
      <c r="BC190">
        <f ca="1">IFERROR(IF(0=LEN(ReferenceData!$BC$190),"",ReferenceData!$BC$190),"")</f>
        <v>4.9837944619999996</v>
      </c>
      <c r="BD190">
        <f ca="1">IFERROR(IF(0=LEN(ReferenceData!$BD$190),"",ReferenceData!$BD$190),"")</f>
        <v>5.4345884609999997</v>
      </c>
      <c r="BE190">
        <f ca="1">IFERROR(IF(0=LEN(ReferenceData!$BE$190),"",ReferenceData!$BE$190),"")</f>
        <v>4.8705173119999996</v>
      </c>
      <c r="BF190">
        <f ca="1">IFERROR(IF(0=LEN(ReferenceData!$BF$190),"",ReferenceData!$BF$190),"")</f>
        <v>4.620627904</v>
      </c>
      <c r="BG190" t="str">
        <f ca="1">IFERROR(IF(0=LEN(ReferenceData!$BG$190),"",ReferenceData!$BG$190),"")</f>
        <v/>
      </c>
      <c r="BH190" t="str">
        <f ca="1">IFERROR(IF(0=LEN(ReferenceData!$BH$190),"",ReferenceData!$BH$190),"")</f>
        <v/>
      </c>
      <c r="BI190" t="str">
        <f ca="1">IFERROR(IF(0=LEN(ReferenceData!$BI$190),"",ReferenceData!$BI$190),"")</f>
        <v/>
      </c>
      <c r="BJ190" t="str">
        <f ca="1">IFERROR(IF(0=LEN(ReferenceData!$BJ$190),"",ReferenceData!$BJ$190),"")</f>
        <v/>
      </c>
      <c r="BK190" t="str">
        <f ca="1">IFERROR(IF(0=LEN(ReferenceData!$BK$190),"",ReferenceData!$BK$190),"")</f>
        <v/>
      </c>
      <c r="BL190" t="str">
        <f ca="1">IFERROR(IF(0=LEN(ReferenceData!$BL$190),"",ReferenceData!$BL$190),"")</f>
        <v/>
      </c>
      <c r="BM190">
        <f ca="1">IFERROR(IF(0=LEN(ReferenceData!$BM$190),"",ReferenceData!$BM$190),"")</f>
        <v>3.9876364390000001</v>
      </c>
    </row>
    <row r="191" spans="1:65">
      <c r="A191" t="str">
        <f>IFERROR(IF(0=LEN(ReferenceData!$A$191),"",ReferenceData!$A$191),"")</f>
        <v xml:space="preserve">    Sabra Health Care REIT Inc</v>
      </c>
      <c r="B191" t="str">
        <f>IFERROR(IF(0=LEN(ReferenceData!$B$191),"",ReferenceData!$B$191),"")</f>
        <v>SBRA US Equity</v>
      </c>
      <c r="C191" t="str">
        <f>IFERROR(IF(0=LEN(ReferenceData!$C$191),"",ReferenceData!$C$191),"")</f>
        <v>RR554</v>
      </c>
      <c r="D191" t="str">
        <f>IFERROR(IF(0=LEN(ReferenceData!$D$191),"",ReferenceData!$D$191),"")</f>
        <v>FFO_RE_ASSET</v>
      </c>
      <c r="E191" t="str">
        <f>IFERROR(IF(0=LEN(ReferenceData!$E$191),"",ReferenceData!$E$191),"")</f>
        <v>动态</v>
      </c>
      <c r="F191" t="str">
        <f ca="1">IFERROR(IF(0=LEN(ReferenceData!$F$191),"",ReferenceData!$F$191),"")</f>
        <v/>
      </c>
      <c r="G191">
        <f ca="1">IFERROR(IF(0=LEN(ReferenceData!$G$191),"",ReferenceData!$G$191),"")</f>
        <v>5.2789906909999997</v>
      </c>
      <c r="H191">
        <f ca="1">IFERROR(IF(0=LEN(ReferenceData!$H$191),"",ReferenceData!$H$191),"")</f>
        <v>3.6416143719999998</v>
      </c>
      <c r="I191">
        <f ca="1">IFERROR(IF(0=LEN(ReferenceData!$I$191),"",ReferenceData!$I$191),"")</f>
        <v>7.4633929710000002</v>
      </c>
      <c r="J191">
        <f ca="1">IFERROR(IF(0=LEN(ReferenceData!$J$191),"",ReferenceData!$J$191),"")</f>
        <v>8.4715618789999994</v>
      </c>
      <c r="K191">
        <f ca="1">IFERROR(IF(0=LEN(ReferenceData!$K$191),"",ReferenceData!$K$191),"")</f>
        <v>8.1213367890000008</v>
      </c>
      <c r="L191">
        <f ca="1">IFERROR(IF(0=LEN(ReferenceData!$L$191),"",ReferenceData!$L$191),"")</f>
        <v>8.1714430500000006</v>
      </c>
      <c r="M191">
        <f ca="1">IFERROR(IF(0=LEN(ReferenceData!$M$191),"",ReferenceData!$M$191),"")</f>
        <v>8.3072001600000007</v>
      </c>
      <c r="N191">
        <f ca="1">IFERROR(IF(0=LEN(ReferenceData!$N$191),"",ReferenceData!$N$191),"")</f>
        <v>7.6074658089999998</v>
      </c>
      <c r="O191">
        <f ca="1">IFERROR(IF(0=LEN(ReferenceData!$O$191),"",ReferenceData!$O$191),"")</f>
        <v>7.1856648129999998</v>
      </c>
      <c r="P191">
        <f ca="1">IFERROR(IF(0=LEN(ReferenceData!$P$191),"",ReferenceData!$P$191),"")</f>
        <v>6.998310161</v>
      </c>
      <c r="Q191">
        <f ca="1">IFERROR(IF(0=LEN(ReferenceData!$Q$191),"",ReferenceData!$Q$191),"")</f>
        <v>7.5911496520000004</v>
      </c>
      <c r="R191">
        <f ca="1">IFERROR(IF(0=LEN(ReferenceData!$R$191),"",ReferenceData!$R$191),"")</f>
        <v>8.1133630019999998</v>
      </c>
      <c r="S191">
        <f ca="1">IFERROR(IF(0=LEN(ReferenceData!$S$191),"",ReferenceData!$S$191),"")</f>
        <v>5.9446600319999998</v>
      </c>
      <c r="T191">
        <f ca="1">IFERROR(IF(0=LEN(ReferenceData!$T$191),"",ReferenceData!$T$191),"")</f>
        <v>5.4578284520000002</v>
      </c>
      <c r="U191">
        <f ca="1">IFERROR(IF(0=LEN(ReferenceData!$U$191),"",ReferenceData!$U$191),"")</f>
        <v>6.2557052989999997</v>
      </c>
      <c r="V191">
        <f ca="1">IFERROR(IF(0=LEN(ReferenceData!$V$191),"",ReferenceData!$V$191),"")</f>
        <v>4.4566014569999997</v>
      </c>
      <c r="W191">
        <f ca="1">IFERROR(IF(0=LEN(ReferenceData!$W$191),"",ReferenceData!$W$191),"")</f>
        <v>6.7287141579999998</v>
      </c>
      <c r="X191">
        <f ca="1">IFERROR(IF(0=LEN(ReferenceData!$X$191),"",ReferenceData!$X$191),"")</f>
        <v>7.0520804630000002</v>
      </c>
      <c r="Y191">
        <f ca="1">IFERROR(IF(0=LEN(ReferenceData!$Y$191),"",ReferenceData!$Y$191),"")</f>
        <v>6.5450328080000002</v>
      </c>
      <c r="Z191">
        <f ca="1">IFERROR(IF(0=LEN(ReferenceData!$Z$191),"",ReferenceData!$Z$191),"")</f>
        <v>7.7414829080000001</v>
      </c>
      <c r="AA191">
        <f ca="1">IFERROR(IF(0=LEN(ReferenceData!$AA$191),"",ReferenceData!$AA$191),"")</f>
        <v>6.979096899</v>
      </c>
      <c r="AB191">
        <f ca="1">IFERROR(IF(0=LEN(ReferenceData!$AB$191),"",ReferenceData!$AB$191),"")</f>
        <v>7.5870375929999998</v>
      </c>
      <c r="AC191">
        <f ca="1">IFERROR(IF(0=LEN(ReferenceData!$AC$191),"",ReferenceData!$AC$191),"")</f>
        <v>7.8812860139999996</v>
      </c>
      <c r="AD191">
        <f ca="1">IFERROR(IF(0=LEN(ReferenceData!$AD$191),"",ReferenceData!$AD$191),"")</f>
        <v>7.5734511700000002</v>
      </c>
      <c r="AE191" t="str">
        <f ca="1">IFERROR(IF(0=LEN(ReferenceData!$AE$191),"",ReferenceData!$AE$191),"")</f>
        <v/>
      </c>
      <c r="AF191" t="str">
        <f ca="1">IFERROR(IF(0=LEN(ReferenceData!$AF$191),"",ReferenceData!$AF$191),"")</f>
        <v/>
      </c>
      <c r="AG191" t="str">
        <f ca="1">IFERROR(IF(0=LEN(ReferenceData!$AG$191),"",ReferenceData!$AG$191),"")</f>
        <v/>
      </c>
      <c r="AH191" t="str">
        <f ca="1">IFERROR(IF(0=LEN(ReferenceData!$AH$191),"",ReferenceData!$AH$191),"")</f>
        <v/>
      </c>
      <c r="AI191" t="str">
        <f ca="1">IFERROR(IF(0=LEN(ReferenceData!$AI$191),"",ReferenceData!$AI$191),"")</f>
        <v/>
      </c>
      <c r="AJ191" t="str">
        <f ca="1">IFERROR(IF(0=LEN(ReferenceData!$AJ$191),"",ReferenceData!$AJ$191),"")</f>
        <v/>
      </c>
      <c r="AK191" t="str">
        <f ca="1">IFERROR(IF(0=LEN(ReferenceData!$AK$191),"",ReferenceData!$AK$191),"")</f>
        <v/>
      </c>
      <c r="AL191" t="str">
        <f ca="1">IFERROR(IF(0=LEN(ReferenceData!$AL$191),"",ReferenceData!$AL$191),"")</f>
        <v/>
      </c>
      <c r="AM191" t="str">
        <f ca="1">IFERROR(IF(0=LEN(ReferenceData!$AM$191),"",ReferenceData!$AM$191),"")</f>
        <v/>
      </c>
      <c r="AN191" t="str">
        <f ca="1">IFERROR(IF(0=LEN(ReferenceData!$AN$191),"",ReferenceData!$AN$191),"")</f>
        <v/>
      </c>
      <c r="AO191" t="str">
        <f ca="1">IFERROR(IF(0=LEN(ReferenceData!$AO$191),"",ReferenceData!$AO$191),"")</f>
        <v/>
      </c>
      <c r="AP191" t="str">
        <f ca="1">IFERROR(IF(0=LEN(ReferenceData!$AP$191),"",ReferenceData!$AP$191),"")</f>
        <v/>
      </c>
      <c r="AQ191" t="str">
        <f ca="1">IFERROR(IF(0=LEN(ReferenceData!$AQ$191),"",ReferenceData!$AQ$191),"")</f>
        <v/>
      </c>
      <c r="AR191" t="str">
        <f ca="1">IFERROR(IF(0=LEN(ReferenceData!$AR$191),"",ReferenceData!$AR$191),"")</f>
        <v/>
      </c>
      <c r="AS191" t="str">
        <f ca="1">IFERROR(IF(0=LEN(ReferenceData!$AS$191),"",ReferenceData!$AS$191),"")</f>
        <v/>
      </c>
      <c r="AT191" t="str">
        <f ca="1">IFERROR(IF(0=LEN(ReferenceData!$AT$191),"",ReferenceData!$AT$191),"")</f>
        <v/>
      </c>
      <c r="AU191" t="str">
        <f ca="1">IFERROR(IF(0=LEN(ReferenceData!$AU$191),"",ReferenceData!$AU$191),"")</f>
        <v/>
      </c>
      <c r="AV191" t="str">
        <f ca="1">IFERROR(IF(0=LEN(ReferenceData!$AV$191),"",ReferenceData!$AV$191),"")</f>
        <v/>
      </c>
      <c r="AW191" t="str">
        <f ca="1">IFERROR(IF(0=LEN(ReferenceData!$AW$191),"",ReferenceData!$AW$191),"")</f>
        <v/>
      </c>
      <c r="AX191" t="str">
        <f ca="1">IFERROR(IF(0=LEN(ReferenceData!$AX$191),"",ReferenceData!$AX$191),"")</f>
        <v/>
      </c>
      <c r="AY191" t="str">
        <f ca="1">IFERROR(IF(0=LEN(ReferenceData!$AY$191),"",ReferenceData!$AY$191),"")</f>
        <v/>
      </c>
      <c r="AZ191" t="str">
        <f ca="1">IFERROR(IF(0=LEN(ReferenceData!$AZ$191),"",ReferenceData!$AZ$191),"")</f>
        <v/>
      </c>
      <c r="BA191" t="str">
        <f ca="1">IFERROR(IF(0=LEN(ReferenceData!$BA$191),"",ReferenceData!$BA$191),"")</f>
        <v/>
      </c>
      <c r="BB191" t="str">
        <f ca="1">IFERROR(IF(0=LEN(ReferenceData!$BB$191),"",ReferenceData!$BB$191),"")</f>
        <v/>
      </c>
      <c r="BC191" t="str">
        <f ca="1">IFERROR(IF(0=LEN(ReferenceData!$BC$191),"",ReferenceData!$BC$191),"")</f>
        <v/>
      </c>
      <c r="BD191" t="str">
        <f ca="1">IFERROR(IF(0=LEN(ReferenceData!$BD$191),"",ReferenceData!$BD$191),"")</f>
        <v/>
      </c>
      <c r="BE191" t="str">
        <f ca="1">IFERROR(IF(0=LEN(ReferenceData!$BE$191),"",ReferenceData!$BE$191),"")</f>
        <v/>
      </c>
      <c r="BF191" t="str">
        <f ca="1">IFERROR(IF(0=LEN(ReferenceData!$BF$191),"",ReferenceData!$BF$191),"")</f>
        <v/>
      </c>
      <c r="BG191" t="str">
        <f ca="1">IFERROR(IF(0=LEN(ReferenceData!$BG$191),"",ReferenceData!$BG$191),"")</f>
        <v/>
      </c>
      <c r="BH191" t="str">
        <f ca="1">IFERROR(IF(0=LEN(ReferenceData!$BH$191),"",ReferenceData!$BH$191),"")</f>
        <v/>
      </c>
      <c r="BI191" t="str">
        <f ca="1">IFERROR(IF(0=LEN(ReferenceData!$BI$191),"",ReferenceData!$BI$191),"")</f>
        <v/>
      </c>
      <c r="BJ191" t="str">
        <f ca="1">IFERROR(IF(0=LEN(ReferenceData!$BJ$191),"",ReferenceData!$BJ$191),"")</f>
        <v/>
      </c>
      <c r="BK191" t="str">
        <f ca="1">IFERROR(IF(0=LEN(ReferenceData!$BK$191),"",ReferenceData!$BK$191),"")</f>
        <v/>
      </c>
      <c r="BL191" t="str">
        <f ca="1">IFERROR(IF(0=LEN(ReferenceData!$BL$191),"",ReferenceData!$BL$191),"")</f>
        <v/>
      </c>
      <c r="BM191" t="str">
        <f ca="1">IFERROR(IF(0=LEN(ReferenceData!$BM$191),"",ReferenceData!$BM$191),"")</f>
        <v/>
      </c>
    </row>
    <row r="192" spans="1:65">
      <c r="A192" t="str">
        <f>IFERROR(IF(0=LEN(ReferenceData!$A$192),"",ReferenceData!$A$192),"")</f>
        <v xml:space="preserve">    Senior Housing Properties Trus</v>
      </c>
      <c r="B192" t="str">
        <f>IFERROR(IF(0=LEN(ReferenceData!$B$192),"",ReferenceData!$B$192),"")</f>
        <v>SNH US Equity</v>
      </c>
      <c r="C192" t="str">
        <f>IFERROR(IF(0=LEN(ReferenceData!$C$192),"",ReferenceData!$C$192),"")</f>
        <v>RR554</v>
      </c>
      <c r="D192" t="str">
        <f>IFERROR(IF(0=LEN(ReferenceData!$D$192),"",ReferenceData!$D$192),"")</f>
        <v>FFO_RE_ASSET</v>
      </c>
      <c r="E192" t="str">
        <f>IFERROR(IF(0=LEN(ReferenceData!$E$192),"",ReferenceData!$E$192),"")</f>
        <v>动态</v>
      </c>
      <c r="F192" t="str">
        <f ca="1">IFERROR(IF(0=LEN(ReferenceData!$F$192),"",ReferenceData!$F$192),"")</f>
        <v/>
      </c>
      <c r="G192">
        <f ca="1">IFERROR(IF(0=LEN(ReferenceData!$G$192),"",ReferenceData!$G$192),"")</f>
        <v>5.7737771860000002</v>
      </c>
      <c r="H192">
        <f ca="1">IFERROR(IF(0=LEN(ReferenceData!$H$192),"",ReferenceData!$H$192),"")</f>
        <v>6.3315671870000001</v>
      </c>
      <c r="I192">
        <f ca="1">IFERROR(IF(0=LEN(ReferenceData!$I$192),"",ReferenceData!$I$192),"")</f>
        <v>6.4524601830000003</v>
      </c>
      <c r="J192">
        <f ca="1">IFERROR(IF(0=LEN(ReferenceData!$J$192),"",ReferenceData!$J$192),"")</f>
        <v>6.9159507869999999</v>
      </c>
      <c r="K192">
        <f ca="1">IFERROR(IF(0=LEN(ReferenceData!$K$192),"",ReferenceData!$K$192),"")</f>
        <v>7.0121823790000004</v>
      </c>
      <c r="L192">
        <f ca="1">IFERROR(IF(0=LEN(ReferenceData!$L$192),"",ReferenceData!$L$192),"")</f>
        <v>6.4064057610000003</v>
      </c>
      <c r="M192">
        <f ca="1">IFERROR(IF(0=LEN(ReferenceData!$M$192),"",ReferenceData!$M$192),"")</f>
        <v>6.4489521639999996</v>
      </c>
      <c r="N192">
        <f ca="1">IFERROR(IF(0=LEN(ReferenceData!$N$192),"",ReferenceData!$N$192),"")</f>
        <v>6.6541241360000001</v>
      </c>
      <c r="O192">
        <f ca="1">IFERROR(IF(0=LEN(ReferenceData!$O$192),"",ReferenceData!$O$192),"")</f>
        <v>6.6193049220000004</v>
      </c>
      <c r="P192">
        <f ca="1">IFERROR(IF(0=LEN(ReferenceData!$P$192),"",ReferenceData!$P$192),"")</f>
        <v>6.8777993139999998</v>
      </c>
      <c r="Q192">
        <f ca="1">IFERROR(IF(0=LEN(ReferenceData!$Q$192),"",ReferenceData!$Q$192),"")</f>
        <v>6.5064278040000003</v>
      </c>
      <c r="R192">
        <f ca="1">IFERROR(IF(0=LEN(ReferenceData!$R$192),"",ReferenceData!$R$192),"")</f>
        <v>7.1046717719999997</v>
      </c>
      <c r="S192">
        <f ca="1">IFERROR(IF(0=LEN(ReferenceData!$S$192),"",ReferenceData!$S$192),"")</f>
        <v>7.0914245420000004</v>
      </c>
      <c r="T192">
        <f ca="1">IFERROR(IF(0=LEN(ReferenceData!$T$192),"",ReferenceData!$T$192),"")</f>
        <v>6.9092305510000003</v>
      </c>
      <c r="U192">
        <f ca="1">IFERROR(IF(0=LEN(ReferenceData!$U$192),"",ReferenceData!$U$192),"")</f>
        <v>6.6548909480000003</v>
      </c>
      <c r="V192">
        <f ca="1">IFERROR(IF(0=LEN(ReferenceData!$V$192),"",ReferenceData!$V$192),"")</f>
        <v>7.1063007909999998</v>
      </c>
      <c r="W192">
        <f ca="1">IFERROR(IF(0=LEN(ReferenceData!$W$192),"",ReferenceData!$W$192),"")</f>
        <v>7.1769575650000004</v>
      </c>
      <c r="X192">
        <f ca="1">IFERROR(IF(0=LEN(ReferenceData!$X$192),"",ReferenceData!$X$192),"")</f>
        <v>7.0362202270000003</v>
      </c>
      <c r="Y192">
        <f ca="1">IFERROR(IF(0=LEN(ReferenceData!$Y$192),"",ReferenceData!$Y$192),"")</f>
        <v>6.872414526</v>
      </c>
      <c r="Z192">
        <f ca="1">IFERROR(IF(0=LEN(ReferenceData!$Z$192),"",ReferenceData!$Z$192),"")</f>
        <v>6.6672056819999996</v>
      </c>
      <c r="AA192">
        <f ca="1">IFERROR(IF(0=LEN(ReferenceData!$AA$192),"",ReferenceData!$AA$192),"")</f>
        <v>6.6517528869999998</v>
      </c>
      <c r="AB192">
        <f ca="1">IFERROR(IF(0=LEN(ReferenceData!$AB$192),"",ReferenceData!$AB$192),"")</f>
        <v>6.6432337559999999</v>
      </c>
      <c r="AC192">
        <f ca="1">IFERROR(IF(0=LEN(ReferenceData!$AC$192),"",ReferenceData!$AC$192),"")</f>
        <v>6.9650120480000002</v>
      </c>
      <c r="AD192">
        <f ca="1">IFERROR(IF(0=LEN(ReferenceData!$AD$192),"",ReferenceData!$AD$192),"")</f>
        <v>6.8896980760000002</v>
      </c>
      <c r="AE192">
        <f ca="1">IFERROR(IF(0=LEN(ReferenceData!$AE$192),"",ReferenceData!$AE$192),"")</f>
        <v>6.6744376150000004</v>
      </c>
      <c r="AF192">
        <f ca="1">IFERROR(IF(0=LEN(ReferenceData!$AF$192),"",ReferenceData!$AF$192),"")</f>
        <v>7.1750435899999996</v>
      </c>
      <c r="AG192">
        <f ca="1">IFERROR(IF(0=LEN(ReferenceData!$AG$192),"",ReferenceData!$AG$192),"")</f>
        <v>7.2461881369999999</v>
      </c>
      <c r="AH192">
        <f ca="1">IFERROR(IF(0=LEN(ReferenceData!$AH$192),"",ReferenceData!$AH$192),"")</f>
        <v>7.3741562289999996</v>
      </c>
      <c r="AI192">
        <f ca="1">IFERROR(IF(0=LEN(ReferenceData!$AI$192),"",ReferenceData!$AI$192),"")</f>
        <v>7.3476638320000003</v>
      </c>
      <c r="AJ192">
        <f ca="1">IFERROR(IF(0=LEN(ReferenceData!$AJ$192),"",ReferenceData!$AJ$192),"")</f>
        <v>7.6041330550000001</v>
      </c>
      <c r="AK192">
        <f ca="1">IFERROR(IF(0=LEN(ReferenceData!$AK$192),"",ReferenceData!$AK$192),"")</f>
        <v>7.8746285909999996</v>
      </c>
      <c r="AL192">
        <f ca="1">IFERROR(IF(0=LEN(ReferenceData!$AL$192),"",ReferenceData!$AL$192),"")</f>
        <v>7.9199818329999996</v>
      </c>
      <c r="AM192">
        <f ca="1">IFERROR(IF(0=LEN(ReferenceData!$AM$192),"",ReferenceData!$AM$192),"")</f>
        <v>7.8175538600000003</v>
      </c>
      <c r="AN192">
        <f ca="1">IFERROR(IF(0=LEN(ReferenceData!$AN$192),"",ReferenceData!$AN$192),"")</f>
        <v>8.0534782499999995</v>
      </c>
      <c r="AO192">
        <f ca="1">IFERROR(IF(0=LEN(ReferenceData!$AO$192),"",ReferenceData!$AO$192),"")</f>
        <v>9.0423394699999999</v>
      </c>
      <c r="AP192">
        <f ca="1">IFERROR(IF(0=LEN(ReferenceData!$AP$192),"",ReferenceData!$AP$192),"")</f>
        <v>8.7380447080000003</v>
      </c>
      <c r="AQ192">
        <f ca="1">IFERROR(IF(0=LEN(ReferenceData!$AQ$192),"",ReferenceData!$AQ$192),"")</f>
        <v>8.6795058249999997</v>
      </c>
      <c r="AR192">
        <f ca="1">IFERROR(IF(0=LEN(ReferenceData!$AR$192),"",ReferenceData!$AR$192),"")</f>
        <v>8.4789413870000008</v>
      </c>
      <c r="AS192">
        <f ca="1">IFERROR(IF(0=LEN(ReferenceData!$AS$192),"",ReferenceData!$AS$192),"")</f>
        <v>8.522170998</v>
      </c>
      <c r="AT192">
        <f ca="1">IFERROR(IF(0=LEN(ReferenceData!$AT$192),"",ReferenceData!$AT$192),"")</f>
        <v>8.2641513510000006</v>
      </c>
      <c r="AU192">
        <f ca="1">IFERROR(IF(0=LEN(ReferenceData!$AU$192),"",ReferenceData!$AU$192),"")</f>
        <v>8.5193356260000002</v>
      </c>
      <c r="AV192">
        <f ca="1">IFERROR(IF(0=LEN(ReferenceData!$AV$192),"",ReferenceData!$AV$192),"")</f>
        <v>8.8312049160000008</v>
      </c>
      <c r="AW192">
        <f ca="1">IFERROR(IF(0=LEN(ReferenceData!$AW$192),"",ReferenceData!$AW$192),"")</f>
        <v>8.5773005819999995</v>
      </c>
      <c r="AX192">
        <f ca="1">IFERROR(IF(0=LEN(ReferenceData!$AX$192),"",ReferenceData!$AX$192),"")</f>
        <v>8.1592914650000008</v>
      </c>
      <c r="AY192">
        <f ca="1">IFERROR(IF(0=LEN(ReferenceData!$AY$192),"",ReferenceData!$AY$192),"")</f>
        <v>7.638688116</v>
      </c>
      <c r="AZ192">
        <f ca="1">IFERROR(IF(0=LEN(ReferenceData!$AZ$192),"",ReferenceData!$AZ$192),"")</f>
        <v>7.2567318070000004</v>
      </c>
      <c r="BA192">
        <f ca="1">IFERROR(IF(0=LEN(ReferenceData!$BA$192),"",ReferenceData!$BA$192),"")</f>
        <v>7.8906529540000001</v>
      </c>
      <c r="BB192">
        <f ca="1">IFERROR(IF(0=LEN(ReferenceData!$BB$192),"",ReferenceData!$BB$192),"")</f>
        <v>7.8646168989999996</v>
      </c>
      <c r="BC192">
        <f ca="1">IFERROR(IF(0=LEN(ReferenceData!$BC$192),"",ReferenceData!$BC$192),"")</f>
        <v>7.9639632149999997</v>
      </c>
      <c r="BD192">
        <f ca="1">IFERROR(IF(0=LEN(ReferenceData!$BD$192),"",ReferenceData!$BD$192),"")</f>
        <v>8.3859716730000002</v>
      </c>
      <c r="BE192">
        <f ca="1">IFERROR(IF(0=LEN(ReferenceData!$BE$192),"",ReferenceData!$BE$192),"")</f>
        <v>7.3449183739999997</v>
      </c>
      <c r="BF192">
        <f ca="1">IFERROR(IF(0=LEN(ReferenceData!$BF$192),"",ReferenceData!$BF$192),"")</f>
        <v>7.2396792230000004</v>
      </c>
      <c r="BG192">
        <f ca="1">IFERROR(IF(0=LEN(ReferenceData!$BG$192),"",ReferenceData!$BG$192),"")</f>
        <v>7.1308707800000004</v>
      </c>
      <c r="BH192">
        <f ca="1">IFERROR(IF(0=LEN(ReferenceData!$BH$192),"",ReferenceData!$BH$192),"")</f>
        <v>7.4523170009999999</v>
      </c>
      <c r="BI192" t="str">
        <f ca="1">IFERROR(IF(0=LEN(ReferenceData!$BI$192),"",ReferenceData!$BI$192),"")</f>
        <v/>
      </c>
      <c r="BJ192" t="str">
        <f ca="1">IFERROR(IF(0=LEN(ReferenceData!$BJ$192),"",ReferenceData!$BJ$192),"")</f>
        <v/>
      </c>
      <c r="BK192" t="str">
        <f ca="1">IFERROR(IF(0=LEN(ReferenceData!$BK$192),"",ReferenceData!$BK$192),"")</f>
        <v/>
      </c>
      <c r="BL192" t="str">
        <f ca="1">IFERROR(IF(0=LEN(ReferenceData!$BL$192),"",ReferenceData!$BL$192),"")</f>
        <v/>
      </c>
      <c r="BM192" t="str">
        <f ca="1">IFERROR(IF(0=LEN(ReferenceData!$BM$192),"",ReferenceData!$BM$192),"")</f>
        <v/>
      </c>
    </row>
    <row r="193" spans="1:65">
      <c r="A193" t="str">
        <f>IFERROR(IF(0=LEN(ReferenceData!$A$193),"",ReferenceData!$A$193),"")</f>
        <v xml:space="preserve">    Ventas Inc</v>
      </c>
      <c r="B193" t="str">
        <f>IFERROR(IF(0=LEN(ReferenceData!$B$193),"",ReferenceData!$B$193),"")</f>
        <v>VTR US Equity</v>
      </c>
      <c r="C193" t="str">
        <f>IFERROR(IF(0=LEN(ReferenceData!$C$193),"",ReferenceData!$C$193),"")</f>
        <v>RR554</v>
      </c>
      <c r="D193" t="str">
        <f>IFERROR(IF(0=LEN(ReferenceData!$D$193),"",ReferenceData!$D$193),"")</f>
        <v>FFO_RE_ASSET</v>
      </c>
      <c r="E193" t="str">
        <f>IFERROR(IF(0=LEN(ReferenceData!$E$193),"",ReferenceData!$E$193),"")</f>
        <v>动态</v>
      </c>
      <c r="F193" t="str">
        <f ca="1">IFERROR(IF(0=LEN(ReferenceData!$F$193),"",ReferenceData!$F$193),"")</f>
        <v/>
      </c>
      <c r="G193">
        <f ca="1">IFERROR(IF(0=LEN(ReferenceData!$G$193),"",ReferenceData!$G$193),"")</f>
        <v>6.9958262769999999</v>
      </c>
      <c r="H193">
        <f ca="1">IFERROR(IF(0=LEN(ReferenceData!$H$193),"",ReferenceData!$H$193),"")</f>
        <v>6.7953211119999999</v>
      </c>
      <c r="I193">
        <f ca="1">IFERROR(IF(0=LEN(ReferenceData!$I$193),"",ReferenceData!$I$193),"")</f>
        <v>6.9221560259999997</v>
      </c>
      <c r="J193">
        <f ca="1">IFERROR(IF(0=LEN(ReferenceData!$J$193),"",ReferenceData!$J$193),"")</f>
        <v>6.7893854859999996</v>
      </c>
      <c r="K193">
        <f ca="1">IFERROR(IF(0=LEN(ReferenceData!$K$193),"",ReferenceData!$K$193),"")</f>
        <v>6.8973840180000003</v>
      </c>
      <c r="L193">
        <f ca="1">IFERROR(IF(0=LEN(ReferenceData!$L$193),"",ReferenceData!$L$193),"")</f>
        <v>6.7675300280000004</v>
      </c>
      <c r="M193">
        <f ca="1">IFERROR(IF(0=LEN(ReferenceData!$M$193),"",ReferenceData!$M$193),"")</f>
        <v>6.2589174449999998</v>
      </c>
      <c r="N193">
        <f ca="1">IFERROR(IF(0=LEN(ReferenceData!$N$193),"",ReferenceData!$N$193),"")</f>
        <v>6.3570228980000003</v>
      </c>
      <c r="O193">
        <f ca="1">IFERROR(IF(0=LEN(ReferenceData!$O$193),"",ReferenceData!$O$193),"")</f>
        <v>7.1401756150000004</v>
      </c>
      <c r="P193">
        <f ca="1">IFERROR(IF(0=LEN(ReferenceData!$P$193),"",ReferenceData!$P$193),"")</f>
        <v>6.752929483</v>
      </c>
      <c r="Q193">
        <f ca="1">IFERROR(IF(0=LEN(ReferenceData!$Q$193),"",ReferenceData!$Q$193),"")</f>
        <v>6.8715284179999996</v>
      </c>
      <c r="R193">
        <f ca="1">IFERROR(IF(0=LEN(ReferenceData!$R$193),"",ReferenceData!$R$193),"")</f>
        <v>6.4758483929999997</v>
      </c>
      <c r="S193">
        <f ca="1">IFERROR(IF(0=LEN(ReferenceData!$S$193),"",ReferenceData!$S$193),"")</f>
        <v>7.0347268669999998</v>
      </c>
      <c r="T193">
        <f ca="1">IFERROR(IF(0=LEN(ReferenceData!$T$193),"",ReferenceData!$T$193),"")</f>
        <v>6.4835529510000001</v>
      </c>
      <c r="U193">
        <f ca="1">IFERROR(IF(0=LEN(ReferenceData!$U$193),"",ReferenceData!$U$193),"")</f>
        <v>6.8401649820000001</v>
      </c>
      <c r="V193">
        <f ca="1">IFERROR(IF(0=LEN(ReferenceData!$V$193),"",ReferenceData!$V$193),"")</f>
        <v>6.7672173290000002</v>
      </c>
      <c r="W193">
        <f ca="1">IFERROR(IF(0=LEN(ReferenceData!$W$193),"",ReferenceData!$W$193),"")</f>
        <v>6.6425408819999996</v>
      </c>
      <c r="X193">
        <f ca="1">IFERROR(IF(0=LEN(ReferenceData!$X$193),"",ReferenceData!$X$193),"")</f>
        <v>6.6162388400000003</v>
      </c>
      <c r="Y193">
        <f ca="1">IFERROR(IF(0=LEN(ReferenceData!$Y$193),"",ReferenceData!$Y$193),"")</f>
        <v>6.7554956180000003</v>
      </c>
      <c r="Z193">
        <f ca="1">IFERROR(IF(0=LEN(ReferenceData!$Z$193),"",ReferenceData!$Z$193),"")</f>
        <v>6.5669058280000003</v>
      </c>
      <c r="AA193">
        <f ca="1">IFERROR(IF(0=LEN(ReferenceData!$AA$193),"",ReferenceData!$AA$193),"")</f>
        <v>6.0138544390000002</v>
      </c>
      <c r="AB193">
        <f ca="1">IFERROR(IF(0=LEN(ReferenceData!$AB$193),"",ReferenceData!$AB$193),"")</f>
        <v>6.5367949520000002</v>
      </c>
      <c r="AC193">
        <f ca="1">IFERROR(IF(0=LEN(ReferenceData!$AC$193),"",ReferenceData!$AC$193),"")</f>
        <v>8.1768906000000001</v>
      </c>
      <c r="AD193">
        <f ca="1">IFERROR(IF(0=LEN(ReferenceData!$AD$193),"",ReferenceData!$AD$193),"")</f>
        <v>8.7461609629999995</v>
      </c>
      <c r="AE193">
        <f ca="1">IFERROR(IF(0=LEN(ReferenceData!$AE$193),"",ReferenceData!$AE$193),"")</f>
        <v>7.6108269679999996</v>
      </c>
      <c r="AF193">
        <f ca="1">IFERROR(IF(0=LEN(ReferenceData!$AF$193),"",ReferenceData!$AF$193),"")</f>
        <v>5.2493675199999998</v>
      </c>
      <c r="AG193">
        <f ca="1">IFERROR(IF(0=LEN(ReferenceData!$AG$193),"",ReferenceData!$AG$193),"")</f>
        <v>5.820407661</v>
      </c>
      <c r="AH193">
        <f ca="1">IFERROR(IF(0=LEN(ReferenceData!$AH$193),"",ReferenceData!$AH$193),"")</f>
        <v>7.9085782330000001</v>
      </c>
      <c r="AI193">
        <f ca="1">IFERROR(IF(0=LEN(ReferenceData!$AI$193),"",ReferenceData!$AI$193),"")</f>
        <v>7.8748574979999999</v>
      </c>
      <c r="AJ193">
        <f ca="1">IFERROR(IF(0=LEN(ReferenceData!$AJ$193),"",ReferenceData!$AJ$193),"")</f>
        <v>7.8283981210000002</v>
      </c>
      <c r="AK193">
        <f ca="1">IFERROR(IF(0=LEN(ReferenceData!$AK$193),"",ReferenceData!$AK$193),"")</f>
        <v>7.832272949</v>
      </c>
      <c r="AL193">
        <f ca="1">IFERROR(IF(0=LEN(ReferenceData!$AL$193),"",ReferenceData!$AL$193),"")</f>
        <v>7.6707613229999998</v>
      </c>
      <c r="AM193">
        <f ca="1">IFERROR(IF(0=LEN(ReferenceData!$AM$193),"",ReferenceData!$AM$193),"")</f>
        <v>7.4528886480000001</v>
      </c>
      <c r="AN193">
        <f ca="1">IFERROR(IF(0=LEN(ReferenceData!$AN$193),"",ReferenceData!$AN$193),"")</f>
        <v>7.2729859640000001</v>
      </c>
      <c r="AO193">
        <f ca="1">IFERROR(IF(0=LEN(ReferenceData!$AO$193),"",ReferenceData!$AO$193),"")</f>
        <v>7.5008724080000002</v>
      </c>
      <c r="AP193">
        <f ca="1">IFERROR(IF(0=LEN(ReferenceData!$AP$193),"",ReferenceData!$AP$193),"")</f>
        <v>7.6057143710000004</v>
      </c>
      <c r="AQ193">
        <f ca="1">IFERROR(IF(0=LEN(ReferenceData!$AQ$193),"",ReferenceData!$AQ$193),"")</f>
        <v>7.641667032</v>
      </c>
      <c r="AR193">
        <f ca="1">IFERROR(IF(0=LEN(ReferenceData!$AR$193),"",ReferenceData!$AR$193),"")</f>
        <v>7.6736675559999998</v>
      </c>
      <c r="AS193">
        <f ca="1">IFERROR(IF(0=LEN(ReferenceData!$AS$193),"",ReferenceData!$AS$193),"")</f>
        <v>7.3568596270000004</v>
      </c>
      <c r="AT193">
        <f ca="1">IFERROR(IF(0=LEN(ReferenceData!$AT$193),"",ReferenceData!$AT$193),"")</f>
        <v>9.5652219980000002</v>
      </c>
      <c r="AU193">
        <f ca="1">IFERROR(IF(0=LEN(ReferenceData!$AU$193),"",ReferenceData!$AU$193),"")</f>
        <v>8.9217916200000005</v>
      </c>
      <c r="AV193">
        <f ca="1">IFERROR(IF(0=LEN(ReferenceData!$AV$193),"",ReferenceData!$AV$193),"")</f>
        <v>8.6782756289999998</v>
      </c>
      <c r="AW193">
        <f ca="1">IFERROR(IF(0=LEN(ReferenceData!$AW$193),"",ReferenceData!$AW$193),"")</f>
        <v>7.9297587180000004</v>
      </c>
      <c r="AX193">
        <f ca="1">IFERROR(IF(0=LEN(ReferenceData!$AX$193),"",ReferenceData!$AX$193),"")</f>
        <v>9.3858403270000004</v>
      </c>
      <c r="AY193">
        <f ca="1">IFERROR(IF(0=LEN(ReferenceData!$AY$193),"",ReferenceData!$AY$193),"")</f>
        <v>8.6926590029999993</v>
      </c>
      <c r="AZ193">
        <f ca="1">IFERROR(IF(0=LEN(ReferenceData!$AZ$193),"",ReferenceData!$AZ$193),"")</f>
        <v>9.4900122870000008</v>
      </c>
      <c r="BA193">
        <f ca="1">IFERROR(IF(0=LEN(ReferenceData!$BA$193),"",ReferenceData!$BA$193),"")</f>
        <v>9.7594438159999992</v>
      </c>
      <c r="BB193">
        <f ca="1">IFERROR(IF(0=LEN(ReferenceData!$BB$193),"",ReferenceData!$BB$193),"")</f>
        <v>12.509844810000001</v>
      </c>
      <c r="BC193">
        <f ca="1">IFERROR(IF(0=LEN(ReferenceData!$BC$193),"",ReferenceData!$BC$193),"")</f>
        <v>11.83257147</v>
      </c>
      <c r="BD193">
        <f ca="1">IFERROR(IF(0=LEN(ReferenceData!$BD$193),"",ReferenceData!$BD$193),"")</f>
        <v>10.142732479999999</v>
      </c>
      <c r="BE193">
        <f ca="1">IFERROR(IF(0=LEN(ReferenceData!$BE$193),"",ReferenceData!$BE$193),"")</f>
        <v>9.5331196330000001</v>
      </c>
      <c r="BF193">
        <f ca="1">IFERROR(IF(0=LEN(ReferenceData!$BF$193),"",ReferenceData!$BF$193),"")</f>
        <v>14.97634165</v>
      </c>
      <c r="BG193">
        <f ca="1">IFERROR(IF(0=LEN(ReferenceData!$BG$193),"",ReferenceData!$BG$193),"")</f>
        <v>16.965475340000001</v>
      </c>
      <c r="BH193">
        <f ca="1">IFERROR(IF(0=LEN(ReferenceData!$BH$193),"",ReferenceData!$BH$193),"")</f>
        <v>15.974674739999999</v>
      </c>
      <c r="BI193">
        <f ca="1">IFERROR(IF(0=LEN(ReferenceData!$BI$193),"",ReferenceData!$BI$193),"")</f>
        <v>16.16924753</v>
      </c>
      <c r="BJ193">
        <f ca="1">IFERROR(IF(0=LEN(ReferenceData!$BJ$193),"",ReferenceData!$BJ$193),"")</f>
        <v>15.421810430000001</v>
      </c>
      <c r="BK193">
        <f ca="1">IFERROR(IF(0=LEN(ReferenceData!$BK$193),"",ReferenceData!$BK$193),"")</f>
        <v>19.791234599999999</v>
      </c>
      <c r="BL193">
        <f ca="1">IFERROR(IF(0=LEN(ReferenceData!$BL$193),"",ReferenceData!$BL$193),"")</f>
        <v>18.757964390000001</v>
      </c>
      <c r="BM193">
        <f ca="1">IFERROR(IF(0=LEN(ReferenceData!$BM$193),"",ReferenceData!$BM$193),"")</f>
        <v>16.603822640000001</v>
      </c>
    </row>
    <row r="194" spans="1:65">
      <c r="A194" t="str">
        <f>IFERROR(IF(0=LEN(ReferenceData!$A$194),"",ReferenceData!$A$194),"")</f>
        <v xml:space="preserve">    Welltower Inc</v>
      </c>
      <c r="B194" t="str">
        <f>IFERROR(IF(0=LEN(ReferenceData!$B$194),"",ReferenceData!$B$194),"")</f>
        <v>HCN US Equity</v>
      </c>
      <c r="C194" t="str">
        <f>IFERROR(IF(0=LEN(ReferenceData!$C$194),"",ReferenceData!$C$194),"")</f>
        <v>RR554</v>
      </c>
      <c r="D194" t="str">
        <f>IFERROR(IF(0=LEN(ReferenceData!$D$194),"",ReferenceData!$D$194),"")</f>
        <v>FFO_RE_ASSET</v>
      </c>
      <c r="E194" t="str">
        <f>IFERROR(IF(0=LEN(ReferenceData!$E$194),"",ReferenceData!$E$194),"")</f>
        <v>动态</v>
      </c>
      <c r="F194" t="str">
        <f ca="1">IFERROR(IF(0=LEN(ReferenceData!$F$194),"",ReferenceData!$F$194),"")</f>
        <v/>
      </c>
      <c r="G194">
        <f ca="1">IFERROR(IF(0=LEN(ReferenceData!$G$194),"",ReferenceData!$G$194),"")</f>
        <v>4.678234722</v>
      </c>
      <c r="H194">
        <f ca="1">IFERROR(IF(0=LEN(ReferenceData!$H$194),"",ReferenceData!$H$194),"")</f>
        <v>5.3297909409999997</v>
      </c>
      <c r="I194">
        <f ca="1">IFERROR(IF(0=LEN(ReferenceData!$I$194),"",ReferenceData!$I$194),"")</f>
        <v>5.8730381749999996</v>
      </c>
      <c r="J194">
        <f ca="1">IFERROR(IF(0=LEN(ReferenceData!$J$194),"",ReferenceData!$J$194),"")</f>
        <v>5.9946530109999996</v>
      </c>
      <c r="K194">
        <f ca="1">IFERROR(IF(0=LEN(ReferenceData!$K$194),"",ReferenceData!$K$194),"")</f>
        <v>6.1783849169999998</v>
      </c>
      <c r="L194">
        <f ca="1">IFERROR(IF(0=LEN(ReferenceData!$L$194),"",ReferenceData!$L$194),"")</f>
        <v>6.1402096610000001</v>
      </c>
      <c r="M194">
        <f ca="1">IFERROR(IF(0=LEN(ReferenceData!$M$194),"",ReferenceData!$M$194),"")</f>
        <v>6.1120217979999998</v>
      </c>
      <c r="N194">
        <f ca="1">IFERROR(IF(0=LEN(ReferenceData!$N$194),"",ReferenceData!$N$194),"")</f>
        <v>5.9514602840000004</v>
      </c>
      <c r="O194">
        <f ca="1">IFERROR(IF(0=LEN(ReferenceData!$O$194),"",ReferenceData!$O$194),"")</f>
        <v>5.8081954700000002</v>
      </c>
      <c r="P194">
        <f ca="1">IFERROR(IF(0=LEN(ReferenceData!$P$194),"",ReferenceData!$P$194),"")</f>
        <v>6.0506725140000004</v>
      </c>
      <c r="Q194">
        <f ca="1">IFERROR(IF(0=LEN(ReferenceData!$Q$194),"",ReferenceData!$Q$194),"")</f>
        <v>5.5511472519999998</v>
      </c>
      <c r="R194">
        <f ca="1">IFERROR(IF(0=LEN(ReferenceData!$R$194),"",ReferenceData!$R$194),"")</f>
        <v>5.6002818169999999</v>
      </c>
      <c r="S194">
        <f ca="1">IFERROR(IF(0=LEN(ReferenceData!$S$194),"",ReferenceData!$S$194),"")</f>
        <v>5.4520853779999996</v>
      </c>
      <c r="T194">
        <f ca="1">IFERROR(IF(0=LEN(ReferenceData!$T$194),"",ReferenceData!$T$194),"")</f>
        <v>5.5748575440000003</v>
      </c>
      <c r="U194">
        <f ca="1">IFERROR(IF(0=LEN(ReferenceData!$U$194),"",ReferenceData!$U$194),"")</f>
        <v>5.4084695910000002</v>
      </c>
      <c r="V194">
        <f ca="1">IFERROR(IF(0=LEN(ReferenceData!$V$194),"",ReferenceData!$V$194),"")</f>
        <v>5.4005613380000002</v>
      </c>
      <c r="W194">
        <f ca="1">IFERROR(IF(0=LEN(ReferenceData!$W$194),"",ReferenceData!$W$194),"")</f>
        <v>4.9513431800000003</v>
      </c>
      <c r="X194">
        <f ca="1">IFERROR(IF(0=LEN(ReferenceData!$X$194),"",ReferenceData!$X$194),"")</f>
        <v>4.8357614209999999</v>
      </c>
      <c r="Y194">
        <f ca="1">IFERROR(IF(0=LEN(ReferenceData!$Y$194),"",ReferenceData!$Y$194),"")</f>
        <v>4.6300481260000002</v>
      </c>
      <c r="Z194">
        <f ca="1">IFERROR(IF(0=LEN(ReferenceData!$Z$194),"",ReferenceData!$Z$194),"")</f>
        <v>4.385619374</v>
      </c>
      <c r="AA194">
        <f ca="1">IFERROR(IF(0=LEN(ReferenceData!$AA$194),"",ReferenceData!$AA$194),"")</f>
        <v>4.609913283</v>
      </c>
      <c r="AB194">
        <f ca="1">IFERROR(IF(0=LEN(ReferenceData!$AB$194),"",ReferenceData!$AB$194),"")</f>
        <v>4.6516786740000002</v>
      </c>
      <c r="AC194">
        <f ca="1">IFERROR(IF(0=LEN(ReferenceData!$AC$194),"",ReferenceData!$AC$194),"")</f>
        <v>4.7091421069999999</v>
      </c>
      <c r="AD194">
        <f ca="1">IFERROR(IF(0=LEN(ReferenceData!$AD$194),"",ReferenceData!$AD$194),"")</f>
        <v>5.2399625040000002</v>
      </c>
      <c r="AE194">
        <f ca="1">IFERROR(IF(0=LEN(ReferenceData!$AE$194),"",ReferenceData!$AE$194),"")</f>
        <v>4.8096515269999998</v>
      </c>
      <c r="AF194">
        <f ca="1">IFERROR(IF(0=LEN(ReferenceData!$AF$194),"",ReferenceData!$AF$194),"")</f>
        <v>4.6190704130000002</v>
      </c>
      <c r="AG194">
        <f ca="1">IFERROR(IF(0=LEN(ReferenceData!$AG$194),"",ReferenceData!$AG$194),"")</f>
        <v>3.7303553520000001</v>
      </c>
      <c r="AH194">
        <f ca="1">IFERROR(IF(0=LEN(ReferenceData!$AH$194),"",ReferenceData!$AH$194),"")</f>
        <v>3.6523000670000001</v>
      </c>
      <c r="AI194">
        <f ca="1">IFERROR(IF(0=LEN(ReferenceData!$AI$194),"",ReferenceData!$AI$194),"")</f>
        <v>3.907032235</v>
      </c>
      <c r="AJ194">
        <f ca="1">IFERROR(IF(0=LEN(ReferenceData!$AJ$194),"",ReferenceData!$AJ$194),"")</f>
        <v>3.8211828880000001</v>
      </c>
      <c r="AK194">
        <f ca="1">IFERROR(IF(0=LEN(ReferenceData!$AK$194),"",ReferenceData!$AK$194),"")</f>
        <v>4.4482424829999996</v>
      </c>
      <c r="AL194">
        <f ca="1">IFERROR(IF(0=LEN(ReferenceData!$AL$194),"",ReferenceData!$AL$194),"")</f>
        <v>4.4960616480000004</v>
      </c>
      <c r="AM194">
        <f ca="1">IFERROR(IF(0=LEN(ReferenceData!$AM$194),"",ReferenceData!$AM$194),"")</f>
        <v>4.9982846619999997</v>
      </c>
      <c r="AN194">
        <f ca="1">IFERROR(IF(0=LEN(ReferenceData!$AN$194),"",ReferenceData!$AN$194),"")</f>
        <v>4.6007188030000004</v>
      </c>
      <c r="AO194">
        <f ca="1">IFERROR(IF(0=LEN(ReferenceData!$AO$194),"",ReferenceData!$AO$194),"")</f>
        <v>5.1451580359999998</v>
      </c>
      <c r="AP194">
        <f ca="1">IFERROR(IF(0=LEN(ReferenceData!$AP$194),"",ReferenceData!$AP$194),"")</f>
        <v>5.0917148179999998</v>
      </c>
      <c r="AQ194">
        <f ca="1">IFERROR(IF(0=LEN(ReferenceData!$AQ$194),"",ReferenceData!$AQ$194),"")</f>
        <v>4.8833054159999998</v>
      </c>
      <c r="AR194">
        <f ca="1">IFERROR(IF(0=LEN(ReferenceData!$AR$194),"",ReferenceData!$AR$194),"")</f>
        <v>5.8224012600000004</v>
      </c>
      <c r="AS194">
        <f ca="1">IFERROR(IF(0=LEN(ReferenceData!$AS$194),"",ReferenceData!$AS$194),"")</f>
        <v>5.6941814160000002</v>
      </c>
      <c r="AT194">
        <f ca="1">IFERROR(IF(0=LEN(ReferenceData!$AT$194),"",ReferenceData!$AT$194),"")</f>
        <v>5.7071031479999998</v>
      </c>
      <c r="AU194">
        <f ca="1">IFERROR(IF(0=LEN(ReferenceData!$AU$194),"",ReferenceData!$AU$194),"")</f>
        <v>5.630306053</v>
      </c>
      <c r="AV194">
        <f ca="1">IFERROR(IF(0=LEN(ReferenceData!$AV$194),"",ReferenceData!$AV$194),"")</f>
        <v>5.7917403939999996</v>
      </c>
      <c r="AW194">
        <f ca="1">IFERROR(IF(0=LEN(ReferenceData!$AW$194),"",ReferenceData!$AW$194),"")</f>
        <v>5.5254619189999996</v>
      </c>
      <c r="AX194">
        <f ca="1">IFERROR(IF(0=LEN(ReferenceData!$AX$194),"",ReferenceData!$AX$194),"")</f>
        <v>5.397624338</v>
      </c>
      <c r="AY194">
        <f ca="1">IFERROR(IF(0=LEN(ReferenceData!$AY$194),"",ReferenceData!$AY$194),"")</f>
        <v>5.154864119</v>
      </c>
      <c r="AZ194">
        <f ca="1">IFERROR(IF(0=LEN(ReferenceData!$AZ$194),"",ReferenceData!$AZ$194),"")</f>
        <v>5.352193862</v>
      </c>
      <c r="BA194">
        <f ca="1">IFERROR(IF(0=LEN(ReferenceData!$BA$194),"",ReferenceData!$BA$194),"")</f>
        <v>5.3308276169999997</v>
      </c>
      <c r="BB194">
        <f ca="1">IFERROR(IF(0=LEN(ReferenceData!$BB$194),"",ReferenceData!$BB$194),"")</f>
        <v>4.5684785129999996</v>
      </c>
      <c r="BC194">
        <f ca="1">IFERROR(IF(0=LEN(ReferenceData!$BC$194),"",ReferenceData!$BC$194),"")</f>
        <v>4.515287754</v>
      </c>
      <c r="BD194">
        <f ca="1">IFERROR(IF(0=LEN(ReferenceData!$BD$194),"",ReferenceData!$BD$194),"")</f>
        <v>5.5112722620000003</v>
      </c>
      <c r="BE194" t="str">
        <f ca="1">IFERROR(IF(0=LEN(ReferenceData!$BE$194),"",ReferenceData!$BE$194),"")</f>
        <v/>
      </c>
      <c r="BF194" t="str">
        <f ca="1">IFERROR(IF(0=LEN(ReferenceData!$BF$194),"",ReferenceData!$BF$194),"")</f>
        <v/>
      </c>
      <c r="BG194" t="str">
        <f ca="1">IFERROR(IF(0=LEN(ReferenceData!$BG$194),"",ReferenceData!$BG$194),"")</f>
        <v/>
      </c>
      <c r="BH194" t="str">
        <f ca="1">IFERROR(IF(0=LEN(ReferenceData!$BH$194),"",ReferenceData!$BH$194),"")</f>
        <v/>
      </c>
      <c r="BI194" t="str">
        <f ca="1">IFERROR(IF(0=LEN(ReferenceData!$BI$194),"",ReferenceData!$BI$194),"")</f>
        <v/>
      </c>
      <c r="BJ194" t="str">
        <f ca="1">IFERROR(IF(0=LEN(ReferenceData!$BJ$194),"",ReferenceData!$BJ$194),"")</f>
        <v/>
      </c>
      <c r="BK194" t="str">
        <f ca="1">IFERROR(IF(0=LEN(ReferenceData!$BK$194),"",ReferenceData!$BK$194),"")</f>
        <v/>
      </c>
      <c r="BL194" t="str">
        <f ca="1">IFERROR(IF(0=LEN(ReferenceData!$BL$194),"",ReferenceData!$BL$194),"")</f>
        <v/>
      </c>
      <c r="BM194" t="str">
        <f ca="1">IFERROR(IF(0=LEN(ReferenceData!$BM$194),"",ReferenceData!$BM$194),"")</f>
        <v/>
      </c>
    </row>
    <row r="195" spans="1:65">
      <c r="A195" t="str">
        <f>IFERROR(IF(0=LEN(ReferenceData!$A$195),"",ReferenceData!$A$195),"")</f>
        <v>债务/EBITDA</v>
      </c>
      <c r="B195" t="str">
        <f>IFERROR(IF(0=LEN(ReferenceData!$B$195),"",ReferenceData!$B$195),"")</f>
        <v/>
      </c>
      <c r="C195" t="str">
        <f>IFERROR(IF(0=LEN(ReferenceData!$C$195),"",ReferenceData!$C$195),"")</f>
        <v/>
      </c>
      <c r="D195" t="str">
        <f>IFERROR(IF(0=LEN(ReferenceData!$D$195),"",ReferenceData!$D$195),"")</f>
        <v/>
      </c>
      <c r="E195" t="str">
        <f>IFERROR(IF(0=LEN(ReferenceData!$E$195),"",ReferenceData!$E$195),"")</f>
        <v>Median</v>
      </c>
      <c r="F195" t="str">
        <f ca="1">IFERROR(IF(0=LEN(ReferenceData!$F$195),"",ReferenceData!$F$195),"")</f>
        <v/>
      </c>
      <c r="G195">
        <f ca="1">IFERROR(IF(0=LEN(ReferenceData!$G$195),"",ReferenceData!$G$195),"")</f>
        <v>7.1982608424999999</v>
      </c>
      <c r="H195">
        <f ca="1">IFERROR(IF(0=LEN(ReferenceData!$H$195),"",ReferenceData!$H$195),"")</f>
        <v>6.8800714519999993</v>
      </c>
      <c r="I195">
        <f ca="1">IFERROR(IF(0=LEN(ReferenceData!$I$195),"",ReferenceData!$I$195),"")</f>
        <v>6.0244330809999997</v>
      </c>
      <c r="J195">
        <f ca="1">IFERROR(IF(0=LEN(ReferenceData!$J$195),"",ReferenceData!$J$195),"")</f>
        <v>5.8199621979999998</v>
      </c>
      <c r="K195">
        <f ca="1">IFERROR(IF(0=LEN(ReferenceData!$K$195),"",ReferenceData!$K$195),"")</f>
        <v>6.0207777389999997</v>
      </c>
      <c r="L195">
        <f ca="1">IFERROR(IF(0=LEN(ReferenceData!$L$195),"",ReferenceData!$L$195),"")</f>
        <v>6.1565772570000004</v>
      </c>
      <c r="M195">
        <f ca="1">IFERROR(IF(0=LEN(ReferenceData!$M$195),"",ReferenceData!$M$195),"")</f>
        <v>6.1971481529999997</v>
      </c>
      <c r="N195">
        <f ca="1">IFERROR(IF(0=LEN(ReferenceData!$N$195),"",ReferenceData!$N$195),"")</f>
        <v>6.5855988525000004</v>
      </c>
      <c r="O195">
        <f ca="1">IFERROR(IF(0=LEN(ReferenceData!$O$195),"",ReferenceData!$O$195),"")</f>
        <v>6.6537256920000001</v>
      </c>
      <c r="P195">
        <f ca="1">IFERROR(IF(0=LEN(ReferenceData!$P$195),"",ReferenceData!$P$195),"")</f>
        <v>6.8787341800000004</v>
      </c>
      <c r="Q195">
        <f ca="1">IFERROR(IF(0=LEN(ReferenceData!$Q$195),"",ReferenceData!$Q$195),"")</f>
        <v>6.9794279274999997</v>
      </c>
      <c r="R195">
        <f ca="1">IFERROR(IF(0=LEN(ReferenceData!$R$195),"",ReferenceData!$R$195),"")</f>
        <v>6.5145119334999997</v>
      </c>
      <c r="S195">
        <f ca="1">IFERROR(IF(0=LEN(ReferenceData!$S$195),"",ReferenceData!$S$195),"")</f>
        <v>6.3760698715000004</v>
      </c>
      <c r="T195">
        <f ca="1">IFERROR(IF(0=LEN(ReferenceData!$T$195),"",ReferenceData!$T$195),"")</f>
        <v>6.4889537874999998</v>
      </c>
      <c r="U195">
        <f ca="1">IFERROR(IF(0=LEN(ReferenceData!$U$195),"",ReferenceData!$U$195),"")</f>
        <v>6.0962166680000003</v>
      </c>
      <c r="V195">
        <f ca="1">IFERROR(IF(0=LEN(ReferenceData!$V$195),"",ReferenceData!$V$195),"")</f>
        <v>6.1787705544999998</v>
      </c>
      <c r="W195">
        <f ca="1">IFERROR(IF(0=LEN(ReferenceData!$W$195),"",ReferenceData!$W$195),"")</f>
        <v>6.0682402350000002</v>
      </c>
      <c r="X195">
        <f ca="1">IFERROR(IF(0=LEN(ReferenceData!$X$195),"",ReferenceData!$X$195),"")</f>
        <v>5.7878552175000006</v>
      </c>
      <c r="Y195">
        <f ca="1">IFERROR(IF(0=LEN(ReferenceData!$Y$195),"",ReferenceData!$Y$195),"")</f>
        <v>5.5473734935000003</v>
      </c>
      <c r="Z195">
        <f ca="1">IFERROR(IF(0=LEN(ReferenceData!$Z$195),"",ReferenceData!$Z$195),"")</f>
        <v>5.5254585919999997</v>
      </c>
      <c r="AA195">
        <f ca="1">IFERROR(IF(0=LEN(ReferenceData!$AA$195),"",ReferenceData!$AA$195),"")</f>
        <v>6.4798491190000007</v>
      </c>
      <c r="AB195">
        <f ca="1">IFERROR(IF(0=LEN(ReferenceData!$AB$195),"",ReferenceData!$AB$195),"")</f>
        <v>6.6179644814999996</v>
      </c>
      <c r="AC195">
        <f ca="1">IFERROR(IF(0=LEN(ReferenceData!$AC$195),"",ReferenceData!$AC$195),"")</f>
        <v>6.4836063250000002</v>
      </c>
      <c r="AD195">
        <f ca="1">IFERROR(IF(0=LEN(ReferenceData!$AD$195),"",ReferenceData!$AD$195),"")</f>
        <v>6.4133792385000001</v>
      </c>
      <c r="AE195">
        <f ca="1">IFERROR(IF(0=LEN(ReferenceData!$AE$195),"",ReferenceData!$AE$195),"")</f>
        <v>6.4181983850000002</v>
      </c>
      <c r="AF195">
        <f ca="1">IFERROR(IF(0=LEN(ReferenceData!$AF$195),"",ReferenceData!$AF$195),"")</f>
        <v>6.2672587579999997</v>
      </c>
      <c r="AG195">
        <f ca="1">IFERROR(IF(0=LEN(ReferenceData!$AG$195),"",ReferenceData!$AG$195),"")</f>
        <v>7.344771444</v>
      </c>
      <c r="AH195">
        <f ca="1">IFERROR(IF(0=LEN(ReferenceData!$AH$195),"",ReferenceData!$AH$195),"")</f>
        <v>6.7639091459999996</v>
      </c>
      <c r="AI195">
        <f ca="1">IFERROR(IF(0=LEN(ReferenceData!$AI$195),"",ReferenceData!$AI$195),"")</f>
        <v>5.1804262220000004</v>
      </c>
      <c r="AJ195">
        <f ca="1">IFERROR(IF(0=LEN(ReferenceData!$AJ$195),"",ReferenceData!$AJ$195),"")</f>
        <v>6.1729299500000003</v>
      </c>
      <c r="AK195">
        <f ca="1">IFERROR(IF(0=LEN(ReferenceData!$AK$195),"",ReferenceData!$AK$195),"")</f>
        <v>6.8278695809999999</v>
      </c>
      <c r="AL195">
        <f ca="1">IFERROR(IF(0=LEN(ReferenceData!$AL$195),"",ReferenceData!$AL$195),"")</f>
        <v>6.3907786629999999</v>
      </c>
      <c r="AM195">
        <f ca="1">IFERROR(IF(0=LEN(ReferenceData!$AM$195),"",ReferenceData!$AM$195),"")</f>
        <v>5.5685607685000003</v>
      </c>
      <c r="AN195">
        <f ca="1">IFERROR(IF(0=LEN(ReferenceData!$AN$195),"",ReferenceData!$AN$195),"")</f>
        <v>5.9674613975000002</v>
      </c>
      <c r="AO195">
        <f ca="1">IFERROR(IF(0=LEN(ReferenceData!$AO$195),"",ReferenceData!$AO$195),"")</f>
        <v>6.1655038659999999</v>
      </c>
      <c r="AP195">
        <f ca="1">IFERROR(IF(0=LEN(ReferenceData!$AP$195),"",ReferenceData!$AP$195),"")</f>
        <v>6.0209650290000001</v>
      </c>
      <c r="AQ195">
        <f ca="1">IFERROR(IF(0=LEN(ReferenceData!$AQ$195),"",ReferenceData!$AQ$195),"")</f>
        <v>6.9409563335</v>
      </c>
      <c r="AR195">
        <f ca="1">IFERROR(IF(0=LEN(ReferenceData!$AR$195),"",ReferenceData!$AR$195),"")</f>
        <v>6.1969849894999998</v>
      </c>
      <c r="AS195">
        <f ca="1">IFERROR(IF(0=LEN(ReferenceData!$AS$195),"",ReferenceData!$AS$195),"")</f>
        <v>6.8655005684999999</v>
      </c>
      <c r="AT195">
        <f ca="1">IFERROR(IF(0=LEN(ReferenceData!$AT$195),"",ReferenceData!$AT$195),"")</f>
        <v>6.1483692474999998</v>
      </c>
      <c r="AU195">
        <f ca="1">IFERROR(IF(0=LEN(ReferenceData!$AU$195),"",ReferenceData!$AU$195),"")</f>
        <v>6.8678771100000002</v>
      </c>
      <c r="AV195">
        <f ca="1">IFERROR(IF(0=LEN(ReferenceData!$AV$195),"",ReferenceData!$AV$195),"")</f>
        <v>6.5051089515000005</v>
      </c>
      <c r="AW195">
        <f ca="1">IFERROR(IF(0=LEN(ReferenceData!$AW$195),"",ReferenceData!$AW$195),"")</f>
        <v>6.5744762239999996</v>
      </c>
      <c r="AX195">
        <f ca="1">IFERROR(IF(0=LEN(ReferenceData!$AX$195),"",ReferenceData!$AX$195),"")</f>
        <v>5.9499296954999998</v>
      </c>
      <c r="AY195">
        <f ca="1">IFERROR(IF(0=LEN(ReferenceData!$AY$195),"",ReferenceData!$AY$195),"")</f>
        <v>6.6247043585000007</v>
      </c>
      <c r="AZ195">
        <f ca="1">IFERROR(IF(0=LEN(ReferenceData!$AZ$195),"",ReferenceData!$AZ$195),"")</f>
        <v>6.1048104695000003</v>
      </c>
      <c r="BA195">
        <f ca="1">IFERROR(IF(0=LEN(ReferenceData!$BA$195),"",ReferenceData!$BA$195),"")</f>
        <v>5.1788693015000007</v>
      </c>
      <c r="BB195">
        <f ca="1">IFERROR(IF(0=LEN(ReferenceData!$BB$195),"",ReferenceData!$BB$195),"")</f>
        <v>5.4126626874999992</v>
      </c>
      <c r="BC195">
        <f ca="1">IFERROR(IF(0=LEN(ReferenceData!$BC$195),"",ReferenceData!$BC$195),"")</f>
        <v>5.5549315880000005</v>
      </c>
      <c r="BD195">
        <f ca="1">IFERROR(IF(0=LEN(ReferenceData!$BD$195),"",ReferenceData!$BD$195),"")</f>
        <v>5.196737165</v>
      </c>
      <c r="BE195">
        <f ca="1">IFERROR(IF(0=LEN(ReferenceData!$BE$195),"",ReferenceData!$BE$195),"")</f>
        <v>5.3434102140000004</v>
      </c>
      <c r="BF195">
        <f ca="1">IFERROR(IF(0=LEN(ReferenceData!$BF$195),"",ReferenceData!$BF$195),"")</f>
        <v>4.3046961850000001</v>
      </c>
      <c r="BG195">
        <f ca="1">IFERROR(IF(0=LEN(ReferenceData!$BG$195),"",ReferenceData!$BG$195),"")</f>
        <v>4.8413424880000004</v>
      </c>
      <c r="BH195">
        <f ca="1">IFERROR(IF(0=LEN(ReferenceData!$BH$195),"",ReferenceData!$BH$195),"")</f>
        <v>4.5295628079999997</v>
      </c>
      <c r="BI195">
        <f ca="1">IFERROR(IF(0=LEN(ReferenceData!$BI$195),"",ReferenceData!$BI$195),"")</f>
        <v>4.3408512000000004</v>
      </c>
      <c r="BJ195">
        <f ca="1">IFERROR(IF(0=LEN(ReferenceData!$BJ$195),"",ReferenceData!$BJ$195),"")</f>
        <v>4.2257630959999997</v>
      </c>
      <c r="BK195">
        <f ca="1">IFERROR(IF(0=LEN(ReferenceData!$BK$195),"",ReferenceData!$BK$195),"")</f>
        <v>4.4659793544999999</v>
      </c>
      <c r="BL195">
        <f ca="1">IFERROR(IF(0=LEN(ReferenceData!$BL$195),"",ReferenceData!$BL$195),"")</f>
        <v>4.5696834585000001</v>
      </c>
      <c r="BM195">
        <f ca="1">IFERROR(IF(0=LEN(ReferenceData!$BM$195),"",ReferenceData!$BM$195),"")</f>
        <v>4.5397209439999999</v>
      </c>
    </row>
    <row r="196" spans="1:65">
      <c r="A196" t="str">
        <f>IFERROR(IF(0=LEN(ReferenceData!$A$196),"",ReferenceData!$A$196),"")</f>
        <v xml:space="preserve">    Alexandria Real Estate Equitie</v>
      </c>
      <c r="B196" t="str">
        <f>IFERROR(IF(0=LEN(ReferenceData!$B$196),"",ReferenceData!$B$196),"")</f>
        <v>ARE US Equity</v>
      </c>
      <c r="C196" t="str">
        <f>IFERROR(IF(0=LEN(ReferenceData!$C$196),"",ReferenceData!$C$196),"")</f>
        <v>RR052</v>
      </c>
      <c r="D196" t="str">
        <f>IFERROR(IF(0=LEN(ReferenceData!$D$196),"",ReferenceData!$D$196),"")</f>
        <v>TOT_DEBT_TO_EBITDA</v>
      </c>
      <c r="E196" t="str">
        <f>IFERROR(IF(0=LEN(ReferenceData!$E$196),"",ReferenceData!$E$196),"")</f>
        <v>动态</v>
      </c>
      <c r="F196" t="str">
        <f ca="1">IFERROR(IF(0=LEN(ReferenceData!$F$196),"",ReferenceData!$F$196),"")</f>
        <v/>
      </c>
      <c r="G196">
        <f ca="1">IFERROR(IF(0=LEN(ReferenceData!$G$196),"",ReferenceData!$G$196),"")</f>
        <v>6.5515801429999998</v>
      </c>
      <c r="H196">
        <f ca="1">IFERROR(IF(0=LEN(ReferenceData!$H$196),"",ReferenceData!$H$196),"")</f>
        <v>7.1057848899999998</v>
      </c>
      <c r="I196">
        <f ca="1">IFERROR(IF(0=LEN(ReferenceData!$I$196),"",ReferenceData!$I$196),"")</f>
        <v>7.6035350800000003</v>
      </c>
      <c r="J196">
        <f ca="1">IFERROR(IF(0=LEN(ReferenceData!$J$196),"",ReferenceData!$J$196),"")</f>
        <v>10.10119235</v>
      </c>
      <c r="K196">
        <f ca="1">IFERROR(IF(0=LEN(ReferenceData!$K$196),"",ReferenceData!$K$196),"")</f>
        <v>11.249469810000001</v>
      </c>
      <c r="L196">
        <f ca="1">IFERROR(IF(0=LEN(ReferenceData!$L$196),"",ReferenceData!$L$196),"")</f>
        <v>12.06154626</v>
      </c>
      <c r="M196">
        <f ca="1">IFERROR(IF(0=LEN(ReferenceData!$M$196),"",ReferenceData!$M$196),"")</f>
        <v>11.462558019999999</v>
      </c>
      <c r="N196">
        <f ca="1">IFERROR(IF(0=LEN(ReferenceData!$N$196),"",ReferenceData!$N$196),"")</f>
        <v>8.2023226719999993</v>
      </c>
      <c r="O196">
        <f ca="1">IFERROR(IF(0=LEN(ReferenceData!$O$196),"",ReferenceData!$O$196),"")</f>
        <v>7.8812986739999999</v>
      </c>
      <c r="P196">
        <f ca="1">IFERROR(IF(0=LEN(ReferenceData!$P$196),"",ReferenceData!$P$196),"")</f>
        <v>9.9308331879999994</v>
      </c>
      <c r="Q196">
        <f ca="1">IFERROR(IF(0=LEN(ReferenceData!$Q$196),"",ReferenceData!$Q$196),"")</f>
        <v>9.8533089389999997</v>
      </c>
      <c r="R196">
        <f ca="1">IFERROR(IF(0=LEN(ReferenceData!$R$196),"",ReferenceData!$R$196),"")</f>
        <v>9.7919816599999994</v>
      </c>
      <c r="S196">
        <f ca="1">IFERROR(IF(0=LEN(ReferenceData!$S$196),"",ReferenceData!$S$196),"")</f>
        <v>9.1391450600000006</v>
      </c>
      <c r="T196">
        <f ca="1">IFERROR(IF(0=LEN(ReferenceData!$T$196),"",ReferenceData!$T$196),"")</f>
        <v>7.9130541890000003</v>
      </c>
      <c r="U196">
        <f ca="1">IFERROR(IF(0=LEN(ReferenceData!$U$196),"",ReferenceData!$U$196),"")</f>
        <v>7.8270995570000004</v>
      </c>
      <c r="V196">
        <f ca="1">IFERROR(IF(0=LEN(ReferenceData!$V$196),"",ReferenceData!$V$196),"")</f>
        <v>7.90635493</v>
      </c>
      <c r="W196">
        <f ca="1">IFERROR(IF(0=LEN(ReferenceData!$W$196),"",ReferenceData!$W$196),"")</f>
        <v>7.7446786440000004</v>
      </c>
      <c r="X196">
        <f ca="1">IFERROR(IF(0=LEN(ReferenceData!$X$196),"",ReferenceData!$X$196),"")</f>
        <v>7.5492675150000004</v>
      </c>
      <c r="Y196">
        <f ca="1">IFERROR(IF(0=LEN(ReferenceData!$Y$196),"",ReferenceData!$Y$196),"")</f>
        <v>8.0234677889999997</v>
      </c>
      <c r="Z196">
        <f ca="1">IFERROR(IF(0=LEN(ReferenceData!$Z$196),"",ReferenceData!$Z$196),"")</f>
        <v>8.6956984760000005</v>
      </c>
      <c r="AA196">
        <f ca="1">IFERROR(IF(0=LEN(ReferenceData!$AA$196),"",ReferenceData!$AA$196),"")</f>
        <v>8.8800889699999992</v>
      </c>
      <c r="AB196">
        <f ca="1">IFERROR(IF(0=LEN(ReferenceData!$AB$196),"",ReferenceData!$AB$196),"")</f>
        <v>8.5318296419999999</v>
      </c>
      <c r="AC196">
        <f ca="1">IFERROR(IF(0=LEN(ReferenceData!$AC$196),"",ReferenceData!$AC$196),"")</f>
        <v>8.4288103440000004</v>
      </c>
      <c r="AD196">
        <f ca="1">IFERROR(IF(0=LEN(ReferenceData!$AD$196),"",ReferenceData!$AD$196),"")</f>
        <v>7.8550546289999996</v>
      </c>
      <c r="AE196">
        <f ca="1">IFERROR(IF(0=LEN(ReferenceData!$AE$196),"",ReferenceData!$AE$196),"")</f>
        <v>7.7614211070000003</v>
      </c>
      <c r="AF196">
        <f ca="1">IFERROR(IF(0=LEN(ReferenceData!$AF$196),"",ReferenceData!$AF$196),"")</f>
        <v>7.4613474589999997</v>
      </c>
      <c r="AG196">
        <f ca="1">IFERROR(IF(0=LEN(ReferenceData!$AG$196),"",ReferenceData!$AG$196),"")</f>
        <v>7.344771444</v>
      </c>
      <c r="AH196">
        <f ca="1">IFERROR(IF(0=LEN(ReferenceData!$AH$196),"",ReferenceData!$AH$196),"")</f>
        <v>7.9938731330000001</v>
      </c>
      <c r="AI196">
        <f ca="1">IFERROR(IF(0=LEN(ReferenceData!$AI$196),"",ReferenceData!$AI$196),"")</f>
        <v>8.0769197110000004</v>
      </c>
      <c r="AJ196">
        <f ca="1">IFERROR(IF(0=LEN(ReferenceData!$AJ$196),"",ReferenceData!$AJ$196),"")</f>
        <v>8.114186428</v>
      </c>
      <c r="AK196">
        <f ca="1">IFERROR(IF(0=LEN(ReferenceData!$AK$196),"",ReferenceData!$AK$196),"")</f>
        <v>8.7624766199999993</v>
      </c>
      <c r="AL196">
        <f ca="1">IFERROR(IF(0=LEN(ReferenceData!$AL$196),"",ReferenceData!$AL$196),"")</f>
        <v>8.8798202699999997</v>
      </c>
      <c r="AM196">
        <f ca="1">IFERROR(IF(0=LEN(ReferenceData!$AM$196),"",ReferenceData!$AM$196),"")</f>
        <v>8.4377843240000008</v>
      </c>
      <c r="AN196">
        <f ca="1">IFERROR(IF(0=LEN(ReferenceData!$AN$196),"",ReferenceData!$AN$196),"")</f>
        <v>7.9339358459999998</v>
      </c>
      <c r="AO196">
        <f ca="1">IFERROR(IF(0=LEN(ReferenceData!$AO$196),"",ReferenceData!$AO$196),"")</f>
        <v>8.452400033</v>
      </c>
      <c r="AP196">
        <f ca="1">IFERROR(IF(0=LEN(ReferenceData!$AP$196),"",ReferenceData!$AP$196),"")</f>
        <v>8.6663991399999993</v>
      </c>
      <c r="AQ196">
        <f ca="1">IFERROR(IF(0=LEN(ReferenceData!$AQ$196),"",ReferenceData!$AQ$196),"")</f>
        <v>9.5001697549999999</v>
      </c>
      <c r="AR196">
        <f ca="1">IFERROR(IF(0=LEN(ReferenceData!$AR$196),"",ReferenceData!$AR$196),"")</f>
        <v>9.5186330340000005</v>
      </c>
      <c r="AS196">
        <f ca="1">IFERROR(IF(0=LEN(ReferenceData!$AS$196),"",ReferenceData!$AS$196),"")</f>
        <v>9.275744499</v>
      </c>
      <c r="AT196">
        <f ca="1">IFERROR(IF(0=LEN(ReferenceData!$AT$196),"",ReferenceData!$AT$196),"")</f>
        <v>9.3979463649999992</v>
      </c>
      <c r="AU196">
        <f ca="1">IFERROR(IF(0=LEN(ReferenceData!$AU$196),"",ReferenceData!$AU$196),"")</f>
        <v>10.298603290000001</v>
      </c>
      <c r="AV196">
        <f ca="1">IFERROR(IF(0=LEN(ReferenceData!$AV$196),"",ReferenceData!$AV$196),"")</f>
        <v>9.5668886220000005</v>
      </c>
      <c r="AW196">
        <f ca="1">IFERROR(IF(0=LEN(ReferenceData!$AW$196),"",ReferenceData!$AW$196),"")</f>
        <v>9.0693962030000002</v>
      </c>
      <c r="AX196">
        <f ca="1">IFERROR(IF(0=LEN(ReferenceData!$AX$196),"",ReferenceData!$AX$196),"")</f>
        <v>9.2143443769999998</v>
      </c>
      <c r="AY196">
        <f ca="1">IFERROR(IF(0=LEN(ReferenceData!$AY$196),"",ReferenceData!$AY$196),"")</f>
        <v>9.2492577259999997</v>
      </c>
      <c r="AZ196">
        <f ca="1">IFERROR(IF(0=LEN(ReferenceData!$AZ$196),"",ReferenceData!$AZ$196),"")</f>
        <v>8.6328976799999992</v>
      </c>
      <c r="BA196">
        <f ca="1">IFERROR(IF(0=LEN(ReferenceData!$BA$196),"",ReferenceData!$BA$196),"")</f>
        <v>7.1186400929999998</v>
      </c>
      <c r="BB196">
        <f ca="1">IFERROR(IF(0=LEN(ReferenceData!$BB$196),"",ReferenceData!$BB$196),"")</f>
        <v>8.888345352</v>
      </c>
      <c r="BC196">
        <f ca="1">IFERROR(IF(0=LEN(ReferenceData!$BC$196),"",ReferenceData!$BC$196),"")</f>
        <v>8.5063797880000003</v>
      </c>
      <c r="BD196">
        <f ca="1">IFERROR(IF(0=LEN(ReferenceData!$BD$196),"",ReferenceData!$BD$196),"")</f>
        <v>8.12181788</v>
      </c>
      <c r="BE196">
        <f ca="1">IFERROR(IF(0=LEN(ReferenceData!$BE$196),"",ReferenceData!$BE$196),"")</f>
        <v>8.8691227159999997</v>
      </c>
      <c r="BF196">
        <f ca="1">IFERROR(IF(0=LEN(ReferenceData!$BF$196),"",ReferenceData!$BF$196),"")</f>
        <v>8.8572561000000007</v>
      </c>
      <c r="BG196">
        <f ca="1">IFERROR(IF(0=LEN(ReferenceData!$BG$196),"",ReferenceData!$BG$196),"")</f>
        <v>9.1610079879999997</v>
      </c>
      <c r="BH196">
        <f ca="1">IFERROR(IF(0=LEN(ReferenceData!$BH$196),"",ReferenceData!$BH$196),"")</f>
        <v>6.3355647470000003</v>
      </c>
      <c r="BI196">
        <f ca="1">IFERROR(IF(0=LEN(ReferenceData!$BI$196),"",ReferenceData!$BI$196),"")</f>
        <v>4.6027623860000002</v>
      </c>
      <c r="BJ196">
        <f ca="1">IFERROR(IF(0=LEN(ReferenceData!$BJ$196),"",ReferenceData!$BJ$196),"")</f>
        <v>4.9351474919999996</v>
      </c>
      <c r="BK196">
        <f ca="1">IFERROR(IF(0=LEN(ReferenceData!$BK$196),"",ReferenceData!$BK$196),"")</f>
        <v>4.9488852899999998</v>
      </c>
      <c r="BL196">
        <f ca="1">IFERROR(IF(0=LEN(ReferenceData!$BL$196),"",ReferenceData!$BL$196),"")</f>
        <v>5.0386055560000003</v>
      </c>
      <c r="BM196">
        <f ca="1">IFERROR(IF(0=LEN(ReferenceData!$BM$196),"",ReferenceData!$BM$196),"")</f>
        <v>6.3089849170000001</v>
      </c>
    </row>
    <row r="197" spans="1:65">
      <c r="A197" t="str">
        <f>IFERROR(IF(0=LEN(ReferenceData!$A$197),"",ReferenceData!$A$197),"")</f>
        <v xml:space="preserve">    Care Capital Properties Inc</v>
      </c>
      <c r="B197" t="str">
        <f>IFERROR(IF(0=LEN(ReferenceData!$B$197),"",ReferenceData!$B$197),"")</f>
        <v>CCP US Equity</v>
      </c>
      <c r="C197" t="str">
        <f>IFERROR(IF(0=LEN(ReferenceData!$C$197),"",ReferenceData!$C$197),"")</f>
        <v>RR052</v>
      </c>
      <c r="D197" t="str">
        <f>IFERROR(IF(0=LEN(ReferenceData!$D$197),"",ReferenceData!$D$197),"")</f>
        <v>TOT_DEBT_TO_EBITDA</v>
      </c>
      <c r="E197" t="str">
        <f>IFERROR(IF(0=LEN(ReferenceData!$E$197),"",ReferenceData!$E$197),"")</f>
        <v>动态</v>
      </c>
      <c r="F197" t="str">
        <f ca="1">IFERROR(IF(0=LEN(ReferenceData!$F$197),"",ReferenceData!$F$197),"")</f>
        <v/>
      </c>
      <c r="G197" t="str">
        <f ca="1">IFERROR(IF(0=LEN(ReferenceData!$G$197),"",ReferenceData!$G$197),"")</f>
        <v/>
      </c>
      <c r="H197" t="str">
        <f ca="1">IFERROR(IF(0=LEN(ReferenceData!$H$197),"",ReferenceData!$H$197),"")</f>
        <v/>
      </c>
      <c r="I197">
        <f ca="1">IFERROR(IF(0=LEN(ReferenceData!$I$197),"",ReferenceData!$I$197),"")</f>
        <v>5.5551550609999998</v>
      </c>
      <c r="J197">
        <f ca="1">IFERROR(IF(0=LEN(ReferenceData!$J$197),"",ReferenceData!$J$197),"")</f>
        <v>4.9966724720000002</v>
      </c>
      <c r="K197">
        <f ca="1">IFERROR(IF(0=LEN(ReferenceData!$K$197),"",ReferenceData!$K$197),"")</f>
        <v>4.7511428330000003</v>
      </c>
      <c r="L197">
        <f ca="1">IFERROR(IF(0=LEN(ReferenceData!$L$197),"",ReferenceData!$L$197),"")</f>
        <v>4.8883685549999996</v>
      </c>
      <c r="M197">
        <f ca="1">IFERROR(IF(0=LEN(ReferenceData!$M$197),"",ReferenceData!$M$197),"")</f>
        <v>4.9491171459999999</v>
      </c>
      <c r="N197" t="str">
        <f ca="1">IFERROR(IF(0=LEN(ReferenceData!$N$197),"",ReferenceData!$N$197),"")</f>
        <v/>
      </c>
      <c r="O197" t="str">
        <f ca="1">IFERROR(IF(0=LEN(ReferenceData!$O$197),"",ReferenceData!$O$197),"")</f>
        <v/>
      </c>
      <c r="P197" t="str">
        <f ca="1">IFERROR(IF(0=LEN(ReferenceData!$P$197),"",ReferenceData!$P$197),"")</f>
        <v/>
      </c>
      <c r="Q197" t="str">
        <f ca="1">IFERROR(IF(0=LEN(ReferenceData!$Q$197),"",ReferenceData!$Q$197),"")</f>
        <v/>
      </c>
      <c r="R197" t="str">
        <f ca="1">IFERROR(IF(0=LEN(ReferenceData!$R$197),"",ReferenceData!$R$197),"")</f>
        <v/>
      </c>
      <c r="S197" t="str">
        <f ca="1">IFERROR(IF(0=LEN(ReferenceData!$S$197),"",ReferenceData!$S$197),"")</f>
        <v/>
      </c>
      <c r="T197" t="str">
        <f ca="1">IFERROR(IF(0=LEN(ReferenceData!$T$197),"",ReferenceData!$T$197),"")</f>
        <v/>
      </c>
      <c r="U197" t="str">
        <f ca="1">IFERROR(IF(0=LEN(ReferenceData!$U$197),"",ReferenceData!$U$197),"")</f>
        <v/>
      </c>
      <c r="V197" t="str">
        <f ca="1">IFERROR(IF(0=LEN(ReferenceData!$V$197),"",ReferenceData!$V$197),"")</f>
        <v/>
      </c>
      <c r="W197" t="str">
        <f ca="1">IFERROR(IF(0=LEN(ReferenceData!$W$197),"",ReferenceData!$W$197),"")</f>
        <v/>
      </c>
      <c r="X197" t="str">
        <f ca="1">IFERROR(IF(0=LEN(ReferenceData!$X$197),"",ReferenceData!$X$197),"")</f>
        <v/>
      </c>
      <c r="Y197" t="str">
        <f ca="1">IFERROR(IF(0=LEN(ReferenceData!$Y$197),"",ReferenceData!$Y$197),"")</f>
        <v/>
      </c>
      <c r="Z197" t="str">
        <f ca="1">IFERROR(IF(0=LEN(ReferenceData!$Z$197),"",ReferenceData!$Z$197),"")</f>
        <v/>
      </c>
      <c r="AA197" t="str">
        <f ca="1">IFERROR(IF(0=LEN(ReferenceData!$AA$197),"",ReferenceData!$AA$197),"")</f>
        <v/>
      </c>
      <c r="AB197" t="str">
        <f ca="1">IFERROR(IF(0=LEN(ReferenceData!$AB$197),"",ReferenceData!$AB$197),"")</f>
        <v/>
      </c>
      <c r="AC197" t="str">
        <f ca="1">IFERROR(IF(0=LEN(ReferenceData!$AC$197),"",ReferenceData!$AC$197),"")</f>
        <v/>
      </c>
      <c r="AD197" t="str">
        <f ca="1">IFERROR(IF(0=LEN(ReferenceData!$AD$197),"",ReferenceData!$AD$197),"")</f>
        <v/>
      </c>
      <c r="AE197" t="str">
        <f ca="1">IFERROR(IF(0=LEN(ReferenceData!$AE$197),"",ReferenceData!$AE$197),"")</f>
        <v/>
      </c>
      <c r="AF197" t="str">
        <f ca="1">IFERROR(IF(0=LEN(ReferenceData!$AF$197),"",ReferenceData!$AF$197),"")</f>
        <v/>
      </c>
      <c r="AG197" t="str">
        <f ca="1">IFERROR(IF(0=LEN(ReferenceData!$AG$197),"",ReferenceData!$AG$197),"")</f>
        <v/>
      </c>
      <c r="AH197" t="str">
        <f ca="1">IFERROR(IF(0=LEN(ReferenceData!$AH$197),"",ReferenceData!$AH$197),"")</f>
        <v/>
      </c>
      <c r="AI197" t="str">
        <f ca="1">IFERROR(IF(0=LEN(ReferenceData!$AI$197),"",ReferenceData!$AI$197),"")</f>
        <v/>
      </c>
      <c r="AJ197" t="str">
        <f ca="1">IFERROR(IF(0=LEN(ReferenceData!$AJ$197),"",ReferenceData!$AJ$197),"")</f>
        <v/>
      </c>
      <c r="AK197" t="str">
        <f ca="1">IFERROR(IF(0=LEN(ReferenceData!$AK$197),"",ReferenceData!$AK$197),"")</f>
        <v/>
      </c>
      <c r="AL197" t="str">
        <f ca="1">IFERROR(IF(0=LEN(ReferenceData!$AL$197),"",ReferenceData!$AL$197),"")</f>
        <v/>
      </c>
      <c r="AM197" t="str">
        <f ca="1">IFERROR(IF(0=LEN(ReferenceData!$AM$197),"",ReferenceData!$AM$197),"")</f>
        <v/>
      </c>
      <c r="AN197" t="str">
        <f ca="1">IFERROR(IF(0=LEN(ReferenceData!$AN$197),"",ReferenceData!$AN$197),"")</f>
        <v/>
      </c>
      <c r="AO197" t="str">
        <f ca="1">IFERROR(IF(0=LEN(ReferenceData!$AO$197),"",ReferenceData!$AO$197),"")</f>
        <v/>
      </c>
      <c r="AP197" t="str">
        <f ca="1">IFERROR(IF(0=LEN(ReferenceData!$AP$197),"",ReferenceData!$AP$197),"")</f>
        <v/>
      </c>
      <c r="AQ197" t="str">
        <f ca="1">IFERROR(IF(0=LEN(ReferenceData!$AQ$197),"",ReferenceData!$AQ$197),"")</f>
        <v/>
      </c>
      <c r="AR197" t="str">
        <f ca="1">IFERROR(IF(0=LEN(ReferenceData!$AR$197),"",ReferenceData!$AR$197),"")</f>
        <v/>
      </c>
      <c r="AS197" t="str">
        <f ca="1">IFERROR(IF(0=LEN(ReferenceData!$AS$197),"",ReferenceData!$AS$197),"")</f>
        <v/>
      </c>
      <c r="AT197" t="str">
        <f ca="1">IFERROR(IF(0=LEN(ReferenceData!$AT$197),"",ReferenceData!$AT$197),"")</f>
        <v/>
      </c>
      <c r="AU197" t="str">
        <f ca="1">IFERROR(IF(0=LEN(ReferenceData!$AU$197),"",ReferenceData!$AU$197),"")</f>
        <v/>
      </c>
      <c r="AV197" t="str">
        <f ca="1">IFERROR(IF(0=LEN(ReferenceData!$AV$197),"",ReferenceData!$AV$197),"")</f>
        <v/>
      </c>
      <c r="AW197" t="str">
        <f ca="1">IFERROR(IF(0=LEN(ReferenceData!$AW$197),"",ReferenceData!$AW$197),"")</f>
        <v/>
      </c>
      <c r="AX197" t="str">
        <f ca="1">IFERROR(IF(0=LEN(ReferenceData!$AX$197),"",ReferenceData!$AX$197),"")</f>
        <v/>
      </c>
      <c r="AY197" t="str">
        <f ca="1">IFERROR(IF(0=LEN(ReferenceData!$AY$197),"",ReferenceData!$AY$197),"")</f>
        <v/>
      </c>
      <c r="AZ197" t="str">
        <f ca="1">IFERROR(IF(0=LEN(ReferenceData!$AZ$197),"",ReferenceData!$AZ$197),"")</f>
        <v/>
      </c>
      <c r="BA197" t="str">
        <f ca="1">IFERROR(IF(0=LEN(ReferenceData!$BA$197),"",ReferenceData!$BA$197),"")</f>
        <v/>
      </c>
      <c r="BB197" t="str">
        <f ca="1">IFERROR(IF(0=LEN(ReferenceData!$BB$197),"",ReferenceData!$BB$197),"")</f>
        <v/>
      </c>
      <c r="BC197" t="str">
        <f ca="1">IFERROR(IF(0=LEN(ReferenceData!$BC$197),"",ReferenceData!$BC$197),"")</f>
        <v/>
      </c>
      <c r="BD197" t="str">
        <f ca="1">IFERROR(IF(0=LEN(ReferenceData!$BD$197),"",ReferenceData!$BD$197),"")</f>
        <v/>
      </c>
      <c r="BE197" t="str">
        <f ca="1">IFERROR(IF(0=LEN(ReferenceData!$BE$197),"",ReferenceData!$BE$197),"")</f>
        <v/>
      </c>
      <c r="BF197" t="str">
        <f ca="1">IFERROR(IF(0=LEN(ReferenceData!$BF$197),"",ReferenceData!$BF$197),"")</f>
        <v/>
      </c>
      <c r="BG197" t="str">
        <f ca="1">IFERROR(IF(0=LEN(ReferenceData!$BG$197),"",ReferenceData!$BG$197),"")</f>
        <v/>
      </c>
      <c r="BH197" t="str">
        <f ca="1">IFERROR(IF(0=LEN(ReferenceData!$BH$197),"",ReferenceData!$BH$197),"")</f>
        <v/>
      </c>
      <c r="BI197" t="str">
        <f ca="1">IFERROR(IF(0=LEN(ReferenceData!$BI$197),"",ReferenceData!$BI$197),"")</f>
        <v/>
      </c>
      <c r="BJ197" t="str">
        <f ca="1">IFERROR(IF(0=LEN(ReferenceData!$BJ$197),"",ReferenceData!$BJ$197),"")</f>
        <v/>
      </c>
      <c r="BK197" t="str">
        <f ca="1">IFERROR(IF(0=LEN(ReferenceData!$BK$197),"",ReferenceData!$BK$197),"")</f>
        <v/>
      </c>
      <c r="BL197" t="str">
        <f ca="1">IFERROR(IF(0=LEN(ReferenceData!$BL$197),"",ReferenceData!$BL$197),"")</f>
        <v/>
      </c>
      <c r="BM197" t="str">
        <f ca="1">IFERROR(IF(0=LEN(ReferenceData!$BM$197),"",ReferenceData!$BM$197),"")</f>
        <v/>
      </c>
    </row>
    <row r="198" spans="1:65">
      <c r="A198" t="str">
        <f>IFERROR(IF(0=LEN(ReferenceData!$A$198),"",ReferenceData!$A$198),"")</f>
        <v xml:space="preserve">    HCP Inc</v>
      </c>
      <c r="B198" t="str">
        <f>IFERROR(IF(0=LEN(ReferenceData!$B$198),"",ReferenceData!$B$198),"")</f>
        <v>HCP US Equity</v>
      </c>
      <c r="C198" t="str">
        <f>IFERROR(IF(0=LEN(ReferenceData!$C$198),"",ReferenceData!$C$198),"")</f>
        <v>RR052</v>
      </c>
      <c r="D198" t="str">
        <f>IFERROR(IF(0=LEN(ReferenceData!$D$198),"",ReferenceData!$D$198),"")</f>
        <v>TOT_DEBT_TO_EBITDA</v>
      </c>
      <c r="E198" t="str">
        <f>IFERROR(IF(0=LEN(ReferenceData!$E$198),"",ReferenceData!$E$198),"")</f>
        <v>动态</v>
      </c>
      <c r="F198" t="str">
        <f ca="1">IFERROR(IF(0=LEN(ReferenceData!$F$198),"",ReferenceData!$F$198),"")</f>
        <v/>
      </c>
      <c r="G198">
        <f ca="1">IFERROR(IF(0=LEN(ReferenceData!$G$198),"",ReferenceData!$G$198),"")</f>
        <v>8.4439656000000003</v>
      </c>
      <c r="H198">
        <f ca="1">IFERROR(IF(0=LEN(ReferenceData!$H$198),"",ReferenceData!$H$198),"")</f>
        <v>6.6543580139999996</v>
      </c>
      <c r="I198">
        <f ca="1">IFERROR(IF(0=LEN(ReferenceData!$I$198),"",ReferenceData!$I$198),"")</f>
        <v>6.3056413869999997</v>
      </c>
      <c r="J198">
        <f ca="1">IFERROR(IF(0=LEN(ReferenceData!$J$198),"",ReferenceData!$J$198),"")</f>
        <v>5.8199621979999998</v>
      </c>
      <c r="K198">
        <f ca="1">IFERROR(IF(0=LEN(ReferenceData!$K$198),"",ReferenceData!$K$198),"")</f>
        <v>6.0207777389999997</v>
      </c>
      <c r="L198">
        <f ca="1">IFERROR(IF(0=LEN(ReferenceData!$L$198),"",ReferenceData!$L$198),"")</f>
        <v>7.1037988500000004</v>
      </c>
      <c r="M198">
        <f ca="1">IFERROR(IF(0=LEN(ReferenceData!$M$198),"",ReferenceData!$M$198),"")</f>
        <v>7.1133592639999996</v>
      </c>
      <c r="N198">
        <f ca="1">IFERROR(IF(0=LEN(ReferenceData!$N$198),"",ReferenceData!$N$198),"")</f>
        <v>7.003051363</v>
      </c>
      <c r="O198">
        <f ca="1">IFERROR(IF(0=LEN(ReferenceData!$O$198),"",ReferenceData!$O$198),"")</f>
        <v>10.0738387</v>
      </c>
      <c r="P198">
        <f ca="1">IFERROR(IF(0=LEN(ReferenceData!$P$198),"",ReferenceData!$P$198),"")</f>
        <v>9.1510643920000003</v>
      </c>
      <c r="Q198">
        <f ca="1">IFERROR(IF(0=LEN(ReferenceData!$Q$198),"",ReferenceData!$Q$198),"")</f>
        <v>8.6397960359999999</v>
      </c>
      <c r="R198">
        <f ca="1">IFERROR(IF(0=LEN(ReferenceData!$R$198),"",ReferenceData!$R$198),"")</f>
        <v>7.4328283229999998</v>
      </c>
      <c r="S198">
        <f ca="1">IFERROR(IF(0=LEN(ReferenceData!$S$198),"",ReferenceData!$S$198),"")</f>
        <v>5.3908367740000003</v>
      </c>
      <c r="T198">
        <f ca="1">IFERROR(IF(0=LEN(ReferenceData!$T$198),"",ReferenceData!$T$198),"")</f>
        <v>5.0495671670000002</v>
      </c>
      <c r="U198">
        <f ca="1">IFERROR(IF(0=LEN(ReferenceData!$U$198),"",ReferenceData!$U$198),"")</f>
        <v>4.8988653690000001</v>
      </c>
      <c r="V198">
        <f ca="1">IFERROR(IF(0=LEN(ReferenceData!$V$198),"",ReferenceData!$V$198),"")</f>
        <v>4.8217382420000003</v>
      </c>
      <c r="W198">
        <f ca="1">IFERROR(IF(0=LEN(ReferenceData!$W$198),"",ReferenceData!$W$198),"")</f>
        <v>4.9788822379999997</v>
      </c>
      <c r="X198">
        <f ca="1">IFERROR(IF(0=LEN(ReferenceData!$X$198),"",ReferenceData!$X$198),"")</f>
        <v>5.0539376069999999</v>
      </c>
      <c r="Y198">
        <f ca="1">IFERROR(IF(0=LEN(ReferenceData!$Y$198),"",ReferenceData!$Y$198),"")</f>
        <v>5.3412778149999998</v>
      </c>
      <c r="Z198">
        <f ca="1">IFERROR(IF(0=LEN(ReferenceData!$Z$198),"",ReferenceData!$Z$198),"")</f>
        <v>5.3380878279999999</v>
      </c>
      <c r="AA198">
        <f ca="1">IFERROR(IF(0=LEN(ReferenceData!$AA$198),"",ReferenceData!$AA$198),"")</f>
        <v>5.6117473459999996</v>
      </c>
      <c r="AB198">
        <f ca="1">IFERROR(IF(0=LEN(ReferenceData!$AB$198),"",ReferenceData!$AB$198),"")</f>
        <v>5.7085252799999999</v>
      </c>
      <c r="AC198">
        <f ca="1">IFERROR(IF(0=LEN(ReferenceData!$AC$198),"",ReferenceData!$AC$198),"")</f>
        <v>5.6015906119999999</v>
      </c>
      <c r="AD198">
        <f ca="1">IFERROR(IF(0=LEN(ReferenceData!$AD$198),"",ReferenceData!$AD$198),"")</f>
        <v>5.5279429870000003</v>
      </c>
      <c r="AE198">
        <f ca="1">IFERROR(IF(0=LEN(ReferenceData!$AE$198),"",ReferenceData!$AE$198),"")</f>
        <v>6.0194748149999997</v>
      </c>
      <c r="AF198">
        <f ca="1">IFERROR(IF(0=LEN(ReferenceData!$AF$198),"",ReferenceData!$AF$198),"")</f>
        <v>5.9821273350000004</v>
      </c>
      <c r="AG198">
        <f ca="1">IFERROR(IF(0=LEN(ReferenceData!$AG$198),"",ReferenceData!$AG$198),"")</f>
        <v>6.9193101810000002</v>
      </c>
      <c r="AH198">
        <f ca="1">IFERROR(IF(0=LEN(ReferenceData!$AH$198),"",ReferenceData!$AH$198),"")</f>
        <v>8.3235491939999999</v>
      </c>
      <c r="AI198">
        <f ca="1">IFERROR(IF(0=LEN(ReferenceData!$AI$198),"",ReferenceData!$AI$198),"")</f>
        <v>5.1804262220000004</v>
      </c>
      <c r="AJ198">
        <f ca="1">IFERROR(IF(0=LEN(ReferenceData!$AJ$198),"",ReferenceData!$AJ$198),"")</f>
        <v>6.6982047339999999</v>
      </c>
      <c r="AK198">
        <f ca="1">IFERROR(IF(0=LEN(ReferenceData!$AK$198),"",ReferenceData!$AK$198),"")</f>
        <v>7.1952588039999998</v>
      </c>
      <c r="AL198">
        <f ca="1">IFERROR(IF(0=LEN(ReferenceData!$AL$198),"",ReferenceData!$AL$198),"")</f>
        <v>7.8218716649999998</v>
      </c>
      <c r="AM198">
        <f ca="1">IFERROR(IF(0=LEN(ReferenceData!$AM$198),"",ReferenceData!$AM$198),"")</f>
        <v>8.1086424529999999</v>
      </c>
      <c r="AN198">
        <f ca="1">IFERROR(IF(0=LEN(ReferenceData!$AN$198),"",ReferenceData!$AN$198),"")</f>
        <v>7.60457334</v>
      </c>
      <c r="AO198">
        <f ca="1">IFERROR(IF(0=LEN(ReferenceData!$AO$198),"",ReferenceData!$AO$198),"")</f>
        <v>6.5050583880000001</v>
      </c>
      <c r="AP198">
        <f ca="1">IFERROR(IF(0=LEN(ReferenceData!$AP$198),"",ReferenceData!$AP$198),"")</f>
        <v>7.3213326189999997</v>
      </c>
      <c r="AQ198">
        <f ca="1">IFERROR(IF(0=LEN(ReferenceData!$AQ$198),"",ReferenceData!$AQ$198),"")</f>
        <v>7.5329020570000003</v>
      </c>
      <c r="AR198">
        <f ca="1">IFERROR(IF(0=LEN(ReferenceData!$AR$198),"",ReferenceData!$AR$198),"")</f>
        <v>7.9044217080000001</v>
      </c>
      <c r="AS198">
        <f ca="1">IFERROR(IF(0=LEN(ReferenceData!$AS$198),"",ReferenceData!$AS$198),"")</f>
        <v>9.0058063379999993</v>
      </c>
      <c r="AT198">
        <f ca="1">IFERROR(IF(0=LEN(ReferenceData!$AT$198),"",ReferenceData!$AT$198),"")</f>
        <v>10.721083930000001</v>
      </c>
      <c r="AU198">
        <f ca="1">IFERROR(IF(0=LEN(ReferenceData!$AU$198),"",ReferenceData!$AU$198),"")</f>
        <v>10.81327467</v>
      </c>
      <c r="AV198">
        <f ca="1">IFERROR(IF(0=LEN(ReferenceData!$AV$198),"",ReferenceData!$AV$198),"")</f>
        <v>11.76842561</v>
      </c>
      <c r="AW198">
        <f ca="1">IFERROR(IF(0=LEN(ReferenceData!$AW$198),"",ReferenceData!$AW$198),"")</f>
        <v>8.4610385059999995</v>
      </c>
      <c r="AX198">
        <f ca="1">IFERROR(IF(0=LEN(ReferenceData!$AX$198),"",ReferenceData!$AX$198),"")</f>
        <v>10.59989719</v>
      </c>
      <c r="AY198">
        <f ca="1">IFERROR(IF(0=LEN(ReferenceData!$AY$198),"",ReferenceData!$AY$198),"")</f>
        <v>14.52638542</v>
      </c>
      <c r="AZ198">
        <f ca="1">IFERROR(IF(0=LEN(ReferenceData!$AZ$198),"",ReferenceData!$AZ$198),"")</f>
        <v>8.295436617</v>
      </c>
      <c r="BA198">
        <f ca="1">IFERROR(IF(0=LEN(ReferenceData!$BA$198),"",ReferenceData!$BA$198),"")</f>
        <v>6.214180228</v>
      </c>
      <c r="BB198">
        <f ca="1">IFERROR(IF(0=LEN(ReferenceData!$BB$198),"",ReferenceData!$BB$198),"")</f>
        <v>5.9873664409999998</v>
      </c>
      <c r="BC198">
        <f ca="1">IFERROR(IF(0=LEN(ReferenceData!$BC$198),"",ReferenceData!$BC$198),"")</f>
        <v>5.7067628609999996</v>
      </c>
      <c r="BD198">
        <f ca="1">IFERROR(IF(0=LEN(ReferenceData!$BD$198),"",ReferenceData!$BD$198),"")</f>
        <v>5.1316944639999997</v>
      </c>
      <c r="BE198">
        <f ca="1">IFERROR(IF(0=LEN(ReferenceData!$BE$198),"",ReferenceData!$BE$198),"")</f>
        <v>4.318982782</v>
      </c>
      <c r="BF198">
        <f ca="1">IFERROR(IF(0=LEN(ReferenceData!$BF$198),"",ReferenceData!$BF$198),"")</f>
        <v>3.983659431</v>
      </c>
      <c r="BG198">
        <f ca="1">IFERROR(IF(0=LEN(ReferenceData!$BG$198),"",ReferenceData!$BG$198),"")</f>
        <v>4.2925614970000003</v>
      </c>
      <c r="BH198">
        <f ca="1">IFERROR(IF(0=LEN(ReferenceData!$BH$198),"",ReferenceData!$BH$198),"")</f>
        <v>4.0174940760000002</v>
      </c>
      <c r="BI198">
        <f ca="1">IFERROR(IF(0=LEN(ReferenceData!$BI$198),"",ReferenceData!$BI$198),"")</f>
        <v>3.8719765879999999</v>
      </c>
      <c r="BJ198">
        <f ca="1">IFERROR(IF(0=LEN(ReferenceData!$BJ$198),"",ReferenceData!$BJ$198),"")</f>
        <v>3.7397967489999999</v>
      </c>
      <c r="BK198" t="str">
        <f ca="1">IFERROR(IF(0=LEN(ReferenceData!$BK$198),"",ReferenceData!$BK$198),"")</f>
        <v/>
      </c>
      <c r="BL198">
        <f ca="1">IFERROR(IF(0=LEN(ReferenceData!$BL$198),"",ReferenceData!$BL$198),"")</f>
        <v>4.6924899980000001</v>
      </c>
      <c r="BM198">
        <f ca="1">IFERROR(IF(0=LEN(ReferenceData!$BM$198),"",ReferenceData!$BM$198),"")</f>
        <v>4.5397209439999999</v>
      </c>
    </row>
    <row r="199" spans="1:65">
      <c r="A199" t="str">
        <f>IFERROR(IF(0=LEN(ReferenceData!$A$199),"",ReferenceData!$A$199),"")</f>
        <v xml:space="preserve">    Healthcare Realty Trust Inc</v>
      </c>
      <c r="B199" t="str">
        <f>IFERROR(IF(0=LEN(ReferenceData!$B$199),"",ReferenceData!$B$199),"")</f>
        <v>HR US Equity</v>
      </c>
      <c r="C199" t="str">
        <f>IFERROR(IF(0=LEN(ReferenceData!$C$199),"",ReferenceData!$C$199),"")</f>
        <v>RR052</v>
      </c>
      <c r="D199" t="str">
        <f>IFERROR(IF(0=LEN(ReferenceData!$D$199),"",ReferenceData!$D$199),"")</f>
        <v>TOT_DEBT_TO_EBITDA</v>
      </c>
      <c r="E199" t="str">
        <f>IFERROR(IF(0=LEN(ReferenceData!$E$199),"",ReferenceData!$E$199),"")</f>
        <v>动态</v>
      </c>
      <c r="F199" t="str">
        <f ca="1">IFERROR(IF(0=LEN(ReferenceData!$F$199),"",ReferenceData!$F$199),"")</f>
        <v/>
      </c>
      <c r="G199">
        <f ca="1">IFERROR(IF(0=LEN(ReferenceData!$G$199),"",ReferenceData!$G$199),"")</f>
        <v>5.6673685330000003</v>
      </c>
      <c r="H199">
        <f ca="1">IFERROR(IF(0=LEN(ReferenceData!$H$199),"",ReferenceData!$H$199),"")</f>
        <v>5.1107789810000002</v>
      </c>
      <c r="I199">
        <f ca="1">IFERROR(IF(0=LEN(ReferenceData!$I$199),"",ReferenceData!$I$199),"")</f>
        <v>5.0976874649999999</v>
      </c>
      <c r="J199">
        <f ca="1">IFERROR(IF(0=LEN(ReferenceData!$J$199),"",ReferenceData!$J$199),"")</f>
        <v>5.4197587379999996</v>
      </c>
      <c r="K199">
        <f ca="1">IFERROR(IF(0=LEN(ReferenceData!$K$199),"",ReferenceData!$K$199),"")</f>
        <v>5.4326594620000002</v>
      </c>
      <c r="L199">
        <f ca="1">IFERROR(IF(0=LEN(ReferenceData!$L$199),"",ReferenceData!$L$199),"")</f>
        <v>5.4364615189999999</v>
      </c>
      <c r="M199">
        <f ca="1">IFERROR(IF(0=LEN(ReferenceData!$M$199),"",ReferenceData!$M$199),"")</f>
        <v>6.2798302579999996</v>
      </c>
      <c r="N199">
        <f ca="1">IFERROR(IF(0=LEN(ReferenceData!$N$199),"",ReferenceData!$N$199),"")</f>
        <v>6.5219452530000002</v>
      </c>
      <c r="O199">
        <f ca="1">IFERROR(IF(0=LEN(ReferenceData!$O$199),"",ReferenceData!$O$199),"")</f>
        <v>6.6051051960000002</v>
      </c>
      <c r="P199">
        <f ca="1">IFERROR(IF(0=LEN(ReferenceData!$P$199),"",ReferenceData!$P$199),"")</f>
        <v>6.3577510820000001</v>
      </c>
      <c r="Q199">
        <f ca="1">IFERROR(IF(0=LEN(ReferenceData!$Q$199),"",ReferenceData!$Q$199),"")</f>
        <v>6.3932099620000002</v>
      </c>
      <c r="R199">
        <f ca="1">IFERROR(IF(0=LEN(ReferenceData!$R$199),"",ReferenceData!$R$199),"")</f>
        <v>6.5675024439999996</v>
      </c>
      <c r="S199">
        <f ca="1">IFERROR(IF(0=LEN(ReferenceData!$S$199),"",ReferenceData!$S$199),"")</f>
        <v>6.3860785699999996</v>
      </c>
      <c r="T199">
        <f ca="1">IFERROR(IF(0=LEN(ReferenceData!$T$199),"",ReferenceData!$T$199),"")</f>
        <v>6.492135674</v>
      </c>
      <c r="U199">
        <f ca="1">IFERROR(IF(0=LEN(ReferenceData!$U$199),"",ReferenceData!$U$199),"")</f>
        <v>6.7166374190000004</v>
      </c>
      <c r="V199">
        <f ca="1">IFERROR(IF(0=LEN(ReferenceData!$V$199),"",ReferenceData!$V$199),"")</f>
        <v>6.8822925760000002</v>
      </c>
      <c r="W199">
        <f ca="1">IFERROR(IF(0=LEN(ReferenceData!$W$199),"",ReferenceData!$W$199),"")</f>
        <v>6.9264342550000002</v>
      </c>
      <c r="X199">
        <f ca="1">IFERROR(IF(0=LEN(ReferenceData!$X$199),"",ReferenceData!$X$199),"")</f>
        <v>7.8852584390000002</v>
      </c>
      <c r="Y199">
        <f ca="1">IFERROR(IF(0=LEN(ReferenceData!$Y$199),"",ReferenceData!$Y$199),"")</f>
        <v>8.2476931069999999</v>
      </c>
      <c r="Z199">
        <f ca="1">IFERROR(IF(0=LEN(ReferenceData!$Z$199),"",ReferenceData!$Z$199),"")</f>
        <v>9.0850196449999991</v>
      </c>
      <c r="AA199">
        <f ca="1">IFERROR(IF(0=LEN(ReferenceData!$AA$199),"",ReferenceData!$AA$199),"")</f>
        <v>8.4051222049999996</v>
      </c>
      <c r="AB199">
        <f ca="1">IFERROR(IF(0=LEN(ReferenceData!$AB$199),"",ReferenceData!$AB$199),"")</f>
        <v>6.7570587150000003</v>
      </c>
      <c r="AC199">
        <f ca="1">IFERROR(IF(0=LEN(ReferenceData!$AC$199),"",ReferenceData!$AC$199),"")</f>
        <v>7.9446221809999997</v>
      </c>
      <c r="AD199">
        <f ca="1">IFERROR(IF(0=LEN(ReferenceData!$AD$199),"",ReferenceData!$AD$199),"")</f>
        <v>8.3145052570000004</v>
      </c>
      <c r="AE199">
        <f ca="1">IFERROR(IF(0=LEN(ReferenceData!$AE$199),"",ReferenceData!$AE$199),"")</f>
        <v>8.4012793000000006</v>
      </c>
      <c r="AF199">
        <f ca="1">IFERROR(IF(0=LEN(ReferenceData!$AF$199),"",ReferenceData!$AF$199),"")</f>
        <v>8.53502194</v>
      </c>
      <c r="AG199">
        <f ca="1">IFERROR(IF(0=LEN(ReferenceData!$AG$199),"",ReferenceData!$AG$199),"")</f>
        <v>8.2898121660000008</v>
      </c>
      <c r="AH199">
        <f ca="1">IFERROR(IF(0=LEN(ReferenceData!$AH$199),"",ReferenceData!$AH$199),"")</f>
        <v>8.7246879429999993</v>
      </c>
      <c r="AI199">
        <f ca="1">IFERROR(IF(0=LEN(ReferenceData!$AI$199),"",ReferenceData!$AI$199),"")</f>
        <v>9.7649714929999991</v>
      </c>
      <c r="AJ199">
        <f ca="1">IFERROR(IF(0=LEN(ReferenceData!$AJ$199),"",ReferenceData!$AJ$199),"")</f>
        <v>8.0598790519999994</v>
      </c>
      <c r="AK199">
        <f ca="1">IFERROR(IF(0=LEN(ReferenceData!$AK$199),"",ReferenceData!$AK$199),"")</f>
        <v>7.0737896520000003</v>
      </c>
      <c r="AL199">
        <f ca="1">IFERROR(IF(0=LEN(ReferenceData!$AL$199),"",ReferenceData!$AL$199),"")</f>
        <v>7.3564960910000003</v>
      </c>
      <c r="AM199">
        <f ca="1">IFERROR(IF(0=LEN(ReferenceData!$AM$199),"",ReferenceData!$AM$199),"")</f>
        <v>7.6126671420000003</v>
      </c>
      <c r="AN199">
        <f ca="1">IFERROR(IF(0=LEN(ReferenceData!$AN$199),"",ReferenceData!$AN$199),"")</f>
        <v>7.7761685270000003</v>
      </c>
      <c r="AO199">
        <f ca="1">IFERROR(IF(0=LEN(ReferenceData!$AO$199),"",ReferenceData!$AO$199),"")</f>
        <v>7.9481477810000003</v>
      </c>
      <c r="AP199">
        <f ca="1">IFERROR(IF(0=LEN(ReferenceData!$AP$199),"",ReferenceData!$AP$199),"")</f>
        <v>8.3627128479999993</v>
      </c>
      <c r="AQ199">
        <f ca="1">IFERROR(IF(0=LEN(ReferenceData!$AQ$199),"",ReferenceData!$AQ$199),"")</f>
        <v>8.5369786889999997</v>
      </c>
      <c r="AR199">
        <f ca="1">IFERROR(IF(0=LEN(ReferenceData!$AR$199),"",ReferenceData!$AR$199),"")</f>
        <v>6.0393482629999999</v>
      </c>
      <c r="AS199">
        <f ca="1">IFERROR(IF(0=LEN(ReferenceData!$AS$199),"",ReferenceData!$AS$199),"")</f>
        <v>7.2512622349999996</v>
      </c>
      <c r="AT199">
        <f ca="1">IFERROR(IF(0=LEN(ReferenceData!$AT$199),"",ReferenceData!$AT$199),"")</f>
        <v>7.2042642179999996</v>
      </c>
      <c r="AU199">
        <f ca="1">IFERROR(IF(0=LEN(ReferenceData!$AU$199),"",ReferenceData!$AU$199),"")</f>
        <v>7.0114463259999997</v>
      </c>
      <c r="AV199">
        <f ca="1">IFERROR(IF(0=LEN(ReferenceData!$AV$199),"",ReferenceData!$AV$199),"")</f>
        <v>6.4179163409999997</v>
      </c>
      <c r="AW199">
        <f ca="1">IFERROR(IF(0=LEN(ReferenceData!$AW$199),"",ReferenceData!$AW$199),"")</f>
        <v>6.0662261900000001</v>
      </c>
      <c r="AX199">
        <f ca="1">IFERROR(IF(0=LEN(ReferenceData!$AX$199),"",ReferenceData!$AX$199),"")</f>
        <v>5.5232523609999999</v>
      </c>
      <c r="AY199">
        <f ca="1">IFERROR(IF(0=LEN(ReferenceData!$AY$199),"",ReferenceData!$AY$199),"")</f>
        <v>6.2063773700000002</v>
      </c>
      <c r="AZ199">
        <f ca="1">IFERROR(IF(0=LEN(ReferenceData!$AZ$199),"",ReferenceData!$AZ$199),"")</f>
        <v>5.923692548</v>
      </c>
      <c r="BA199">
        <f ca="1">IFERROR(IF(0=LEN(ReferenceData!$BA$199),"",ReferenceData!$BA$199),"")</f>
        <v>5.8929153870000004</v>
      </c>
      <c r="BB199">
        <f ca="1">IFERROR(IF(0=LEN(ReferenceData!$BB$199),"",ReferenceData!$BB$199),"")</f>
        <v>5.3494831229999997</v>
      </c>
      <c r="BC199">
        <f ca="1">IFERROR(IF(0=LEN(ReferenceData!$BC$199),"",ReferenceData!$BC$199),"")</f>
        <v>5.2663532120000003</v>
      </c>
      <c r="BD199">
        <f ca="1">IFERROR(IF(0=LEN(ReferenceData!$BD$199),"",ReferenceData!$BD$199),"")</f>
        <v>5.196737165</v>
      </c>
      <c r="BE199">
        <f ca="1">IFERROR(IF(0=LEN(ReferenceData!$BE$199),"",ReferenceData!$BE$199),"")</f>
        <v>5.105313497</v>
      </c>
      <c r="BF199">
        <f ca="1">IFERROR(IF(0=LEN(ReferenceData!$BF$199),"",ReferenceData!$BF$199),"")</f>
        <v>4.8997707039999998</v>
      </c>
      <c r="BG199">
        <f ca="1">IFERROR(IF(0=LEN(ReferenceData!$BG$199),"",ReferenceData!$BG$199),"")</f>
        <v>5.1294661320000001</v>
      </c>
      <c r="BH199">
        <f ca="1">IFERROR(IF(0=LEN(ReferenceData!$BH$199),"",ReferenceData!$BH$199),"")</f>
        <v>5.5177811459999999</v>
      </c>
      <c r="BI199">
        <f ca="1">IFERROR(IF(0=LEN(ReferenceData!$BI$199),"",ReferenceData!$BI$199),"")</f>
        <v>5.9700169900000004</v>
      </c>
      <c r="BJ199">
        <f ca="1">IFERROR(IF(0=LEN(ReferenceData!$BJ$199),"",ReferenceData!$BJ$199),"")</f>
        <v>5.6592775099999999</v>
      </c>
      <c r="BK199">
        <f ca="1">IFERROR(IF(0=LEN(ReferenceData!$BK$199),"",ReferenceData!$BK$199),"")</f>
        <v>4.4830333449999999</v>
      </c>
      <c r="BL199">
        <f ca="1">IFERROR(IF(0=LEN(ReferenceData!$BL$199),"",ReferenceData!$BL$199),"")</f>
        <v>4.4468769190000002</v>
      </c>
      <c r="BM199">
        <f ca="1">IFERROR(IF(0=LEN(ReferenceData!$BM$199),"",ReferenceData!$BM$199),"")</f>
        <v>4.2153953059999996</v>
      </c>
    </row>
    <row r="200" spans="1:65">
      <c r="A200" t="str">
        <f>IFERROR(IF(0=LEN(ReferenceData!$A$200),"",ReferenceData!$A$200),"")</f>
        <v xml:space="preserve">    Healthcare Trust of America In</v>
      </c>
      <c r="B200" t="str">
        <f>IFERROR(IF(0=LEN(ReferenceData!$B$200),"",ReferenceData!$B$200),"")</f>
        <v>HTA US Equity</v>
      </c>
      <c r="C200" t="str">
        <f>IFERROR(IF(0=LEN(ReferenceData!$C$200),"",ReferenceData!$C$200),"")</f>
        <v>RR052</v>
      </c>
      <c r="D200" t="str">
        <f>IFERROR(IF(0=LEN(ReferenceData!$D$200),"",ReferenceData!$D$200),"")</f>
        <v>TOT_DEBT_TO_EBITDA</v>
      </c>
      <c r="E200" t="str">
        <f>IFERROR(IF(0=LEN(ReferenceData!$E$200),"",ReferenceData!$E$200),"")</f>
        <v>动态</v>
      </c>
      <c r="F200" t="str">
        <f ca="1">IFERROR(IF(0=LEN(ReferenceData!$F$200),"",ReferenceData!$F$200),"")</f>
        <v/>
      </c>
      <c r="G200">
        <f ca="1">IFERROR(IF(0=LEN(ReferenceData!$G$200),"",ReferenceData!$G$200),"")</f>
        <v>7.6677695339999996</v>
      </c>
      <c r="H200">
        <f ca="1">IFERROR(IF(0=LEN(ReferenceData!$H$200),"",ReferenceData!$H$200),"")</f>
        <v>8.5838278639999999</v>
      </c>
      <c r="I200">
        <f ca="1">IFERROR(IF(0=LEN(ReferenceData!$I$200),"",ReferenceData!$I$200),"")</f>
        <v>9.3996016210000004</v>
      </c>
      <c r="J200">
        <f ca="1">IFERROR(IF(0=LEN(ReferenceData!$J$200),"",ReferenceData!$J$200),"")</f>
        <v>6.2814356509999998</v>
      </c>
      <c r="K200">
        <f ca="1">IFERROR(IF(0=LEN(ReferenceData!$K$200),"",ReferenceData!$K$200),"")</f>
        <v>6.3812160679999996</v>
      </c>
      <c r="L200">
        <f ca="1">IFERROR(IF(0=LEN(ReferenceData!$L$200),"",ReferenceData!$L$200),"")</f>
        <v>6.3663223159999998</v>
      </c>
      <c r="M200">
        <f ca="1">IFERROR(IF(0=LEN(ReferenceData!$M$200),"",ReferenceData!$M$200),"")</f>
        <v>6.3122055010000002</v>
      </c>
      <c r="N200">
        <f ca="1">IFERROR(IF(0=LEN(ReferenceData!$N$200),"",ReferenceData!$N$200),"")</f>
        <v>6.6492524519999998</v>
      </c>
      <c r="O200">
        <f ca="1">IFERROR(IF(0=LEN(ReferenceData!$O$200),"",ReferenceData!$O$200),"")</f>
        <v>6.4873938610000002</v>
      </c>
      <c r="P200">
        <f ca="1">IFERROR(IF(0=LEN(ReferenceData!$P$200),"",ReferenceData!$P$200),"")</f>
        <v>6.5367242650000001</v>
      </c>
      <c r="Q200">
        <f ca="1">IFERROR(IF(0=LEN(ReferenceData!$Q$200),"",ReferenceData!$Q$200),"")</f>
        <v>6.9532280100000001</v>
      </c>
      <c r="R200">
        <f ca="1">IFERROR(IF(0=LEN(ReferenceData!$R$200),"",ReferenceData!$R$200),"")</f>
        <v>6.4615214229999998</v>
      </c>
      <c r="S200">
        <f ca="1">IFERROR(IF(0=LEN(ReferenceData!$S$200),"",ReferenceData!$S$200),"")</f>
        <v>6.3660611730000003</v>
      </c>
      <c r="T200">
        <f ca="1">IFERROR(IF(0=LEN(ReferenceData!$T$200),"",ReferenceData!$T$200),"")</f>
        <v>7.0860615579999999</v>
      </c>
      <c r="U200">
        <f ca="1">IFERROR(IF(0=LEN(ReferenceData!$U$200),"",ReferenceData!$U$200),"")</f>
        <v>7.4710336489999998</v>
      </c>
      <c r="V200">
        <f ca="1">IFERROR(IF(0=LEN(ReferenceData!$V$200),"",ReferenceData!$V$200),"")</f>
        <v>6.1629507380000002</v>
      </c>
      <c r="W200">
        <f ca="1">IFERROR(IF(0=LEN(ReferenceData!$W$200),"",ReferenceData!$W$200),"")</f>
        <v>6.4808601709999998</v>
      </c>
      <c r="X200">
        <f ca="1">IFERROR(IF(0=LEN(ReferenceData!$X$200),"",ReferenceData!$X$200),"")</f>
        <v>6.4020381119999996</v>
      </c>
      <c r="Y200">
        <f ca="1">IFERROR(IF(0=LEN(ReferenceData!$Y$200),"",ReferenceData!$Y$200),"")</f>
        <v>6.6759577710000002</v>
      </c>
      <c r="Z200">
        <f ca="1">IFERROR(IF(0=LEN(ReferenceData!$Z$200),"",ReferenceData!$Z$200),"")</f>
        <v>7.6857011379999998</v>
      </c>
      <c r="AA200">
        <f ca="1">IFERROR(IF(0=LEN(ReferenceData!$AA$200),"",ReferenceData!$AA$200),"")</f>
        <v>7.2081367470000002</v>
      </c>
      <c r="AB200">
        <f ca="1">IFERROR(IF(0=LEN(ReferenceData!$AB$200),"",ReferenceData!$AB$200),"")</f>
        <v>7.4043738899999996</v>
      </c>
      <c r="AC200">
        <f ca="1">IFERROR(IF(0=LEN(ReferenceData!$AC$200),"",ReferenceData!$AC$200),"")</f>
        <v>6.6029767709999998</v>
      </c>
      <c r="AD200">
        <f ca="1">IFERROR(IF(0=LEN(ReferenceData!$AD$200),"",ReferenceData!$AD$200),"")</f>
        <v>5.8916428950000004</v>
      </c>
      <c r="AE200">
        <f ca="1">IFERROR(IF(0=LEN(ReferenceData!$AE$200),"",ReferenceData!$AE$200),"")</f>
        <v>4.5419266350000003</v>
      </c>
      <c r="AF200">
        <f ca="1">IFERROR(IF(0=LEN(ReferenceData!$AF$200),"",ReferenceData!$AF$200),"")</f>
        <v>4.7672581950000001</v>
      </c>
      <c r="AG200">
        <f ca="1">IFERROR(IF(0=LEN(ReferenceData!$AG$200),"",ReferenceData!$AG$200),"")</f>
        <v>5.1880003109999997</v>
      </c>
      <c r="AH200">
        <f ca="1">IFERROR(IF(0=LEN(ReferenceData!$AH$200),"",ReferenceData!$AH$200),"")</f>
        <v>6.7639091459999996</v>
      </c>
      <c r="AI200">
        <f ca="1">IFERROR(IF(0=LEN(ReferenceData!$AI$200),"",ReferenceData!$AI$200),"")</f>
        <v>7.1990911039999999</v>
      </c>
      <c r="AJ200" t="str">
        <f ca="1">IFERROR(IF(0=LEN(ReferenceData!$AJ$200),"",ReferenceData!$AJ$200),"")</f>
        <v/>
      </c>
      <c r="AK200" t="str">
        <f ca="1">IFERROR(IF(0=LEN(ReferenceData!$AK$200),"",ReferenceData!$AK$200),"")</f>
        <v/>
      </c>
      <c r="AL200" t="str">
        <f ca="1">IFERROR(IF(0=LEN(ReferenceData!$AL$200),"",ReferenceData!$AL$200),"")</f>
        <v/>
      </c>
      <c r="AM200" t="str">
        <f ca="1">IFERROR(IF(0=LEN(ReferenceData!$AM$200),"",ReferenceData!$AM$200),"")</f>
        <v/>
      </c>
      <c r="AN200" t="str">
        <f ca="1">IFERROR(IF(0=LEN(ReferenceData!$AN$200),"",ReferenceData!$AN$200),"")</f>
        <v/>
      </c>
      <c r="AO200" t="str">
        <f ca="1">IFERROR(IF(0=LEN(ReferenceData!$AO$200),"",ReferenceData!$AO$200),"")</f>
        <v/>
      </c>
      <c r="AP200" t="str">
        <f ca="1">IFERROR(IF(0=LEN(ReferenceData!$AP$200),"",ReferenceData!$AP$200),"")</f>
        <v/>
      </c>
      <c r="AQ200" t="str">
        <f ca="1">IFERROR(IF(0=LEN(ReferenceData!$AQ$200),"",ReferenceData!$AQ$200),"")</f>
        <v/>
      </c>
      <c r="AR200" t="str">
        <f ca="1">IFERROR(IF(0=LEN(ReferenceData!$AR$200),"",ReferenceData!$AR$200),"")</f>
        <v/>
      </c>
      <c r="AS200" t="str">
        <f ca="1">IFERROR(IF(0=LEN(ReferenceData!$AS$200),"",ReferenceData!$AS$200),"")</f>
        <v/>
      </c>
      <c r="AT200" t="str">
        <f ca="1">IFERROR(IF(0=LEN(ReferenceData!$AT$200),"",ReferenceData!$AT$200),"")</f>
        <v/>
      </c>
      <c r="AU200" t="str">
        <f ca="1">IFERROR(IF(0=LEN(ReferenceData!$AU$200),"",ReferenceData!$AU$200),"")</f>
        <v/>
      </c>
      <c r="AV200" t="str">
        <f ca="1">IFERROR(IF(0=LEN(ReferenceData!$AV$200),"",ReferenceData!$AV$200),"")</f>
        <v/>
      </c>
      <c r="AW200" t="str">
        <f ca="1">IFERROR(IF(0=LEN(ReferenceData!$AW$200),"",ReferenceData!$AW$200),"")</f>
        <v/>
      </c>
      <c r="AX200" t="str">
        <f ca="1">IFERROR(IF(0=LEN(ReferenceData!$AX$200),"",ReferenceData!$AX$200),"")</f>
        <v/>
      </c>
      <c r="AY200" t="str">
        <f ca="1">IFERROR(IF(0=LEN(ReferenceData!$AY$200),"",ReferenceData!$AY$200),"")</f>
        <v/>
      </c>
      <c r="AZ200" t="str">
        <f ca="1">IFERROR(IF(0=LEN(ReferenceData!$AZ$200),"",ReferenceData!$AZ$200),"")</f>
        <v/>
      </c>
      <c r="BA200" t="str">
        <f ca="1">IFERROR(IF(0=LEN(ReferenceData!$BA$200),"",ReferenceData!$BA$200),"")</f>
        <v/>
      </c>
      <c r="BB200" t="str">
        <f ca="1">IFERROR(IF(0=LEN(ReferenceData!$BB$200),"",ReferenceData!$BB$200),"")</f>
        <v/>
      </c>
      <c r="BC200" t="str">
        <f ca="1">IFERROR(IF(0=LEN(ReferenceData!$BC$200),"",ReferenceData!$BC$200),"")</f>
        <v/>
      </c>
      <c r="BD200" t="str">
        <f ca="1">IFERROR(IF(0=LEN(ReferenceData!$BD$200),"",ReferenceData!$BD$200),"")</f>
        <v/>
      </c>
      <c r="BE200" t="str">
        <f ca="1">IFERROR(IF(0=LEN(ReferenceData!$BE$200),"",ReferenceData!$BE$200),"")</f>
        <v/>
      </c>
      <c r="BF200" t="str">
        <f ca="1">IFERROR(IF(0=LEN(ReferenceData!$BF$200),"",ReferenceData!$BF$200),"")</f>
        <v/>
      </c>
      <c r="BG200" t="str">
        <f ca="1">IFERROR(IF(0=LEN(ReferenceData!$BG$200),"",ReferenceData!$BG$200),"")</f>
        <v/>
      </c>
      <c r="BH200" t="str">
        <f ca="1">IFERROR(IF(0=LEN(ReferenceData!$BH$200),"",ReferenceData!$BH$200),"")</f>
        <v/>
      </c>
      <c r="BI200" t="str">
        <f ca="1">IFERROR(IF(0=LEN(ReferenceData!$BI$200),"",ReferenceData!$BI$200),"")</f>
        <v/>
      </c>
      <c r="BJ200" t="str">
        <f ca="1">IFERROR(IF(0=LEN(ReferenceData!$BJ$200),"",ReferenceData!$BJ$200),"")</f>
        <v/>
      </c>
      <c r="BK200" t="str">
        <f ca="1">IFERROR(IF(0=LEN(ReferenceData!$BK$200),"",ReferenceData!$BK$200),"")</f>
        <v/>
      </c>
      <c r="BL200" t="str">
        <f ca="1">IFERROR(IF(0=LEN(ReferenceData!$BL$200),"",ReferenceData!$BL$200),"")</f>
        <v/>
      </c>
      <c r="BM200" t="str">
        <f ca="1">IFERROR(IF(0=LEN(ReferenceData!$BM$200),"",ReferenceData!$BM$200),"")</f>
        <v/>
      </c>
    </row>
    <row r="201" spans="1:65">
      <c r="A201" t="str">
        <f>IFERROR(IF(0=LEN(ReferenceData!$A$201),"",ReferenceData!$A$201),"")</f>
        <v xml:space="preserve">    Medical Properties Trust Inc</v>
      </c>
      <c r="B201" t="str">
        <f>IFERROR(IF(0=LEN(ReferenceData!$B$201),"",ReferenceData!$B$201),"")</f>
        <v>MPW US Equity</v>
      </c>
      <c r="C201" t="str">
        <f>IFERROR(IF(0=LEN(ReferenceData!$C$201),"",ReferenceData!$C$201),"")</f>
        <v>RR052</v>
      </c>
      <c r="D201" t="str">
        <f>IFERROR(IF(0=LEN(ReferenceData!$D$201),"",ReferenceData!$D$201),"")</f>
        <v>TOT_DEBT_TO_EBITDA</v>
      </c>
      <c r="E201" t="str">
        <f>IFERROR(IF(0=LEN(ReferenceData!$E$201),"",ReferenceData!$E$201),"")</f>
        <v>动态</v>
      </c>
      <c r="F201" t="str">
        <f ca="1">IFERROR(IF(0=LEN(ReferenceData!$F$201),"",ReferenceData!$F$201),"")</f>
        <v/>
      </c>
      <c r="G201">
        <f ca="1">IFERROR(IF(0=LEN(ReferenceData!$G$201),"",ReferenceData!$G$201),"")</f>
        <v>7.9322546850000002</v>
      </c>
      <c r="H201">
        <f ca="1">IFERROR(IF(0=LEN(ReferenceData!$H$201),"",ReferenceData!$H$201),"")</f>
        <v>9.0000707749999993</v>
      </c>
      <c r="I201">
        <f ca="1">IFERROR(IF(0=LEN(ReferenceData!$I$201),"",ReferenceData!$I$201),"")</f>
        <v>6.5117445969999999</v>
      </c>
      <c r="J201">
        <f ca="1">IFERROR(IF(0=LEN(ReferenceData!$J$201),"",ReferenceData!$J$201),"")</f>
        <v>7.1967884360000003</v>
      </c>
      <c r="K201">
        <f ca="1">IFERROR(IF(0=LEN(ReferenceData!$K$201),"",ReferenceData!$K$201),"")</f>
        <v>6.6235944440000001</v>
      </c>
      <c r="L201">
        <f ca="1">IFERROR(IF(0=LEN(ReferenceData!$L$201),"",ReferenceData!$L$201),"")</f>
        <v>6.0116352849999997</v>
      </c>
      <c r="M201">
        <f ca="1">IFERROR(IF(0=LEN(ReferenceData!$M$201),"",ReferenceData!$M$201),"")</f>
        <v>6.5816081860000004</v>
      </c>
      <c r="N201">
        <f ca="1">IFERROR(IF(0=LEN(ReferenceData!$N$201),"",ReferenceData!$N$201),"")</f>
        <v>8.9261229249999996</v>
      </c>
      <c r="O201">
        <f ca="1">IFERROR(IF(0=LEN(ReferenceData!$O$201),"",ReferenceData!$O$201),"")</f>
        <v>9.9161384090000002</v>
      </c>
      <c r="P201">
        <f ca="1">IFERROR(IF(0=LEN(ReferenceData!$P$201),"",ReferenceData!$P$201),"")</f>
        <v>12.37302699</v>
      </c>
      <c r="Q201">
        <f ca="1">IFERROR(IF(0=LEN(ReferenceData!$Q$201),"",ReferenceData!$Q$201),"")</f>
        <v>8.6679944950000003</v>
      </c>
      <c r="R201">
        <f ca="1">IFERROR(IF(0=LEN(ReferenceData!$R$201),"",ReferenceData!$R$201),"")</f>
        <v>8.0361188709999993</v>
      </c>
      <c r="S201">
        <f ca="1">IFERROR(IF(0=LEN(ReferenceData!$S$201),"",ReferenceData!$S$201),"")</f>
        <v>10.979502419999999</v>
      </c>
      <c r="T201">
        <f ca="1">IFERROR(IF(0=LEN(ReferenceData!$T$201),"",ReferenceData!$T$201),"")</f>
        <v>8.4555395979999997</v>
      </c>
      <c r="U201">
        <f ca="1">IFERROR(IF(0=LEN(ReferenceData!$U$201),"",ReferenceData!$U$201),"")</f>
        <v>9.4186627230000006</v>
      </c>
      <c r="V201">
        <f ca="1">IFERROR(IF(0=LEN(ReferenceData!$V$201),"",ReferenceData!$V$201),"")</f>
        <v>7.9456672450000001</v>
      </c>
      <c r="W201">
        <f ca="1">IFERROR(IF(0=LEN(ReferenceData!$W$201),"",ReferenceData!$W$201),"")</f>
        <v>7.3995837250000003</v>
      </c>
      <c r="X201">
        <f ca="1">IFERROR(IF(0=LEN(ReferenceData!$X$201),"",ReferenceData!$X$201),"")</f>
        <v>5.5837181600000001</v>
      </c>
      <c r="Y201">
        <f ca="1">IFERROR(IF(0=LEN(ReferenceData!$Y$201),"",ReferenceData!$Y$201),"")</f>
        <v>4.8653746010000001</v>
      </c>
      <c r="Z201">
        <f ca="1">IFERROR(IF(0=LEN(ReferenceData!$Z$201),"",ReferenceData!$Z$201),"")</f>
        <v>4.8558114239999997</v>
      </c>
      <c r="AA201">
        <f ca="1">IFERROR(IF(0=LEN(ReferenceData!$AA$201),"",ReferenceData!$AA$201),"")</f>
        <v>6.1560332860000004</v>
      </c>
      <c r="AB201">
        <f ca="1">IFERROR(IF(0=LEN(ReferenceData!$AB$201),"",ReferenceData!$AB$201),"")</f>
        <v>7.0050549220000002</v>
      </c>
      <c r="AC201">
        <f ca="1">IFERROR(IF(0=LEN(ReferenceData!$AC$201),"",ReferenceData!$AC$201),"")</f>
        <v>6.9488049570000001</v>
      </c>
      <c r="AD201">
        <f ca="1">IFERROR(IF(0=LEN(ReferenceData!$AD$201),"",ReferenceData!$AD$201),"")</f>
        <v>7.9052377119999999</v>
      </c>
      <c r="AE201">
        <f ca="1">IFERROR(IF(0=LEN(ReferenceData!$AE$201),"",ReferenceData!$AE$201),"")</f>
        <v>6.321522667</v>
      </c>
      <c r="AF201">
        <f ca="1">IFERROR(IF(0=LEN(ReferenceData!$AF$201),"",ReferenceData!$AF$201),"")</f>
        <v>6.2672587579999997</v>
      </c>
      <c r="AG201">
        <f ca="1">IFERROR(IF(0=LEN(ReferenceData!$AG$201),"",ReferenceData!$AG$201),"")</f>
        <v>7.4359787129999999</v>
      </c>
      <c r="AH201">
        <f ca="1">IFERROR(IF(0=LEN(ReferenceData!$AH$201),"",ReferenceData!$AH$201),"")</f>
        <v>5.2458936239999998</v>
      </c>
      <c r="AI201">
        <f ca="1">IFERROR(IF(0=LEN(ReferenceData!$AI$201),"",ReferenceData!$AI$201),"")</f>
        <v>4.7438060100000001</v>
      </c>
      <c r="AJ201">
        <f ca="1">IFERROR(IF(0=LEN(ReferenceData!$AJ$201),"",ReferenceData!$AJ$201),"")</f>
        <v>4.566633725</v>
      </c>
      <c r="AK201">
        <f ca="1">IFERROR(IF(0=LEN(ReferenceData!$AK$201),"",ReferenceData!$AK$201),"")</f>
        <v>4.4967009410000003</v>
      </c>
      <c r="AL201">
        <f ca="1">IFERROR(IF(0=LEN(ReferenceData!$AL$201),"",ReferenceData!$AL$201),"")</f>
        <v>6.4539025399999996</v>
      </c>
      <c r="AM201">
        <f ca="1">IFERROR(IF(0=LEN(ReferenceData!$AM$201),"",ReferenceData!$AM$201),"")</f>
        <v>5.7642823940000003</v>
      </c>
      <c r="AN201">
        <f ca="1">IFERROR(IF(0=LEN(ReferenceData!$AN$201),"",ReferenceData!$AN$201),"")</f>
        <v>6.033080913</v>
      </c>
      <c r="AO201">
        <f ca="1">IFERROR(IF(0=LEN(ReferenceData!$AO$201),"",ReferenceData!$AO$201),"")</f>
        <v>5.8259493439999996</v>
      </c>
      <c r="AP201">
        <f ca="1">IFERROR(IF(0=LEN(ReferenceData!$AP$201),"",ReferenceData!$AP$201),"")</f>
        <v>5.6237595489999999</v>
      </c>
      <c r="AQ201">
        <f ca="1">IFERROR(IF(0=LEN(ReferenceData!$AQ$201),"",ReferenceData!$AQ$201),"")</f>
        <v>6.7091420709999996</v>
      </c>
      <c r="AR201">
        <f ca="1">IFERROR(IF(0=LEN(ReferenceData!$AR$201),"",ReferenceData!$AR$201),"")</f>
        <v>6.3546217159999996</v>
      </c>
      <c r="AS201">
        <f ca="1">IFERROR(IF(0=LEN(ReferenceData!$AS$201),"",ReferenceData!$AS$201),"")</f>
        <v>6.6518018369999998</v>
      </c>
      <c r="AT201">
        <f ca="1">IFERROR(IF(0=LEN(ReferenceData!$AT$201),"",ReferenceData!$AT$201),"")</f>
        <v>5.3453397120000004</v>
      </c>
      <c r="AU201">
        <f ca="1">IFERROR(IF(0=LEN(ReferenceData!$AU$201),"",ReferenceData!$AU$201),"")</f>
        <v>6.9346719480000001</v>
      </c>
      <c r="AV201">
        <f ca="1">IFERROR(IF(0=LEN(ReferenceData!$AV$201),"",ReferenceData!$AV$201),"")</f>
        <v>6.03743286</v>
      </c>
      <c r="AW201">
        <f ca="1">IFERROR(IF(0=LEN(ReferenceData!$AW$201),"",ReferenceData!$AW$201),"")</f>
        <v>5.021775045</v>
      </c>
      <c r="AX201">
        <f ca="1">IFERROR(IF(0=LEN(ReferenceData!$AX$201),"",ReferenceData!$AX$201),"")</f>
        <v>6.0329561490000003</v>
      </c>
      <c r="AY201">
        <f ca="1">IFERROR(IF(0=LEN(ReferenceData!$AY$201),"",ReferenceData!$AY$201),"")</f>
        <v>7.0430313470000003</v>
      </c>
      <c r="AZ201">
        <f ca="1">IFERROR(IF(0=LEN(ReferenceData!$AZ$201),"",ReferenceData!$AZ$201),"")</f>
        <v>6.4059128689999998</v>
      </c>
      <c r="BA201">
        <f ca="1">IFERROR(IF(0=LEN(ReferenceData!$BA$201),"",ReferenceData!$BA$201),"")</f>
        <v>3.2482837330000001</v>
      </c>
      <c r="BB201">
        <f ca="1">IFERROR(IF(0=LEN(ReferenceData!$BB$201),"",ReferenceData!$BB$201),"")</f>
        <v>2.6347782909999999</v>
      </c>
      <c r="BC201">
        <f ca="1">IFERROR(IF(0=LEN(ReferenceData!$BC$201),"",ReferenceData!$BC$201),"")</f>
        <v>2.6052344399999998</v>
      </c>
      <c r="BD201" t="str">
        <f ca="1">IFERROR(IF(0=LEN(ReferenceData!$BD$201),"",ReferenceData!$BD$201),"")</f>
        <v/>
      </c>
      <c r="BE201" t="str">
        <f ca="1">IFERROR(IF(0=LEN(ReferenceData!$BE$201),"",ReferenceData!$BE$201),"")</f>
        <v/>
      </c>
      <c r="BF201" t="str">
        <f ca="1">IFERROR(IF(0=LEN(ReferenceData!$BF$201),"",ReferenceData!$BF$201),"")</f>
        <v/>
      </c>
      <c r="BG201" t="str">
        <f ca="1">IFERROR(IF(0=LEN(ReferenceData!$BG$201),"",ReferenceData!$BG$201),"")</f>
        <v/>
      </c>
      <c r="BH201" t="str">
        <f ca="1">IFERROR(IF(0=LEN(ReferenceData!$BH$201),"",ReferenceData!$BH$201),"")</f>
        <v/>
      </c>
      <c r="BI201" t="str">
        <f ca="1">IFERROR(IF(0=LEN(ReferenceData!$BI$201),"",ReferenceData!$BI$201),"")</f>
        <v/>
      </c>
      <c r="BJ201" t="str">
        <f ca="1">IFERROR(IF(0=LEN(ReferenceData!$BJ$201),"",ReferenceData!$BJ$201),"")</f>
        <v/>
      </c>
      <c r="BK201" t="str">
        <f ca="1">IFERROR(IF(0=LEN(ReferenceData!$BK$201),"",ReferenceData!$BK$201),"")</f>
        <v/>
      </c>
      <c r="BL201" t="str">
        <f ca="1">IFERROR(IF(0=LEN(ReferenceData!$BL$201),"",ReferenceData!$BL$201),"")</f>
        <v/>
      </c>
      <c r="BM201" t="str">
        <f ca="1">IFERROR(IF(0=LEN(ReferenceData!$BM$201),"",ReferenceData!$BM$201),"")</f>
        <v/>
      </c>
    </row>
    <row r="202" spans="1:65">
      <c r="A202" t="str">
        <f>IFERROR(IF(0=LEN(ReferenceData!$A$202),"",ReferenceData!$A$202),"")</f>
        <v xml:space="preserve">    Omega Healthcare Investors Inc</v>
      </c>
      <c r="B202" t="str">
        <f>IFERROR(IF(0=LEN(ReferenceData!$B$202),"",ReferenceData!$B$202),"")</f>
        <v>OHI US Equity</v>
      </c>
      <c r="C202" t="str">
        <f>IFERROR(IF(0=LEN(ReferenceData!$C$202),"",ReferenceData!$C$202),"")</f>
        <v>RR052</v>
      </c>
      <c r="D202" t="str">
        <f>IFERROR(IF(0=LEN(ReferenceData!$D$202),"",ReferenceData!$D$202),"")</f>
        <v>TOT_DEBT_TO_EBITDA</v>
      </c>
      <c r="E202" t="str">
        <f>IFERROR(IF(0=LEN(ReferenceData!$E$202),"",ReferenceData!$E$202),"")</f>
        <v>动态</v>
      </c>
      <c r="F202" t="str">
        <f ca="1">IFERROR(IF(0=LEN(ReferenceData!$F$202),"",ReferenceData!$F$202),"")</f>
        <v/>
      </c>
      <c r="G202">
        <f ca="1">IFERROR(IF(0=LEN(ReferenceData!$G$202),"",ReferenceData!$G$202),"")</f>
        <v>8.3303871889999996</v>
      </c>
      <c r="H202">
        <f ca="1">IFERROR(IF(0=LEN(ReferenceData!$H$202),"",ReferenceData!$H$202),"")</f>
        <v>7.4696207230000002</v>
      </c>
      <c r="I202">
        <f ca="1">IFERROR(IF(0=LEN(ReferenceData!$I$202),"",ReferenceData!$I$202),"")</f>
        <v>5.3324911070000001</v>
      </c>
      <c r="J202">
        <f ca="1">IFERROR(IF(0=LEN(ReferenceData!$J$202),"",ReferenceData!$J$202),"")</f>
        <v>5.2002164310000003</v>
      </c>
      <c r="K202">
        <f ca="1">IFERROR(IF(0=LEN(ReferenceData!$K$202),"",ReferenceData!$K$202),"")</f>
        <v>5.6215430599999996</v>
      </c>
      <c r="L202">
        <f ca="1">IFERROR(IF(0=LEN(ReferenceData!$L$202),"",ReferenceData!$L$202),"")</f>
        <v>5.9500911240000001</v>
      </c>
      <c r="M202">
        <f ca="1">IFERROR(IF(0=LEN(ReferenceData!$M$202),"",ReferenceData!$M$202),"")</f>
        <v>5.6344412799999999</v>
      </c>
      <c r="N202">
        <f ca="1">IFERROR(IF(0=LEN(ReferenceData!$N$202),"",ReferenceData!$N$202),"")</f>
        <v>6.3505226639999997</v>
      </c>
      <c r="O202">
        <f ca="1">IFERROR(IF(0=LEN(ReferenceData!$O$202),"",ReferenceData!$O$202),"")</f>
        <v>5.6915954419999997</v>
      </c>
      <c r="P202">
        <f ca="1">IFERROR(IF(0=LEN(ReferenceData!$P$202),"",ReferenceData!$P$202),"")</f>
        <v>7.6230203550000004</v>
      </c>
      <c r="Q202">
        <f ca="1">IFERROR(IF(0=LEN(ReferenceData!$Q$202),"",ReferenceData!$Q$202),"")</f>
        <v>6.9941578829999997</v>
      </c>
      <c r="R202">
        <f ca="1">IFERROR(IF(0=LEN(ReferenceData!$R$202),"",ReferenceData!$R$202),"")</f>
        <v>5.5818364520000001</v>
      </c>
      <c r="S202">
        <f ca="1">IFERROR(IF(0=LEN(ReferenceData!$S$202),"",ReferenceData!$S$202),"")</f>
        <v>5.0761106180000004</v>
      </c>
      <c r="T202">
        <f ca="1">IFERROR(IF(0=LEN(ReferenceData!$T$202),"",ReferenceData!$T$202),"")</f>
        <v>5.0768796350000001</v>
      </c>
      <c r="U202">
        <f ca="1">IFERROR(IF(0=LEN(ReferenceData!$U$202),"",ReferenceData!$U$202),"")</f>
        <v>5.5324911309999996</v>
      </c>
      <c r="V202">
        <f ca="1">IFERROR(IF(0=LEN(ReferenceData!$V$202),"",ReferenceData!$V$202),"")</f>
        <v>5.0715997279999998</v>
      </c>
      <c r="W202">
        <f ca="1">IFERROR(IF(0=LEN(ReferenceData!$W$202),"",ReferenceData!$W$202),"")</f>
        <v>5.1338819500000001</v>
      </c>
      <c r="X202">
        <f ca="1">IFERROR(IF(0=LEN(ReferenceData!$X$202),"",ReferenceData!$X$202),"")</f>
        <v>4.4971576100000004</v>
      </c>
      <c r="Y202">
        <f ca="1">IFERROR(IF(0=LEN(ReferenceData!$Y$202),"",ReferenceData!$Y$202),"")</f>
        <v>4.6892584739999998</v>
      </c>
      <c r="Z202">
        <f ca="1">IFERROR(IF(0=LEN(ReferenceData!$Z$202),"",ReferenceData!$Z$202),"")</f>
        <v>5.1066006880000003</v>
      </c>
      <c r="AA202">
        <f ca="1">IFERROR(IF(0=LEN(ReferenceData!$AA$202),"",ReferenceData!$AA$202),"")</f>
        <v>5.5646823129999996</v>
      </c>
      <c r="AB202">
        <f ca="1">IFERROR(IF(0=LEN(ReferenceData!$AB$202),"",ReferenceData!$AB$202),"")</f>
        <v>5.2019117420000001</v>
      </c>
      <c r="AC202">
        <f ca="1">IFERROR(IF(0=LEN(ReferenceData!$AC$202),"",ReferenceData!$AC$202),"")</f>
        <v>5.0991988389999996</v>
      </c>
      <c r="AD202">
        <f ca="1">IFERROR(IF(0=LEN(ReferenceData!$AD$202),"",ReferenceData!$AD$202),"")</f>
        <v>5.5286695090000002</v>
      </c>
      <c r="AE202">
        <f ca="1">IFERROR(IF(0=LEN(ReferenceData!$AE$202),"",ReferenceData!$AE$202),"")</f>
        <v>6.5148741030000004</v>
      </c>
      <c r="AF202">
        <f ca="1">IFERROR(IF(0=LEN(ReferenceData!$AF$202),"",ReferenceData!$AF$202),"")</f>
        <v>5.0958201990000003</v>
      </c>
      <c r="AG202">
        <f ca="1">IFERROR(IF(0=LEN(ReferenceData!$AG$202),"",ReferenceData!$AG$202),"")</f>
        <v>5.2094768589999996</v>
      </c>
      <c r="AH202">
        <f ca="1">IFERROR(IF(0=LEN(ReferenceData!$AH$202),"",ReferenceData!$AH$202),"")</f>
        <v>5.5730433149999996</v>
      </c>
      <c r="AI202">
        <f ca="1">IFERROR(IF(0=LEN(ReferenceData!$AI$202),"",ReferenceData!$AI$202),"")</f>
        <v>5.0392404519999996</v>
      </c>
      <c r="AJ202">
        <f ca="1">IFERROR(IF(0=LEN(ReferenceData!$AJ$202),"",ReferenceData!$AJ$202),"")</f>
        <v>5.6476551659999998</v>
      </c>
      <c r="AK202">
        <f ca="1">IFERROR(IF(0=LEN(ReferenceData!$AK$202),"",ReferenceData!$AK$202),"")</f>
        <v>6.7941726930000002</v>
      </c>
      <c r="AL202">
        <f ca="1">IFERROR(IF(0=LEN(ReferenceData!$AL$202),"",ReferenceData!$AL$202),"")</f>
        <v>4.59112571</v>
      </c>
      <c r="AM202">
        <f ca="1">IFERROR(IF(0=LEN(ReferenceData!$AM$202),"",ReferenceData!$AM$202),"")</f>
        <v>4.5967965919999996</v>
      </c>
      <c r="AN202">
        <f ca="1">IFERROR(IF(0=LEN(ReferenceData!$AN$202),"",ReferenceData!$AN$202),"")</f>
        <v>3.0298762109999999</v>
      </c>
      <c r="AO202">
        <f ca="1">IFERROR(IF(0=LEN(ReferenceData!$AO$202),"",ReferenceData!$AO$202),"")</f>
        <v>3.378248138</v>
      </c>
      <c r="AP202">
        <f ca="1">IFERROR(IF(0=LEN(ReferenceData!$AP$202),"",ReferenceData!$AP$202),"")</f>
        <v>3.526990289</v>
      </c>
      <c r="AQ202">
        <f ca="1">IFERROR(IF(0=LEN(ReferenceData!$AQ$202),"",ReferenceData!$AQ$202),"")</f>
        <v>3.647910193</v>
      </c>
      <c r="AR202">
        <f ca="1">IFERROR(IF(0=LEN(ReferenceData!$AR$202),"",ReferenceData!$AR$202),"")</f>
        <v>3.4985004370000001</v>
      </c>
      <c r="AS202">
        <f ca="1">IFERROR(IF(0=LEN(ReferenceData!$AS$202),"",ReferenceData!$AS$202),"")</f>
        <v>3.95117253</v>
      </c>
      <c r="AT202">
        <f ca="1">IFERROR(IF(0=LEN(ReferenceData!$AT$202),"",ReferenceData!$AT$202),"")</f>
        <v>3.8462396860000001</v>
      </c>
      <c r="AU202">
        <f ca="1">IFERROR(IF(0=LEN(ReferenceData!$AU$202),"",ReferenceData!$AU$202),"")</f>
        <v>3.8215675039999999</v>
      </c>
      <c r="AV202">
        <f ca="1">IFERROR(IF(0=LEN(ReferenceData!$AV$202),"",ReferenceData!$AV$202),"")</f>
        <v>3.6516272980000002</v>
      </c>
      <c r="AW202">
        <f ca="1">IFERROR(IF(0=LEN(ReferenceData!$AW$202),"",ReferenceData!$AW$202),"")</f>
        <v>3.925877818</v>
      </c>
      <c r="AX202">
        <f ca="1">IFERROR(IF(0=LEN(ReferenceData!$AX$202),"",ReferenceData!$AX$202),"")</f>
        <v>4.9351232070000002</v>
      </c>
      <c r="AY202">
        <f ca="1">IFERROR(IF(0=LEN(ReferenceData!$AY$202),"",ReferenceData!$AY$202),"")</f>
        <v>5.3590105330000002</v>
      </c>
      <c r="AZ202">
        <f ca="1">IFERROR(IF(0=LEN(ReferenceData!$AZ$202),"",ReferenceData!$AZ$202),"")</f>
        <v>6.2859283909999997</v>
      </c>
      <c r="BA202">
        <f ca="1">IFERROR(IF(0=LEN(ReferenceData!$BA$202),"",ReferenceData!$BA$202),"")</f>
        <v>4.6230617939999998</v>
      </c>
      <c r="BB202">
        <f ca="1">IFERROR(IF(0=LEN(ReferenceData!$BB$202),"",ReferenceData!$BB$202),"")</f>
        <v>4.9663605420000003</v>
      </c>
      <c r="BC202">
        <f ca="1">IFERROR(IF(0=LEN(ReferenceData!$BC$202),"",ReferenceData!$BC$202),"")</f>
        <v>5.5153070670000002</v>
      </c>
      <c r="BD202">
        <f ca="1">IFERROR(IF(0=LEN(ReferenceData!$BD$202),"",ReferenceData!$BD$202),"")</f>
        <v>4.8512506679999996</v>
      </c>
      <c r="BE202">
        <f ca="1">IFERROR(IF(0=LEN(ReferenceData!$BE$202),"",ReferenceData!$BE$202),"")</f>
        <v>5.3434102140000004</v>
      </c>
      <c r="BF202">
        <f ca="1">IFERROR(IF(0=LEN(ReferenceData!$BF$202),"",ReferenceData!$BF$202),"")</f>
        <v>4.3046961850000001</v>
      </c>
      <c r="BG202">
        <f ca="1">IFERROR(IF(0=LEN(ReferenceData!$BG$202),"",ReferenceData!$BG$202),"")</f>
        <v>4.8413424880000004</v>
      </c>
      <c r="BH202">
        <f ca="1">IFERROR(IF(0=LEN(ReferenceData!$BH$202),"",ReferenceData!$BH$202),"")</f>
        <v>4.2682910889999999</v>
      </c>
      <c r="BI202">
        <f ca="1">IFERROR(IF(0=LEN(ReferenceData!$BI$202),"",ReferenceData!$BI$202),"")</f>
        <v>4.0185185450000001</v>
      </c>
      <c r="BJ202">
        <f ca="1">IFERROR(IF(0=LEN(ReferenceData!$BJ$202),"",ReferenceData!$BJ$202),"")</f>
        <v>3.813508836</v>
      </c>
      <c r="BK202">
        <f ca="1">IFERROR(IF(0=LEN(ReferenceData!$BK$202),"",ReferenceData!$BK$202),"")</f>
        <v>3.5515530000000002</v>
      </c>
      <c r="BL202">
        <f ca="1">IFERROR(IF(0=LEN(ReferenceData!$BL$202),"",ReferenceData!$BL$202),"")</f>
        <v>3.8845943959999998</v>
      </c>
      <c r="BM202">
        <f ca="1">IFERROR(IF(0=LEN(ReferenceData!$BM$202),"",ReferenceData!$BM$202),"")</f>
        <v>5.6236612480000003</v>
      </c>
    </row>
    <row r="203" spans="1:65">
      <c r="A203" t="str">
        <f>IFERROR(IF(0=LEN(ReferenceData!$A$203),"",ReferenceData!$A$203),"")</f>
        <v xml:space="preserve">    Sabra Health Care REIT Inc</v>
      </c>
      <c r="B203" t="str">
        <f>IFERROR(IF(0=LEN(ReferenceData!$B$203),"",ReferenceData!$B$203),"")</f>
        <v>SBRA US Equity</v>
      </c>
      <c r="C203" t="str">
        <f>IFERROR(IF(0=LEN(ReferenceData!$C$203),"",ReferenceData!$C$203),"")</f>
        <v>RR052</v>
      </c>
      <c r="D203" t="str">
        <f>IFERROR(IF(0=LEN(ReferenceData!$D$203),"",ReferenceData!$D$203),"")</f>
        <v>TOT_DEBT_TO_EBITDA</v>
      </c>
      <c r="E203" t="str">
        <f>IFERROR(IF(0=LEN(ReferenceData!$E$203),"",ReferenceData!$E$203),"")</f>
        <v>动态</v>
      </c>
      <c r="F203" t="str">
        <f ca="1">IFERROR(IF(0=LEN(ReferenceData!$F$203),"",ReferenceData!$F$203),"")</f>
        <v/>
      </c>
      <c r="G203">
        <f ca="1">IFERROR(IF(0=LEN(ReferenceData!$G$203),"",ReferenceData!$G$203),"")</f>
        <v>11.08093727</v>
      </c>
      <c r="H203">
        <f ca="1">IFERROR(IF(0=LEN(ReferenceData!$H$203),"",ReferenceData!$H$203),"")</f>
        <v>13.7099495</v>
      </c>
      <c r="I203">
        <f ca="1">IFERROR(IF(0=LEN(ReferenceData!$I$203),"",ReferenceData!$I$203),"")</f>
        <v>5.8734824339999996</v>
      </c>
      <c r="J203">
        <f ca="1">IFERROR(IF(0=LEN(ReferenceData!$J$203),"",ReferenceData!$J$203),"")</f>
        <v>5.2959007040000001</v>
      </c>
      <c r="K203">
        <f ca="1">IFERROR(IF(0=LEN(ReferenceData!$K$203),"",ReferenceData!$K$203),"")</f>
        <v>6.0669753599999998</v>
      </c>
      <c r="L203">
        <f ca="1">IFERROR(IF(0=LEN(ReferenceData!$L$203),"",ReferenceData!$L$203),"")</f>
        <v>5.9171562839999998</v>
      </c>
      <c r="M203">
        <f ca="1">IFERROR(IF(0=LEN(ReferenceData!$M$203),"",ReferenceData!$M$203),"")</f>
        <v>5.9901502180000001</v>
      </c>
      <c r="N203">
        <f ca="1">IFERROR(IF(0=LEN(ReferenceData!$N$203),"",ReferenceData!$N$203),"")</f>
        <v>7.938232138</v>
      </c>
      <c r="O203">
        <f ca="1">IFERROR(IF(0=LEN(ReferenceData!$O$203),"",ReferenceData!$O$203),"")</f>
        <v>6.913378528</v>
      </c>
      <c r="P203">
        <f ca="1">IFERROR(IF(0=LEN(ReferenceData!$P$203),"",ReferenceData!$P$203),"")</f>
        <v>7.0052628270000001</v>
      </c>
      <c r="Q203">
        <f ca="1">IFERROR(IF(0=LEN(ReferenceData!$Q$203),"",ReferenceData!$Q$203),"")</f>
        <v>7.0469006470000002</v>
      </c>
      <c r="R203">
        <f ca="1">IFERROR(IF(0=LEN(ReferenceData!$R$203),"",ReferenceData!$R$203),"")</f>
        <v>6.288555991</v>
      </c>
      <c r="S203">
        <f ca="1">IFERROR(IF(0=LEN(ReferenceData!$S$203),"",ReferenceData!$S$203),"")</f>
        <v>7.0780975359999996</v>
      </c>
      <c r="T203">
        <f ca="1">IFERROR(IF(0=LEN(ReferenceData!$T$203),"",ReferenceData!$T$203),"")</f>
        <v>9.1964290809999998</v>
      </c>
      <c r="U203">
        <f ca="1">IFERROR(IF(0=LEN(ReferenceData!$U$203),"",ReferenceData!$U$203),"")</f>
        <v>5.107264657</v>
      </c>
      <c r="V203">
        <f ca="1">IFERROR(IF(0=LEN(ReferenceData!$V$203),"",ReferenceData!$V$203),"")</f>
        <v>6.6807828699999998</v>
      </c>
      <c r="W203">
        <f ca="1">IFERROR(IF(0=LEN(ReferenceData!$W$203),"",ReferenceData!$W$203),"")</f>
        <v>5.8402122390000004</v>
      </c>
      <c r="X203">
        <f ca="1">IFERROR(IF(0=LEN(ReferenceData!$X$203),"",ReferenceData!$X$203),"")</f>
        <v>5.1881231479999999</v>
      </c>
      <c r="Y203">
        <f ca="1">IFERROR(IF(0=LEN(ReferenceData!$Y$203),"",ReferenceData!$Y$203),"")</f>
        <v>5.5942893820000004</v>
      </c>
      <c r="Z203">
        <f ca="1">IFERROR(IF(0=LEN(ReferenceData!$Z$203),"",ReferenceData!$Z$203),"")</f>
        <v>5.2095497599999998</v>
      </c>
      <c r="AA203">
        <f ca="1">IFERROR(IF(0=LEN(ReferenceData!$AA$203),"",ReferenceData!$AA$203),"")</f>
        <v>6.8036649520000001</v>
      </c>
      <c r="AB203">
        <f ca="1">IFERROR(IF(0=LEN(ReferenceData!$AB$203),"",ReferenceData!$AB$203),"")</f>
        <v>5.7177947150000001</v>
      </c>
      <c r="AC203">
        <f ca="1">IFERROR(IF(0=LEN(ReferenceData!$AC$203),"",ReferenceData!$AC$203),"")</f>
        <v>5.3190781659999997</v>
      </c>
      <c r="AD203">
        <f ca="1">IFERROR(IF(0=LEN(ReferenceData!$AD$203),"",ReferenceData!$AD$203),"")</f>
        <v>5.15456848</v>
      </c>
      <c r="AE203">
        <f ca="1">IFERROR(IF(0=LEN(ReferenceData!$AE$203),"",ReferenceData!$AE$203),"")</f>
        <v>5.4966667139999998</v>
      </c>
      <c r="AF203" t="str">
        <f ca="1">IFERROR(IF(0=LEN(ReferenceData!$AF$203),"",ReferenceData!$AF$203),"")</f>
        <v/>
      </c>
      <c r="AG203" t="str">
        <f ca="1">IFERROR(IF(0=LEN(ReferenceData!$AG$203),"",ReferenceData!$AG$203),"")</f>
        <v/>
      </c>
      <c r="AH203" t="str">
        <f ca="1">IFERROR(IF(0=LEN(ReferenceData!$AH$203),"",ReferenceData!$AH$203),"")</f>
        <v/>
      </c>
      <c r="AI203" t="str">
        <f ca="1">IFERROR(IF(0=LEN(ReferenceData!$AI$203),"",ReferenceData!$AI$203),"")</f>
        <v/>
      </c>
      <c r="AJ203" t="str">
        <f ca="1">IFERROR(IF(0=LEN(ReferenceData!$AJ$203),"",ReferenceData!$AJ$203),"")</f>
        <v/>
      </c>
      <c r="AK203" t="str">
        <f ca="1">IFERROR(IF(0=LEN(ReferenceData!$AK$203),"",ReferenceData!$AK$203),"")</f>
        <v/>
      </c>
      <c r="AL203" t="str">
        <f ca="1">IFERROR(IF(0=LEN(ReferenceData!$AL$203),"",ReferenceData!$AL$203),"")</f>
        <v/>
      </c>
      <c r="AM203" t="str">
        <f ca="1">IFERROR(IF(0=LEN(ReferenceData!$AM$203),"",ReferenceData!$AM$203),"")</f>
        <v/>
      </c>
      <c r="AN203" t="str">
        <f ca="1">IFERROR(IF(0=LEN(ReferenceData!$AN$203),"",ReferenceData!$AN$203),"")</f>
        <v/>
      </c>
      <c r="AO203" t="str">
        <f ca="1">IFERROR(IF(0=LEN(ReferenceData!$AO$203),"",ReferenceData!$AO$203),"")</f>
        <v/>
      </c>
      <c r="AP203" t="str">
        <f ca="1">IFERROR(IF(0=LEN(ReferenceData!$AP$203),"",ReferenceData!$AP$203),"")</f>
        <v/>
      </c>
      <c r="AQ203" t="str">
        <f ca="1">IFERROR(IF(0=LEN(ReferenceData!$AQ$203),"",ReferenceData!$AQ$203),"")</f>
        <v/>
      </c>
      <c r="AR203" t="str">
        <f ca="1">IFERROR(IF(0=LEN(ReferenceData!$AR$203),"",ReferenceData!$AR$203),"")</f>
        <v/>
      </c>
      <c r="AS203" t="str">
        <f ca="1">IFERROR(IF(0=LEN(ReferenceData!$AS$203),"",ReferenceData!$AS$203),"")</f>
        <v/>
      </c>
      <c r="AT203" t="str">
        <f ca="1">IFERROR(IF(0=LEN(ReferenceData!$AT$203),"",ReferenceData!$AT$203),"")</f>
        <v/>
      </c>
      <c r="AU203" t="str">
        <f ca="1">IFERROR(IF(0=LEN(ReferenceData!$AU$203),"",ReferenceData!$AU$203),"")</f>
        <v/>
      </c>
      <c r="AV203" t="str">
        <f ca="1">IFERROR(IF(0=LEN(ReferenceData!$AV$203),"",ReferenceData!$AV$203),"")</f>
        <v/>
      </c>
      <c r="AW203" t="str">
        <f ca="1">IFERROR(IF(0=LEN(ReferenceData!$AW$203),"",ReferenceData!$AW$203),"")</f>
        <v/>
      </c>
      <c r="AX203" t="str">
        <f ca="1">IFERROR(IF(0=LEN(ReferenceData!$AX$203),"",ReferenceData!$AX$203),"")</f>
        <v/>
      </c>
      <c r="AY203" t="str">
        <f ca="1">IFERROR(IF(0=LEN(ReferenceData!$AY$203),"",ReferenceData!$AY$203),"")</f>
        <v/>
      </c>
      <c r="AZ203" t="str">
        <f ca="1">IFERROR(IF(0=LEN(ReferenceData!$AZ$203),"",ReferenceData!$AZ$203),"")</f>
        <v/>
      </c>
      <c r="BA203" t="str">
        <f ca="1">IFERROR(IF(0=LEN(ReferenceData!$BA$203),"",ReferenceData!$BA$203),"")</f>
        <v/>
      </c>
      <c r="BB203" t="str">
        <f ca="1">IFERROR(IF(0=LEN(ReferenceData!$BB$203),"",ReferenceData!$BB$203),"")</f>
        <v/>
      </c>
      <c r="BC203" t="str">
        <f ca="1">IFERROR(IF(0=LEN(ReferenceData!$BC$203),"",ReferenceData!$BC$203),"")</f>
        <v/>
      </c>
      <c r="BD203" t="str">
        <f ca="1">IFERROR(IF(0=LEN(ReferenceData!$BD$203),"",ReferenceData!$BD$203),"")</f>
        <v/>
      </c>
      <c r="BE203" t="str">
        <f ca="1">IFERROR(IF(0=LEN(ReferenceData!$BE$203),"",ReferenceData!$BE$203),"")</f>
        <v/>
      </c>
      <c r="BF203" t="str">
        <f ca="1">IFERROR(IF(0=LEN(ReferenceData!$BF$203),"",ReferenceData!$BF$203),"")</f>
        <v/>
      </c>
      <c r="BG203" t="str">
        <f ca="1">IFERROR(IF(0=LEN(ReferenceData!$BG$203),"",ReferenceData!$BG$203),"")</f>
        <v/>
      </c>
      <c r="BH203" t="str">
        <f ca="1">IFERROR(IF(0=LEN(ReferenceData!$BH$203),"",ReferenceData!$BH$203),"")</f>
        <v/>
      </c>
      <c r="BI203" t="str">
        <f ca="1">IFERROR(IF(0=LEN(ReferenceData!$BI$203),"",ReferenceData!$BI$203),"")</f>
        <v/>
      </c>
      <c r="BJ203" t="str">
        <f ca="1">IFERROR(IF(0=LEN(ReferenceData!$BJ$203),"",ReferenceData!$BJ$203),"")</f>
        <v/>
      </c>
      <c r="BK203" t="str">
        <f ca="1">IFERROR(IF(0=LEN(ReferenceData!$BK$203),"",ReferenceData!$BK$203),"")</f>
        <v/>
      </c>
      <c r="BL203" t="str">
        <f ca="1">IFERROR(IF(0=LEN(ReferenceData!$BL$203),"",ReferenceData!$BL$203),"")</f>
        <v/>
      </c>
      <c r="BM203" t="str">
        <f ca="1">IFERROR(IF(0=LEN(ReferenceData!$BM$203),"",ReferenceData!$BM$203),"")</f>
        <v/>
      </c>
    </row>
    <row r="204" spans="1:65">
      <c r="A204" t="str">
        <f>IFERROR(IF(0=LEN(ReferenceData!$A$204),"",ReferenceData!$A$204),"")</f>
        <v xml:space="preserve">    Senior Housing Properties Trus</v>
      </c>
      <c r="B204" t="str">
        <f>IFERROR(IF(0=LEN(ReferenceData!$B$204),"",ReferenceData!$B$204),"")</f>
        <v>SNH US Equity</v>
      </c>
      <c r="C204" t="str">
        <f>IFERROR(IF(0=LEN(ReferenceData!$C$204),"",ReferenceData!$C$204),"")</f>
        <v>RR052</v>
      </c>
      <c r="D204" t="str">
        <f>IFERROR(IF(0=LEN(ReferenceData!$D$204),"",ReferenceData!$D$204),"")</f>
        <v>TOT_DEBT_TO_EBITDA</v>
      </c>
      <c r="E204" t="str">
        <f>IFERROR(IF(0=LEN(ReferenceData!$E$204),"",ReferenceData!$E$204),"")</f>
        <v>动态</v>
      </c>
      <c r="F204" t="str">
        <f ca="1">IFERROR(IF(0=LEN(ReferenceData!$F$204),"",ReferenceData!$F$204),"")</f>
        <v/>
      </c>
      <c r="G204">
        <f ca="1">IFERROR(IF(0=LEN(ReferenceData!$G$204),"",ReferenceData!$G$204),"")</f>
        <v>6.6560506320000004</v>
      </c>
      <c r="H204">
        <f ca="1">IFERROR(IF(0=LEN(ReferenceData!$H$204),"",ReferenceData!$H$204),"")</f>
        <v>6.0968296799999999</v>
      </c>
      <c r="I204">
        <f ca="1">IFERROR(IF(0=LEN(ReferenceData!$I$204),"",ReferenceData!$I$204),"")</f>
        <v>6.0244330809999997</v>
      </c>
      <c r="J204">
        <f ca="1">IFERROR(IF(0=LEN(ReferenceData!$J$204),"",ReferenceData!$J$204),"")</f>
        <v>5.8303298779999997</v>
      </c>
      <c r="K204">
        <f ca="1">IFERROR(IF(0=LEN(ReferenceData!$K$204),"",ReferenceData!$K$204),"")</f>
        <v>6.285933558</v>
      </c>
      <c r="L204">
        <f ca="1">IFERROR(IF(0=LEN(ReferenceData!$L$204),"",ReferenceData!$L$204),"")</f>
        <v>6.2226522769999999</v>
      </c>
      <c r="M204">
        <f ca="1">IFERROR(IF(0=LEN(ReferenceData!$M$204),"",ReferenceData!$M$204),"")</f>
        <v>6.1971481529999997</v>
      </c>
      <c r="N204">
        <f ca="1">IFERROR(IF(0=LEN(ReferenceData!$N$204),"",ReferenceData!$N$204),"")</f>
        <v>6.0094965800000004</v>
      </c>
      <c r="O204">
        <f ca="1">IFERROR(IF(0=LEN(ReferenceData!$O$204),"",ReferenceData!$O$204),"")</f>
        <v>6.0896876679999998</v>
      </c>
      <c r="P204">
        <f ca="1">IFERROR(IF(0=LEN(ReferenceData!$P$204),"",ReferenceData!$P$204),"")</f>
        <v>6.3797284540000003</v>
      </c>
      <c r="Q204">
        <f ca="1">IFERROR(IF(0=LEN(ReferenceData!$Q$204),"",ReferenceData!$Q$204),"")</f>
        <v>6.5485589390000003</v>
      </c>
      <c r="R204">
        <f ca="1">IFERROR(IF(0=LEN(ReferenceData!$R$204),"",ReferenceData!$R$204),"")</f>
        <v>5.4106122350000003</v>
      </c>
      <c r="S204">
        <f ca="1">IFERROR(IF(0=LEN(ReferenceData!$S$204),"",ReferenceData!$S$204),"")</f>
        <v>5.8741568510000004</v>
      </c>
      <c r="T204">
        <f ca="1">IFERROR(IF(0=LEN(ReferenceData!$T$204),"",ReferenceData!$T$204),"")</f>
        <v>6.056469366</v>
      </c>
      <c r="U204">
        <f ca="1">IFERROR(IF(0=LEN(ReferenceData!$U$204),"",ReferenceData!$U$204),"")</f>
        <v>6.3335829529999996</v>
      </c>
      <c r="V204">
        <f ca="1">IFERROR(IF(0=LEN(ReferenceData!$V$204),"",ReferenceData!$V$204),"")</f>
        <v>4.5875701119999999</v>
      </c>
      <c r="W204">
        <f ca="1">IFERROR(IF(0=LEN(ReferenceData!$W$204),"",ReferenceData!$W$204),"")</f>
        <v>4.5245174319999997</v>
      </c>
      <c r="X204">
        <f ca="1">IFERROR(IF(0=LEN(ReferenceData!$X$204),"",ReferenceData!$X$204),"")</f>
        <v>4.6078202800000003</v>
      </c>
      <c r="Y204">
        <f ca="1">IFERROR(IF(0=LEN(ReferenceData!$Y$204),"",ReferenceData!$Y$204),"")</f>
        <v>4.4968169649999998</v>
      </c>
      <c r="Z204">
        <f ca="1">IFERROR(IF(0=LEN(ReferenceData!$Z$204),"",ReferenceData!$Z$204),"")</f>
        <v>4.5067875649999998</v>
      </c>
      <c r="AA204">
        <f ca="1">IFERROR(IF(0=LEN(ReferenceData!$AA$204),"",ReferenceData!$AA$204),"")</f>
        <v>5.0463254050000002</v>
      </c>
      <c r="AB204">
        <f ca="1">IFERROR(IF(0=LEN(ReferenceData!$AB$204),"",ReferenceData!$AB$204),"")</f>
        <v>4.8737064520000004</v>
      </c>
      <c r="AC204">
        <f ca="1">IFERROR(IF(0=LEN(ReferenceData!$AC$204),"",ReferenceData!$AC$204),"")</f>
        <v>5.3189252400000004</v>
      </c>
      <c r="AD204">
        <f ca="1">IFERROR(IF(0=LEN(ReferenceData!$AD$204),"",ReferenceData!$AD$204),"")</f>
        <v>5.225299175</v>
      </c>
      <c r="AE204">
        <f ca="1">IFERROR(IF(0=LEN(ReferenceData!$AE$204),"",ReferenceData!$AE$204),"")</f>
        <v>5.3623598799999996</v>
      </c>
      <c r="AF204">
        <f ca="1">IFERROR(IF(0=LEN(ReferenceData!$AF$204),"",ReferenceData!$AF$204),"")</f>
        <v>4.9817527650000004</v>
      </c>
      <c r="AG204">
        <f ca="1">IFERROR(IF(0=LEN(ReferenceData!$AG$204),"",ReferenceData!$AG$204),"")</f>
        <v>5.0178645900000003</v>
      </c>
      <c r="AH204">
        <f ca="1">IFERROR(IF(0=LEN(ReferenceData!$AH$204),"",ReferenceData!$AH$204),"")</f>
        <v>4.4920501000000002</v>
      </c>
      <c r="AI204">
        <f ca="1">IFERROR(IF(0=LEN(ReferenceData!$AI$204),"",ReferenceData!$AI$204),"")</f>
        <v>4.1586649639999997</v>
      </c>
      <c r="AJ204">
        <f ca="1">IFERROR(IF(0=LEN(ReferenceData!$AJ$204),"",ReferenceData!$AJ$204),"")</f>
        <v>3.8203015580000002</v>
      </c>
      <c r="AK204">
        <f ca="1">IFERROR(IF(0=LEN(ReferenceData!$AK$204),"",ReferenceData!$AK$204),"")</f>
        <v>4.0575073760000002</v>
      </c>
      <c r="AL204">
        <f ca="1">IFERROR(IF(0=LEN(ReferenceData!$AL$204),"",ReferenceData!$AL$204),"")</f>
        <v>4.0460159879999997</v>
      </c>
      <c r="AM204">
        <f ca="1">IFERROR(IF(0=LEN(ReferenceData!$AM$204),"",ReferenceData!$AM$204),"")</f>
        <v>4.2258574619999996</v>
      </c>
      <c r="AN204">
        <f ca="1">IFERROR(IF(0=LEN(ReferenceData!$AN$204),"",ReferenceData!$AN$204),"")</f>
        <v>4.1089096510000003</v>
      </c>
      <c r="AO204">
        <f ca="1">IFERROR(IF(0=LEN(ReferenceData!$AO$204),"",ReferenceData!$AO$204),"")</f>
        <v>2.914380639</v>
      </c>
      <c r="AP204">
        <f ca="1">IFERROR(IF(0=LEN(ReferenceData!$AP$204),"",ReferenceData!$AP$204),"")</f>
        <v>2.8369360029999999</v>
      </c>
      <c r="AQ204">
        <f ca="1">IFERROR(IF(0=LEN(ReferenceData!$AQ$204),"",ReferenceData!$AQ$204),"")</f>
        <v>3.3865573100000002</v>
      </c>
      <c r="AR204">
        <f ca="1">IFERROR(IF(0=LEN(ReferenceData!$AR$204),"",ReferenceData!$AR$204),"")</f>
        <v>2.8536427039999999</v>
      </c>
      <c r="AS204">
        <f ca="1">IFERROR(IF(0=LEN(ReferenceData!$AS$204),"",ReferenceData!$AS$204),"")</f>
        <v>2.2233933289999999</v>
      </c>
      <c r="AT204">
        <f ca="1">IFERROR(IF(0=LEN(ReferenceData!$AT$204),"",ReferenceData!$AT$204),"")</f>
        <v>3.0296996460000001</v>
      </c>
      <c r="AU204">
        <f ca="1">IFERROR(IF(0=LEN(ReferenceData!$AU$204),"",ReferenceData!$AU$204),"")</f>
        <v>2.455034854</v>
      </c>
      <c r="AV204">
        <f ca="1">IFERROR(IF(0=LEN(ReferenceData!$AV$204),"",ReferenceData!$AV$204),"")</f>
        <v>2.3477854520000001</v>
      </c>
      <c r="AW204">
        <f ca="1">IFERROR(IF(0=LEN(ReferenceData!$AW$204),"",ReferenceData!$AW$204),"")</f>
        <v>2.396772994</v>
      </c>
      <c r="AX204">
        <f ca="1">IFERROR(IF(0=LEN(ReferenceData!$AX$204),"",ReferenceData!$AX$204),"")</f>
        <v>2.4505545400000002</v>
      </c>
      <c r="AY204">
        <f ca="1">IFERROR(IF(0=LEN(ReferenceData!$AY$204),"",ReferenceData!$AY$204),"")</f>
        <v>3.3003251370000002</v>
      </c>
      <c r="AZ204">
        <f ca="1">IFERROR(IF(0=LEN(ReferenceData!$AZ$204),"",ReferenceData!$AZ$204),"")</f>
        <v>4.154488315</v>
      </c>
      <c r="BA204">
        <f ca="1">IFERROR(IF(0=LEN(ReferenceData!$BA$204),"",ReferenceData!$BA$204),"")</f>
        <v>3.6625570409999999</v>
      </c>
      <c r="BB204">
        <f ca="1">IFERROR(IF(0=LEN(ReferenceData!$BB$204),"",ReferenceData!$BB$204),"")</f>
        <v>3.5883293329999999</v>
      </c>
      <c r="BC204">
        <f ca="1">IFERROR(IF(0=LEN(ReferenceData!$BC$204),"",ReferenceData!$BC$204),"")</f>
        <v>3.707070044</v>
      </c>
      <c r="BD204">
        <f ca="1">IFERROR(IF(0=LEN(ReferenceData!$BD$204),"",ReferenceData!$BD$204),"")</f>
        <v>3.7524279470000002</v>
      </c>
      <c r="BE204">
        <f ca="1">IFERROR(IF(0=LEN(ReferenceData!$BE$204),"",ReferenceData!$BE$204),"")</f>
        <v>4.0355115230000003</v>
      </c>
      <c r="BF204">
        <f ca="1">IFERROR(IF(0=LEN(ReferenceData!$BF$204),"",ReferenceData!$BF$204),"")</f>
        <v>3.8468299859999999</v>
      </c>
      <c r="BG204">
        <f ca="1">IFERROR(IF(0=LEN(ReferenceData!$BG$204),"",ReferenceData!$BG$204),"")</f>
        <v>3.8940444830000001</v>
      </c>
      <c r="BH204">
        <f ca="1">IFERROR(IF(0=LEN(ReferenceData!$BH$204),"",ReferenceData!$BH$204),"")</f>
        <v>3.604555189</v>
      </c>
      <c r="BI204">
        <f ca="1">IFERROR(IF(0=LEN(ReferenceData!$BI$204),"",ReferenceData!$BI$204),"")</f>
        <v>3.7423373889999998</v>
      </c>
      <c r="BJ204">
        <f ca="1">IFERROR(IF(0=LEN(ReferenceData!$BJ$204),"",ReferenceData!$BJ$204),"")</f>
        <v>3.9097464290000001</v>
      </c>
      <c r="BK204">
        <f ca="1">IFERROR(IF(0=LEN(ReferenceData!$BK$204),"",ReferenceData!$BK$204),"")</f>
        <v>4.4489253639999999</v>
      </c>
      <c r="BL204">
        <f ca="1">IFERROR(IF(0=LEN(ReferenceData!$BL$204),"",ReferenceData!$BL$204),"")</f>
        <v>3.8873344059999999</v>
      </c>
      <c r="BM204">
        <f ca="1">IFERROR(IF(0=LEN(ReferenceData!$BM$204),"",ReferenceData!$BM$204),"")</f>
        <v>3.769729383</v>
      </c>
    </row>
    <row r="205" spans="1:65">
      <c r="A205" t="str">
        <f>IFERROR(IF(0=LEN(ReferenceData!$A$205),"",ReferenceData!$A$205),"")</f>
        <v xml:space="preserve">    Ventas Inc</v>
      </c>
      <c r="B205" t="str">
        <f>IFERROR(IF(0=LEN(ReferenceData!$B$205),"",ReferenceData!$B$205),"")</f>
        <v>VTR US Equity</v>
      </c>
      <c r="C205" t="str">
        <f>IFERROR(IF(0=LEN(ReferenceData!$C$205),"",ReferenceData!$C$205),"")</f>
        <v>RR052</v>
      </c>
      <c r="D205" t="str">
        <f>IFERROR(IF(0=LEN(ReferenceData!$D$205),"",ReferenceData!$D$205),"")</f>
        <v>TOT_DEBT_TO_EBITDA</v>
      </c>
      <c r="E205" t="str">
        <f>IFERROR(IF(0=LEN(ReferenceData!$E$205),"",ReferenceData!$E$205),"")</f>
        <v>动态</v>
      </c>
      <c r="F205" t="str">
        <f ca="1">IFERROR(IF(0=LEN(ReferenceData!$F$205),"",ReferenceData!$F$205),"")</f>
        <v/>
      </c>
      <c r="G205">
        <f ca="1">IFERROR(IF(0=LEN(ReferenceData!$G$205),"",ReferenceData!$G$205),"")</f>
        <v>5.8074308539999997</v>
      </c>
      <c r="H205">
        <f ca="1">IFERROR(IF(0=LEN(ReferenceData!$H$205),"",ReferenceData!$H$205),"")</f>
        <v>5.9044787980000004</v>
      </c>
      <c r="I205">
        <f ca="1">IFERROR(IF(0=LEN(ReferenceData!$I$205),"",ReferenceData!$I$205),"")</f>
        <v>6.2578614799999999</v>
      </c>
      <c r="J205">
        <f ca="1">IFERROR(IF(0=LEN(ReferenceData!$J$205),"",ReferenceData!$J$205),"")</f>
        <v>6.3925540920000001</v>
      </c>
      <c r="K205">
        <f ca="1">IFERROR(IF(0=LEN(ReferenceData!$K$205),"",ReferenceData!$K$205),"")</f>
        <v>6.014969142</v>
      </c>
      <c r="L205">
        <f ca="1">IFERROR(IF(0=LEN(ReferenceData!$L$205),"",ReferenceData!$L$205),"")</f>
        <v>6.1565772570000004</v>
      </c>
      <c r="M205">
        <f ca="1">IFERROR(IF(0=LEN(ReferenceData!$M$205),"",ReferenceData!$M$205),"")</f>
        <v>6.1818295750000001</v>
      </c>
      <c r="N205">
        <f ca="1">IFERROR(IF(0=LEN(ReferenceData!$N$205),"",ReferenceData!$N$205),"")</f>
        <v>6.3911115509999998</v>
      </c>
      <c r="O205">
        <f ca="1">IFERROR(IF(0=LEN(ReferenceData!$O$205),"",ReferenceData!$O$205),"")</f>
        <v>6.497487274</v>
      </c>
      <c r="P205">
        <f ca="1">IFERROR(IF(0=LEN(ReferenceData!$P$205),"",ReferenceData!$P$205),"")</f>
        <v>6.7522055329999997</v>
      </c>
      <c r="Q205">
        <f ca="1">IFERROR(IF(0=LEN(ReferenceData!$Q$205),"",ReferenceData!$Q$205),"")</f>
        <v>6.9646979719999997</v>
      </c>
      <c r="R205">
        <f ca="1">IFERROR(IF(0=LEN(ReferenceData!$R$205),"",ReferenceData!$R$205),"")</f>
        <v>7.1551564140000004</v>
      </c>
      <c r="S205">
        <f ca="1">IFERROR(IF(0=LEN(ReferenceData!$S$205),"",ReferenceData!$S$205),"")</f>
        <v>6.7578849830000003</v>
      </c>
      <c r="T205">
        <f ca="1">IFERROR(IF(0=LEN(ReferenceData!$T$205),"",ReferenceData!$T$205),"")</f>
        <v>6.4857719009999997</v>
      </c>
      <c r="U205">
        <f ca="1">IFERROR(IF(0=LEN(ReferenceData!$U$205),"",ReferenceData!$U$205),"")</f>
        <v>5.8588503830000001</v>
      </c>
      <c r="V205">
        <f ca="1">IFERROR(IF(0=LEN(ReferenceData!$V$205),"",ReferenceData!$V$205),"")</f>
        <v>5.8554717270000003</v>
      </c>
      <c r="W205">
        <f ca="1">IFERROR(IF(0=LEN(ReferenceData!$W$205),"",ReferenceData!$W$205),"")</f>
        <v>5.8364460029999998</v>
      </c>
      <c r="X205">
        <f ca="1">IFERROR(IF(0=LEN(ReferenceData!$X$205),"",ReferenceData!$X$205),"")</f>
        <v>5.9919922750000003</v>
      </c>
      <c r="Y205">
        <f ca="1">IFERROR(IF(0=LEN(ReferenceData!$Y$205),"",ReferenceData!$Y$205),"")</f>
        <v>5.5004576050000002</v>
      </c>
      <c r="Z205">
        <f ca="1">IFERROR(IF(0=LEN(ReferenceData!$Z$205),"",ReferenceData!$Z$205),"")</f>
        <v>5.7128293560000003</v>
      </c>
      <c r="AA205">
        <f ca="1">IFERROR(IF(0=LEN(ReferenceData!$AA$205),"",ReferenceData!$AA$205),"")</f>
        <v>6.0911907139999997</v>
      </c>
      <c r="AB205">
        <f ca="1">IFERROR(IF(0=LEN(ReferenceData!$AB$205),"",ReferenceData!$AB$205),"")</f>
        <v>6.4788702479999998</v>
      </c>
      <c r="AC205">
        <f ca="1">IFERROR(IF(0=LEN(ReferenceData!$AC$205),"",ReferenceData!$AC$205),"")</f>
        <v>6.3642358789999998</v>
      </c>
      <c r="AD205">
        <f ca="1">IFERROR(IF(0=LEN(ReferenceData!$AD$205),"",ReferenceData!$AD$205),"")</f>
        <v>6.9351155819999999</v>
      </c>
      <c r="AE205">
        <f ca="1">IFERROR(IF(0=LEN(ReferenceData!$AE$205),"",ReferenceData!$AE$205),"")</f>
        <v>8.4228787930000006</v>
      </c>
      <c r="AF205">
        <f ca="1">IFERROR(IF(0=LEN(ReferenceData!$AF$205),"",ReferenceData!$AF$205),"")</f>
        <v>7.9512194200000001</v>
      </c>
      <c r="AG205">
        <f ca="1">IFERROR(IF(0=LEN(ReferenceData!$AG$205),"",ReferenceData!$AG$205),"")</f>
        <v>8.2043736299999992</v>
      </c>
      <c r="AH205">
        <f ca="1">IFERROR(IF(0=LEN(ReferenceData!$AH$205),"",ReferenceData!$AH$205),"")</f>
        <v>4.0994569910000003</v>
      </c>
      <c r="AI205">
        <f ca="1">IFERROR(IF(0=LEN(ReferenceData!$AI$205),"",ReferenceData!$AI$205),"")</f>
        <v>4.6684320579999996</v>
      </c>
      <c r="AJ205">
        <f ca="1">IFERROR(IF(0=LEN(ReferenceData!$AJ$205),"",ReferenceData!$AJ$205),"")</f>
        <v>4.7376492609999996</v>
      </c>
      <c r="AK205">
        <f ca="1">IFERROR(IF(0=LEN(ReferenceData!$AK$205),"",ReferenceData!$AK$205),"")</f>
        <v>4.2945508759999997</v>
      </c>
      <c r="AL205">
        <f ca="1">IFERROR(IF(0=LEN(ReferenceData!$AL$205),"",ReferenceData!$AL$205),"")</f>
        <v>4.5913029420000004</v>
      </c>
      <c r="AM205">
        <f ca="1">IFERROR(IF(0=LEN(ReferenceData!$AM$205),"",ReferenceData!$AM$205),"")</f>
        <v>4.6065292930000004</v>
      </c>
      <c r="AN205">
        <f ca="1">IFERROR(IF(0=LEN(ReferenceData!$AN$205),"",ReferenceData!$AN$205),"")</f>
        <v>3.455279354</v>
      </c>
      <c r="AO205">
        <f ca="1">IFERROR(IF(0=LEN(ReferenceData!$AO$205),"",ReferenceData!$AO$205),"")</f>
        <v>4.5159611010000003</v>
      </c>
      <c r="AP205">
        <f ca="1">IFERROR(IF(0=LEN(ReferenceData!$AP$205),"",ReferenceData!$AP$205),"")</f>
        <v>5.0606542179999998</v>
      </c>
      <c r="AQ205">
        <f ca="1">IFERROR(IF(0=LEN(ReferenceData!$AQ$205),"",ReferenceData!$AQ$205),"")</f>
        <v>5.3482283659999998</v>
      </c>
      <c r="AR205">
        <f ca="1">IFERROR(IF(0=LEN(ReferenceData!$AR$205),"",ReferenceData!$AR$205),"")</f>
        <v>7.8679387800000002</v>
      </c>
      <c r="AS205">
        <f ca="1">IFERROR(IF(0=LEN(ReferenceData!$AS$205),"",ReferenceData!$AS$205),"")</f>
        <v>5.6361143370000004</v>
      </c>
      <c r="AT205">
        <f ca="1">IFERROR(IF(0=LEN(ReferenceData!$AT$205),"",ReferenceData!$AT$205),"")</f>
        <v>5.5934004799999997</v>
      </c>
      <c r="AU205">
        <f ca="1">IFERROR(IF(0=LEN(ReferenceData!$AU$205),"",ReferenceData!$AU$205),"")</f>
        <v>6.3492134570000003</v>
      </c>
      <c r="AV205">
        <f ca="1">IFERROR(IF(0=LEN(ReferenceData!$AV$205),"",ReferenceData!$AV$205),"")</f>
        <v>6.5923015620000003</v>
      </c>
      <c r="AW205">
        <f ca="1">IFERROR(IF(0=LEN(ReferenceData!$AW$205),"",ReferenceData!$AW$205),"")</f>
        <v>7.3228780069999999</v>
      </c>
      <c r="AX205">
        <f ca="1">IFERROR(IF(0=LEN(ReferenceData!$AX$205),"",ReferenceData!$AX$205),"")</f>
        <v>5.8669032420000002</v>
      </c>
      <c r="AY205">
        <f ca="1">IFERROR(IF(0=LEN(ReferenceData!$AY$205),"",ReferenceData!$AY$205),"")</f>
        <v>6.0741916549999999</v>
      </c>
      <c r="AZ205">
        <f ca="1">IFERROR(IF(0=LEN(ReferenceData!$AZ$205),"",ReferenceData!$AZ$205),"")</f>
        <v>5.4712016569999999</v>
      </c>
      <c r="BA205">
        <f ca="1">IFERROR(IF(0=LEN(ReferenceData!$BA$205),"",ReferenceData!$BA$205),"")</f>
        <v>5.2286760790000004</v>
      </c>
      <c r="BB205">
        <f ca="1">IFERROR(IF(0=LEN(ReferenceData!$BB$205),"",ReferenceData!$BB$205),"")</f>
        <v>5.4936311770000001</v>
      </c>
      <c r="BC205">
        <f ca="1">IFERROR(IF(0=LEN(ReferenceData!$BC$205),"",ReferenceData!$BC$205),"")</f>
        <v>5.9013003680000002</v>
      </c>
      <c r="BD205">
        <f ca="1">IFERROR(IF(0=LEN(ReferenceData!$BD$205),"",ReferenceData!$BD$205),"")</f>
        <v>6.6077593749999997</v>
      </c>
      <c r="BE205">
        <f ca="1">IFERROR(IF(0=LEN(ReferenceData!$BE$205),"",ReferenceData!$BE$205),"")</f>
        <v>7.590482304</v>
      </c>
      <c r="BF205">
        <f ca="1">IFERROR(IF(0=LEN(ReferenceData!$BF$205),"",ReferenceData!$BF$205),"")</f>
        <v>3.8493070180000002</v>
      </c>
      <c r="BG205">
        <f ca="1">IFERROR(IF(0=LEN(ReferenceData!$BG$205),"",ReferenceData!$BG$205),"")</f>
        <v>3.855867639</v>
      </c>
      <c r="BH205" t="str">
        <f ca="1">IFERROR(IF(0=LEN(ReferenceData!$BH$205),"",ReferenceData!$BH$205),"")</f>
        <v/>
      </c>
      <c r="BI205">
        <f ca="1">IFERROR(IF(0=LEN(ReferenceData!$BI$205),"",ReferenceData!$BI$205),"")</f>
        <v>4.3408512000000004</v>
      </c>
      <c r="BJ205">
        <f ca="1">IFERROR(IF(0=LEN(ReferenceData!$BJ$205),"",ReferenceData!$BJ$205),"")</f>
        <v>4.2257630959999997</v>
      </c>
      <c r="BK205">
        <f ca="1">IFERROR(IF(0=LEN(ReferenceData!$BK$205),"",ReferenceData!$BK$205),"")</f>
        <v>3.5716548800000001</v>
      </c>
      <c r="BL205" t="str">
        <f ca="1">IFERROR(IF(0=LEN(ReferenceData!$BL$205),"",ReferenceData!$BL$205),"")</f>
        <v/>
      </c>
      <c r="BM205">
        <f ca="1">IFERROR(IF(0=LEN(ReferenceData!$BM$205),"",ReferenceData!$BM$205),"")</f>
        <v>4.1712134330000001</v>
      </c>
    </row>
    <row r="206" spans="1:65">
      <c r="A206" t="str">
        <f>IFERROR(IF(0=LEN(ReferenceData!$A$206),"",ReferenceData!$A$206),"")</f>
        <v xml:space="preserve">    Welltower Inc</v>
      </c>
      <c r="B206" t="str">
        <f>IFERROR(IF(0=LEN(ReferenceData!$B$206),"",ReferenceData!$B$206),"")</f>
        <v>HCN US Equity</v>
      </c>
      <c r="C206" t="str">
        <f>IFERROR(IF(0=LEN(ReferenceData!$C$206),"",ReferenceData!$C$206),"")</f>
        <v>RR052</v>
      </c>
      <c r="D206" t="str">
        <f>IFERROR(IF(0=LEN(ReferenceData!$D$206),"",ReferenceData!$D$206),"")</f>
        <v>TOT_DEBT_TO_EBITDA</v>
      </c>
      <c r="E206" t="str">
        <f>IFERROR(IF(0=LEN(ReferenceData!$E$206),"",ReferenceData!$E$206),"")</f>
        <v>动态</v>
      </c>
      <c r="F206" t="str">
        <f ca="1">IFERROR(IF(0=LEN(ReferenceData!$F$206),"",ReferenceData!$F$206),"")</f>
        <v/>
      </c>
      <c r="G206">
        <f ca="1">IFERROR(IF(0=LEN(ReferenceData!$G$206),"",ReferenceData!$G$206),"")</f>
        <v>6.7287521510000001</v>
      </c>
      <c r="H206">
        <f ca="1">IFERROR(IF(0=LEN(ReferenceData!$H$206),"",ReferenceData!$H$206),"")</f>
        <v>5.9177069590000002</v>
      </c>
      <c r="I206">
        <f ca="1">IFERROR(IF(0=LEN(ReferenceData!$I$206),"",ReferenceData!$I$206),"")</f>
        <v>5.5490087560000001</v>
      </c>
      <c r="J206">
        <f ca="1">IFERROR(IF(0=LEN(ReferenceData!$J$206),"",ReferenceData!$J$206),"")</f>
        <v>5.4104410280000002</v>
      </c>
      <c r="K206">
        <f ca="1">IFERROR(IF(0=LEN(ReferenceData!$K$206),"",ReferenceData!$K$206),"")</f>
        <v>5.7496870019999999</v>
      </c>
      <c r="L206">
        <f ca="1">IFERROR(IF(0=LEN(ReferenceData!$L$206),"",ReferenceData!$L$206),"")</f>
        <v>6.3365141190000003</v>
      </c>
      <c r="M206">
        <f ca="1">IFERROR(IF(0=LEN(ReferenceData!$M$206),"",ReferenceData!$M$206),"")</f>
        <v>6.1662698799999998</v>
      </c>
      <c r="N206">
        <f ca="1">IFERROR(IF(0=LEN(ReferenceData!$N$206),"",ReferenceData!$N$206),"")</f>
        <v>6.4277522349999998</v>
      </c>
      <c r="O206">
        <f ca="1">IFERROR(IF(0=LEN(ReferenceData!$O$206),"",ReferenceData!$O$206),"")</f>
        <v>6.7023461879999999</v>
      </c>
      <c r="P206">
        <f ca="1">IFERROR(IF(0=LEN(ReferenceData!$P$206),"",ReferenceData!$P$206),"")</f>
        <v>6.0559398680000003</v>
      </c>
      <c r="Q206">
        <f ca="1">IFERROR(IF(0=LEN(ReferenceData!$Q$206),"",ReferenceData!$Q$206),"")</f>
        <v>6.4279480019999999</v>
      </c>
      <c r="R206">
        <f ca="1">IFERROR(IF(0=LEN(ReferenceData!$R$206),"",ReferenceData!$R$206),"")</f>
        <v>6.3917767039999998</v>
      </c>
      <c r="S206">
        <f ca="1">IFERROR(IF(0=LEN(ReferenceData!$S$206),"",ReferenceData!$S$206),"")</f>
        <v>6.2721142040000002</v>
      </c>
      <c r="T206">
        <f ca="1">IFERROR(IF(0=LEN(ReferenceData!$T$206),"",ReferenceData!$T$206),"")</f>
        <v>5.4529363479999997</v>
      </c>
      <c r="U206">
        <f ca="1">IFERROR(IF(0=LEN(ReferenceData!$U$206),"",ReferenceData!$U$206),"")</f>
        <v>5.6243454240000004</v>
      </c>
      <c r="V206">
        <f ca="1">IFERROR(IF(0=LEN(ReferenceData!$V$206),"",ReferenceData!$V$206),"")</f>
        <v>6.1945903710000003</v>
      </c>
      <c r="W206">
        <f ca="1">IFERROR(IF(0=LEN(ReferenceData!$W$206),"",ReferenceData!$W$206),"")</f>
        <v>6.296268231</v>
      </c>
      <c r="X206">
        <f ca="1">IFERROR(IF(0=LEN(ReferenceData!$X$206),"",ReferenceData!$X$206),"")</f>
        <v>7.483247811</v>
      </c>
      <c r="Y206">
        <f ca="1">IFERROR(IF(0=LEN(ReferenceData!$Y$206),"",ReferenceData!$Y$206),"")</f>
        <v>7.5365242989999999</v>
      </c>
      <c r="Z206">
        <f ca="1">IFERROR(IF(0=LEN(ReferenceData!$Z$206),"",ReferenceData!$Z$206),"")</f>
        <v>8.4135098700000004</v>
      </c>
      <c r="AA206">
        <f ca="1">IFERROR(IF(0=LEN(ReferenceData!$AA$206),"",ReferenceData!$AA$206),"")</f>
        <v>7.8925766160000004</v>
      </c>
      <c r="AB206">
        <f ca="1">IFERROR(IF(0=LEN(ReferenceData!$AB$206),"",ReferenceData!$AB$206),"")</f>
        <v>7.1530806809999996</v>
      </c>
      <c r="AC206">
        <f ca="1">IFERROR(IF(0=LEN(ReferenceData!$AC$206),"",ReferenceData!$AC$206),"")</f>
        <v>7.6604426920000002</v>
      </c>
      <c r="AD206">
        <f ca="1">IFERROR(IF(0=LEN(ReferenceData!$AD$206),"",ReferenceData!$AD$206),"")</f>
        <v>6.9526012689999996</v>
      </c>
      <c r="AE206">
        <f ca="1">IFERROR(IF(0=LEN(ReferenceData!$AE$206),"",ReferenceData!$AE$206),"")</f>
        <v>8.4325004190000001</v>
      </c>
      <c r="AF206">
        <f ca="1">IFERROR(IF(0=LEN(ReferenceData!$AF$206),"",ReferenceData!$AF$206),"")</f>
        <v>9.0995938499999998</v>
      </c>
      <c r="AG206">
        <f ca="1">IFERROR(IF(0=LEN(ReferenceData!$AG$206),"",ReferenceData!$AG$206),"")</f>
        <v>10.82710539</v>
      </c>
      <c r="AH206">
        <f ca="1">IFERROR(IF(0=LEN(ReferenceData!$AH$206),"",ReferenceData!$AH$206),"")</f>
        <v>12.71758829</v>
      </c>
      <c r="AI206">
        <f ca="1">IFERROR(IF(0=LEN(ReferenceData!$AI$206),"",ReferenceData!$AI$206),"")</f>
        <v>9.6598453039999992</v>
      </c>
      <c r="AJ206">
        <f ca="1">IFERROR(IF(0=LEN(ReferenceData!$AJ$206),"",ReferenceData!$AJ$206),"")</f>
        <v>8.3054924860000003</v>
      </c>
      <c r="AK206">
        <f ca="1">IFERROR(IF(0=LEN(ReferenceData!$AK$206),"",ReferenceData!$AK$206),"")</f>
        <v>6.8615664689999996</v>
      </c>
      <c r="AL206">
        <f ca="1">IFERROR(IF(0=LEN(ReferenceData!$AL$206),"",ReferenceData!$AL$206),"")</f>
        <v>6.3276547860000001</v>
      </c>
      <c r="AM206">
        <f ca="1">IFERROR(IF(0=LEN(ReferenceData!$AM$206),"",ReferenceData!$AM$206),"")</f>
        <v>5.3728391430000002</v>
      </c>
      <c r="AN206">
        <f ca="1">IFERROR(IF(0=LEN(ReferenceData!$AN$206),"",ReferenceData!$AN$206),"")</f>
        <v>5.9018418820000003</v>
      </c>
      <c r="AO206">
        <f ca="1">IFERROR(IF(0=LEN(ReferenceData!$AO$206),"",ReferenceData!$AO$206),"")</f>
        <v>6.6726992520000001</v>
      </c>
      <c r="AP206">
        <f ca="1">IFERROR(IF(0=LEN(ReferenceData!$AP$206),"",ReferenceData!$AP$206),"")</f>
        <v>6.4181705090000003</v>
      </c>
      <c r="AQ206">
        <f ca="1">IFERROR(IF(0=LEN(ReferenceData!$AQ$206),"",ReferenceData!$AQ$206),"")</f>
        <v>7.1727705960000003</v>
      </c>
      <c r="AR206">
        <f ca="1">IFERROR(IF(0=LEN(ReferenceData!$AR$206),"",ReferenceData!$AR$206),"")</f>
        <v>5.9119757750000002</v>
      </c>
      <c r="AS206">
        <f ca="1">IFERROR(IF(0=LEN(ReferenceData!$AS$206),"",ReferenceData!$AS$206),"")</f>
        <v>7.0791993</v>
      </c>
      <c r="AT206">
        <f ca="1">IFERROR(IF(0=LEN(ReferenceData!$AT$206),"",ReferenceData!$AT$206),"")</f>
        <v>6.7033380149999999</v>
      </c>
      <c r="AU206">
        <f ca="1">IFERROR(IF(0=LEN(ReferenceData!$AU$206),"",ReferenceData!$AU$206),"")</f>
        <v>6.8010822720000004</v>
      </c>
      <c r="AV206">
        <f ca="1">IFERROR(IF(0=LEN(ReferenceData!$AV$206),"",ReferenceData!$AV$206),"")</f>
        <v>6.9409242940000002</v>
      </c>
      <c r="AW206">
        <f ca="1">IFERROR(IF(0=LEN(ReferenceData!$AW$206),"",ReferenceData!$AW$206),"")</f>
        <v>7.0827262580000001</v>
      </c>
      <c r="AX206">
        <f ca="1">IFERROR(IF(0=LEN(ReferenceData!$AX$206),"",ReferenceData!$AX$206),"")</f>
        <v>7.3431940009999996</v>
      </c>
      <c r="AY206">
        <f ca="1">IFERROR(IF(0=LEN(ReferenceData!$AY$206),"",ReferenceData!$AY$206),"")</f>
        <v>7.2934318579999999</v>
      </c>
      <c r="AZ206">
        <f ca="1">IFERROR(IF(0=LEN(ReferenceData!$AZ$206),"",ReferenceData!$AZ$206),"")</f>
        <v>5.4521100420000002</v>
      </c>
      <c r="BA206">
        <f ca="1">IFERROR(IF(0=LEN(ReferenceData!$BA$206),"",ReferenceData!$BA$206),"")</f>
        <v>5.1290625240000001</v>
      </c>
      <c r="BB206">
        <f ca="1">IFERROR(IF(0=LEN(ReferenceData!$BB$206),"",ReferenceData!$BB$206),"")</f>
        <v>5.4758422519999996</v>
      </c>
      <c r="BC206">
        <f ca="1">IFERROR(IF(0=LEN(ReferenceData!$BC$206),"",ReferenceData!$BC$206),"")</f>
        <v>5.594556109</v>
      </c>
      <c r="BD206">
        <f ca="1">IFERROR(IF(0=LEN(ReferenceData!$BD$206),"",ReferenceData!$BD$206),"")</f>
        <v>5.541290697</v>
      </c>
      <c r="BE206">
        <f ca="1">IFERROR(IF(0=LEN(ReferenceData!$BE$206),"",ReferenceData!$BE$206),"")</f>
        <v>5.7568939219999997</v>
      </c>
      <c r="BF206">
        <f ca="1">IFERROR(IF(0=LEN(ReferenceData!$BF$206),"",ReferenceData!$BF$206),"")</f>
        <v>5.2109429260000004</v>
      </c>
      <c r="BG206">
        <f ca="1">IFERROR(IF(0=LEN(ReferenceData!$BG$206),"",ReferenceData!$BG$206),"")</f>
        <v>5.2628797299999999</v>
      </c>
      <c r="BH206">
        <f ca="1">IFERROR(IF(0=LEN(ReferenceData!$BH$206),"",ReferenceData!$BH$206),"")</f>
        <v>4.7908345270000003</v>
      </c>
      <c r="BI206">
        <f ca="1">IFERROR(IF(0=LEN(ReferenceData!$BI$206),"",ReferenceData!$BI$206),"")</f>
        <v>4.6749741330000001</v>
      </c>
      <c r="BJ206">
        <f ca="1">IFERROR(IF(0=LEN(ReferenceData!$BJ$206),"",ReferenceData!$BJ$206),"")</f>
        <v>4.9735071120000001</v>
      </c>
      <c r="BK206">
        <f ca="1">IFERROR(IF(0=LEN(ReferenceData!$BK$206),"",ReferenceData!$BK$206),"")</f>
        <v>5.3767213509999996</v>
      </c>
      <c r="BL206">
        <f ca="1">IFERROR(IF(0=LEN(ReferenceData!$BL$206),"",ReferenceData!$BL$206),"")</f>
        <v>5.1149030450000001</v>
      </c>
      <c r="BM206">
        <f ca="1">IFERROR(IF(0=LEN(ReferenceData!$BM$206),"",ReferenceData!$BM$206),"")</f>
        <v>4.9403899219999996</v>
      </c>
    </row>
    <row r="207" spans="1:65">
      <c r="A207" t="str">
        <f>IFERROR(IF(0=LEN(ReferenceData!$A$207),"",ReferenceData!$A$207),"")</f>
        <v>现金与有价证券</v>
      </c>
      <c r="B207" t="str">
        <f>IFERROR(IF(0=LEN(ReferenceData!$B$207),"",ReferenceData!$B$207),"")</f>
        <v/>
      </c>
      <c r="C207" t="str">
        <f>IFERROR(IF(0=LEN(ReferenceData!$C$207),"",ReferenceData!$C$207),"")</f>
        <v/>
      </c>
      <c r="D207" t="str">
        <f>IFERROR(IF(0=LEN(ReferenceData!$D$207),"",ReferenceData!$D$207),"")</f>
        <v/>
      </c>
      <c r="E207" t="str">
        <f>IFERROR(IF(0=LEN(ReferenceData!$E$207),"",ReferenceData!$E$207),"")</f>
        <v>Median</v>
      </c>
      <c r="F207" t="str">
        <f ca="1">IFERROR(IF(0=LEN(ReferenceData!$F$207),"",ReferenceData!$F$207),"")</f>
        <v/>
      </c>
      <c r="G207">
        <f ca="1">IFERROR(IF(0=LEN(ReferenceData!$G$207),"",ReferenceData!$G$207),"")</f>
        <v>93.146500000000003</v>
      </c>
      <c r="H207">
        <f ca="1">IFERROR(IF(0=LEN(ReferenceData!$H$207),"",ReferenceData!$H$207),"")</f>
        <v>101.8125</v>
      </c>
      <c r="I207">
        <f ca="1">IFERROR(IF(0=LEN(ReferenceData!$I$207),"",ReferenceData!$I$207),"")</f>
        <v>91.444000000000003</v>
      </c>
      <c r="J207">
        <f ca="1">IFERROR(IF(0=LEN(ReferenceData!$J$207),"",ReferenceData!$J$207),"")</f>
        <v>40.348999999999997</v>
      </c>
      <c r="K207">
        <f ca="1">IFERROR(IF(0=LEN(ReferenceData!$K$207),"",ReferenceData!$K$207),"")</f>
        <v>83.24</v>
      </c>
      <c r="L207">
        <f ca="1">IFERROR(IF(0=LEN(ReferenceData!$L$207),"",ReferenceData!$L$207),"")</f>
        <v>40.773000000000003</v>
      </c>
      <c r="M207">
        <f ca="1">IFERROR(IF(0=LEN(ReferenceData!$M$207),"",ReferenceData!$M$207),"")</f>
        <v>57.322000000000003</v>
      </c>
      <c r="N207">
        <f ca="1">IFERROR(IF(0=LEN(ReferenceData!$N$207),"",ReferenceData!$N$207),"")</f>
        <v>39.198999999999998</v>
      </c>
      <c r="O207">
        <f ca="1">IFERROR(IF(0=LEN(ReferenceData!$O$207),"",ReferenceData!$O$207),"")</f>
        <v>37.655999999999999</v>
      </c>
      <c r="P207">
        <f ca="1">IFERROR(IF(0=LEN(ReferenceData!$P$207),"",ReferenceData!$P$207),"")</f>
        <v>61.408000000000001</v>
      </c>
      <c r="Q207">
        <f ca="1">IFERROR(IF(0=LEN(ReferenceData!$Q$207),"",ReferenceData!$Q$207),"")</f>
        <v>45.904000000000003</v>
      </c>
      <c r="R207">
        <f ca="1">IFERROR(IF(0=LEN(ReferenceData!$R$207),"",ReferenceData!$R$207),"")</f>
        <v>84.217500000000001</v>
      </c>
      <c r="S207">
        <f ca="1">IFERROR(IF(0=LEN(ReferenceData!$S$207),"",ReferenceData!$S$207),"")</f>
        <v>58.570499999999996</v>
      </c>
      <c r="T207">
        <f ca="1">IFERROR(IF(0=LEN(ReferenceData!$T$207),"",ReferenceData!$T$207),"")</f>
        <v>65.808999999999997</v>
      </c>
      <c r="U207">
        <f ca="1">IFERROR(IF(0=LEN(ReferenceData!$U$207),"",ReferenceData!$U$207),"")</f>
        <v>70.546499999999995</v>
      </c>
      <c r="V207">
        <f ca="1">IFERROR(IF(0=LEN(ReferenceData!$V$207),"",ReferenceData!$V$207),"")</f>
        <v>41.352499999999999</v>
      </c>
      <c r="W207">
        <f ca="1">IFERROR(IF(0=LEN(ReferenceData!$W$207),"",ReferenceData!$W$207),"")</f>
        <v>42.605999999999995</v>
      </c>
      <c r="X207">
        <f ca="1">IFERROR(IF(0=LEN(ReferenceData!$X$207),"",ReferenceData!$X$207),"")</f>
        <v>54.255499999999998</v>
      </c>
      <c r="Y207">
        <f ca="1">IFERROR(IF(0=LEN(ReferenceData!$Y$207),"",ReferenceData!$Y$207),"")</f>
        <v>57.767499999999998</v>
      </c>
      <c r="Z207">
        <f ca="1">IFERROR(IF(0=LEN(ReferenceData!$Z$207),"",ReferenceData!$Z$207),"")</f>
        <v>66.682500000000005</v>
      </c>
      <c r="AA207">
        <f ca="1">IFERROR(IF(0=LEN(ReferenceData!$AA$207),"",ReferenceData!$AA$207),"")</f>
        <v>39.846499999999999</v>
      </c>
      <c r="AB207">
        <f ca="1">IFERROR(IF(0=LEN(ReferenceData!$AB$207),"",ReferenceData!$AB$207),"")</f>
        <v>33.32</v>
      </c>
      <c r="AC207">
        <f ca="1">IFERROR(IF(0=LEN(ReferenceData!$AC$207),"",ReferenceData!$AC$207),"")</f>
        <v>38.39</v>
      </c>
      <c r="AD207">
        <f ca="1">IFERROR(IF(0=LEN(ReferenceData!$AD$207),"",ReferenceData!$AD$207),"")</f>
        <v>44.171999999999997</v>
      </c>
      <c r="AE207">
        <f ca="1">IFERROR(IF(0=LEN(ReferenceData!$AE$207),"",ReferenceData!$AE$207),"")</f>
        <v>44.028500000000001</v>
      </c>
      <c r="AF207">
        <f ca="1">IFERROR(IF(0=LEN(ReferenceData!$AF$207),"",ReferenceData!$AF$207),"")</f>
        <v>56.9495</v>
      </c>
      <c r="AG207">
        <f ca="1">IFERROR(IF(0=LEN(ReferenceData!$AG$207),"",ReferenceData!$AG$207),"")</f>
        <v>44.503500000000003</v>
      </c>
      <c r="AH207">
        <f ca="1">IFERROR(IF(0=LEN(ReferenceData!$AH$207),"",ReferenceData!$AH$207),"")</f>
        <v>60.047499999999999</v>
      </c>
      <c r="AI207">
        <f ca="1">IFERROR(IF(0=LEN(ReferenceData!$AI$207),"",ReferenceData!$AI$207),"")</f>
        <v>91.231999999999999</v>
      </c>
      <c r="AJ207">
        <f ca="1">IFERROR(IF(0=LEN(ReferenceData!$AJ$207),"",ReferenceData!$AJ$207),"")</f>
        <v>52.634999999999998</v>
      </c>
      <c r="AK207">
        <f ca="1">IFERROR(IF(0=LEN(ReferenceData!$AK$207),"",ReferenceData!$AK$207),"")</f>
        <v>55.423000000000002</v>
      </c>
      <c r="AL207">
        <f ca="1">IFERROR(IF(0=LEN(ReferenceData!$AL$207),"",ReferenceData!$AL$207),"")</f>
        <v>44.603999999999999</v>
      </c>
      <c r="AM207">
        <f ca="1">IFERROR(IF(0=LEN(ReferenceData!$AM$207),"",ReferenceData!$AM$207),"")</f>
        <v>25.391500000000001</v>
      </c>
      <c r="AN207">
        <f ca="1">IFERROR(IF(0=LEN(ReferenceData!$AN$207),"",ReferenceData!$AN$207),"")</f>
        <v>69.584499999999991</v>
      </c>
      <c r="AO207">
        <f ca="1">IFERROR(IF(0=LEN(ReferenceData!$AO$207),"",ReferenceData!$AO$207),"")</f>
        <v>27.222500000000004</v>
      </c>
      <c r="AP207">
        <f ca="1">IFERROR(IF(0=LEN(ReferenceData!$AP$207),"",ReferenceData!$AP$207),"")</f>
        <v>15.777999999999999</v>
      </c>
      <c r="AQ207">
        <f ca="1">IFERROR(IF(0=LEN(ReferenceData!$AQ$207),"",ReferenceData!$AQ$207),"")</f>
        <v>17.559000000000001</v>
      </c>
      <c r="AR207">
        <f ca="1">IFERROR(IF(0=LEN(ReferenceData!$AR$207),"",ReferenceData!$AR$207),"")</f>
        <v>12.5011475</v>
      </c>
      <c r="AS207">
        <f ca="1">IFERROR(IF(0=LEN(ReferenceData!$AS$207),"",ReferenceData!$AS$207),"")</f>
        <v>16.074999999999999</v>
      </c>
      <c r="AT207">
        <f ca="1">IFERROR(IF(0=LEN(ReferenceData!$AT$207),"",ReferenceData!$AT$207),"")</f>
        <v>21.674999999999997</v>
      </c>
      <c r="AU207">
        <f ca="1">IFERROR(IF(0=LEN(ReferenceData!$AU$207),"",ReferenceData!$AU$207),"")</f>
        <v>29.301499999999997</v>
      </c>
      <c r="AV207">
        <f ca="1">IFERROR(IF(0=LEN(ReferenceData!$AV$207),"",ReferenceData!$AV$207),"")</f>
        <v>13.45</v>
      </c>
      <c r="AW207">
        <f ca="1">IFERROR(IF(0=LEN(ReferenceData!$AW$207),"",ReferenceData!$AW$207),"")</f>
        <v>8.756456</v>
      </c>
      <c r="AX207">
        <f ca="1">IFERROR(IF(0=LEN(ReferenceData!$AX$207),"",ReferenceData!$AX$207),"")</f>
        <v>13.185</v>
      </c>
      <c r="AY207">
        <f ca="1">IFERROR(IF(0=LEN(ReferenceData!$AY$207),"",ReferenceData!$AY$207),"")</f>
        <v>3.5254364999999996</v>
      </c>
      <c r="AZ207">
        <f ca="1">IFERROR(IF(0=LEN(ReferenceData!$AZ$207),"",ReferenceData!$AZ$207),"")</f>
        <v>2.8410000000000002</v>
      </c>
      <c r="BA207">
        <f ca="1">IFERROR(IF(0=LEN(ReferenceData!$BA$207),"",ReferenceData!$BA$207),"")</f>
        <v>3.8629999999999995</v>
      </c>
      <c r="BB207">
        <f ca="1">IFERROR(IF(0=LEN(ReferenceData!$BB$207),"",ReferenceData!$BB$207),"")</f>
        <v>2.9009999999999998</v>
      </c>
      <c r="BC207">
        <f ca="1">IFERROR(IF(0=LEN(ReferenceData!$BC$207),"",ReferenceData!$BC$207),"")</f>
        <v>10.839499999999999</v>
      </c>
      <c r="BD207">
        <f ca="1">IFERROR(IF(0=LEN(ReferenceData!$BD$207),"",ReferenceData!$BD$207),"")</f>
        <v>5.5750000000000002</v>
      </c>
      <c r="BE207">
        <f ca="1">IFERROR(IF(0=LEN(ReferenceData!$BE$207),"",ReferenceData!$BE$207),"")</f>
        <v>4.7984998895000004</v>
      </c>
      <c r="BF207">
        <f ca="1">IFERROR(IF(0=LEN(ReferenceData!$BF$207),"",ReferenceData!$BF$207),"")</f>
        <v>8.1470000000000002</v>
      </c>
      <c r="BG207">
        <f ca="1">IFERROR(IF(0=LEN(ReferenceData!$BG$207),"",ReferenceData!$BG$207),"")</f>
        <v>3.4089999999999998</v>
      </c>
      <c r="BH207">
        <f ca="1">IFERROR(IF(0=LEN(ReferenceData!$BH$207),"",ReferenceData!$BH$207),"")</f>
        <v>4.0259999999999998</v>
      </c>
      <c r="BI207">
        <f ca="1">IFERROR(IF(0=LEN(ReferenceData!$BI$207),"",ReferenceData!$BI$207),"")</f>
        <v>4.8140001300000002</v>
      </c>
      <c r="BJ207">
        <f ca="1">IFERROR(IF(0=LEN(ReferenceData!$BJ$207),"",ReferenceData!$BJ$207),"")</f>
        <v>28.132000000000001</v>
      </c>
      <c r="BK207">
        <f ca="1">IFERROR(IF(0=LEN(ReferenceData!$BK$207),"",ReferenceData!$BK$207),"")</f>
        <v>4.9510000000000005</v>
      </c>
      <c r="BL207">
        <f ca="1">IFERROR(IF(0=LEN(ReferenceData!$BL$207),"",ReferenceData!$BL$207),"")</f>
        <v>6.0789999960000003</v>
      </c>
      <c r="BM207">
        <f ca="1">IFERROR(IF(0=LEN(ReferenceData!$BM$207),"",ReferenceData!$BM$207),"")</f>
        <v>7.9530000000000003</v>
      </c>
    </row>
    <row r="208" spans="1:65">
      <c r="A208" t="str">
        <f>IFERROR(IF(0=LEN(ReferenceData!$A$208),"",ReferenceData!$A$208),"")</f>
        <v xml:space="preserve">    Alexandria Real Estate Equitie</v>
      </c>
      <c r="B208" t="str">
        <f>IFERROR(IF(0=LEN(ReferenceData!$B$208),"",ReferenceData!$B$208),"")</f>
        <v>ARE US Equity</v>
      </c>
      <c r="C208" t="str">
        <f>IFERROR(IF(0=LEN(ReferenceData!$C$208),"",ReferenceData!$C$208),"")</f>
        <v>RR253</v>
      </c>
      <c r="D208" t="str">
        <f>IFERROR(IF(0=LEN(ReferenceData!$D$208),"",ReferenceData!$D$208),"")</f>
        <v>CASH_AND_MARKETABLE_SECURITIES</v>
      </c>
      <c r="E208" t="str">
        <f>IFERROR(IF(0=LEN(ReferenceData!$E$208),"",ReferenceData!$E$208),"")</f>
        <v>动态</v>
      </c>
      <c r="F208" t="str">
        <f ca="1">IFERROR(IF(0=LEN(ReferenceData!$F$208),"",ReferenceData!$F$208),"")</f>
        <v/>
      </c>
      <c r="G208">
        <f ca="1">IFERROR(IF(0=LEN(ReferenceData!$G$208),"",ReferenceData!$G$208),"")</f>
        <v>254.381</v>
      </c>
      <c r="H208">
        <f ca="1">IFERROR(IF(0=LEN(ReferenceData!$H$208),"",ReferenceData!$H$208),"")</f>
        <v>118.562</v>
      </c>
      <c r="I208">
        <f ca="1">IFERROR(IF(0=LEN(ReferenceData!$I$208),"",ReferenceData!$I$208),"")</f>
        <v>124.877</v>
      </c>
      <c r="J208">
        <f ca="1">IFERROR(IF(0=LEN(ReferenceData!$J$208),"",ReferenceData!$J$208),"")</f>
        <v>151.209</v>
      </c>
      <c r="K208">
        <f ca="1">IFERROR(IF(0=LEN(ReferenceData!$K$208),"",ReferenceData!$K$208),"")</f>
        <v>125.032</v>
      </c>
      <c r="L208">
        <f ca="1">IFERROR(IF(0=LEN(ReferenceData!$L$208),"",ReferenceData!$L$208),"")</f>
        <v>157.928</v>
      </c>
      <c r="M208">
        <f ca="1">IFERROR(IF(0=LEN(ReferenceData!$M$208),"",ReferenceData!$M$208),"")</f>
        <v>256</v>
      </c>
      <c r="N208">
        <f ca="1">IFERROR(IF(0=LEN(ReferenceData!$N$208),"",ReferenceData!$N$208),"")</f>
        <v>146.197</v>
      </c>
      <c r="O208">
        <f ca="1">IFERROR(IF(0=LEN(ReferenceData!$O$208),"",ReferenceData!$O$208),"")</f>
        <v>125.098</v>
      </c>
      <c r="P208">
        <f ca="1">IFERROR(IF(0=LEN(ReferenceData!$P$208),"",ReferenceData!$P$208),"")</f>
        <v>76.382999999999996</v>
      </c>
      <c r="Q208">
        <f ca="1">IFERROR(IF(0=LEN(ReferenceData!$Q$208),"",ReferenceData!$Q$208),"")</f>
        <v>68.617000000000004</v>
      </c>
      <c r="R208">
        <f ca="1">IFERROR(IF(0=LEN(ReferenceData!$R$208),"",ReferenceData!$R$208),"")</f>
        <v>90.641000000000005</v>
      </c>
      <c r="S208">
        <f ca="1">IFERROR(IF(0=LEN(ReferenceData!$S$208),"",ReferenceData!$S$208),"")</f>
        <v>86.010999999999996</v>
      </c>
      <c r="T208">
        <f ca="1">IFERROR(IF(0=LEN(ReferenceData!$T$208),"",ReferenceData!$T$208),"")</f>
        <v>67.022999999999996</v>
      </c>
      <c r="U208">
        <f ca="1">IFERROR(IF(0=LEN(ReferenceData!$U$208),"",ReferenceData!$U$208),"")</f>
        <v>61.701000000000001</v>
      </c>
      <c r="V208">
        <f ca="1">IFERROR(IF(0=LEN(ReferenceData!$V$208),"",ReferenceData!$V$208),"")</f>
        <v>74.97</v>
      </c>
      <c r="W208">
        <f ca="1">IFERROR(IF(0=LEN(ReferenceData!$W$208),"",ReferenceData!$W$208),"")</f>
        <v>57.695999999999998</v>
      </c>
      <c r="X208">
        <f ca="1">IFERROR(IF(0=LEN(ReferenceData!$X$208),"",ReferenceData!$X$208),"")</f>
        <v>53.838999999999999</v>
      </c>
      <c r="Y208">
        <f ca="1">IFERROR(IF(0=LEN(ReferenceData!$Y$208),"",ReferenceData!$Y$208),"")</f>
        <v>302.20499999999998</v>
      </c>
      <c r="Z208">
        <f ca="1">IFERROR(IF(0=LEN(ReferenceData!$Z$208),"",ReferenceData!$Z$208),"")</f>
        <v>87.001000000000005</v>
      </c>
      <c r="AA208">
        <f ca="1">IFERROR(IF(0=LEN(ReferenceData!$AA$208),"",ReferenceData!$AA$208),"")</f>
        <v>140.971</v>
      </c>
      <c r="AB208">
        <f ca="1">IFERROR(IF(0=LEN(ReferenceData!$AB$208),"",ReferenceData!$AB$208),"")</f>
        <v>94.903999999999996</v>
      </c>
      <c r="AC208">
        <f ca="1">IFERROR(IF(0=LEN(ReferenceData!$AC$208),"",ReferenceData!$AC$208),"")</f>
        <v>80.936999999999998</v>
      </c>
      <c r="AD208">
        <f ca="1">IFERROR(IF(0=LEN(ReferenceData!$AD$208),"",ReferenceData!$AD$208),"")</f>
        <v>77.361000000000004</v>
      </c>
      <c r="AE208">
        <f ca="1">IFERROR(IF(0=LEN(ReferenceData!$AE$208),"",ReferenceData!$AE$208),"")</f>
        <v>78.539000000000001</v>
      </c>
      <c r="AF208">
        <f ca="1">IFERROR(IF(0=LEN(ReferenceData!$AF$208),"",ReferenceData!$AF$208),"")</f>
        <v>73.055999999999997</v>
      </c>
      <c r="AG208">
        <f ca="1">IFERROR(IF(0=LEN(ReferenceData!$AG$208),"",ReferenceData!$AG$208),"")</f>
        <v>60.924999999999997</v>
      </c>
      <c r="AH208">
        <f ca="1">IFERROR(IF(0=LEN(ReferenceData!$AH$208),"",ReferenceData!$AH$208),"")</f>
        <v>78.195999999999998</v>
      </c>
      <c r="AI208">
        <f ca="1">IFERROR(IF(0=LEN(ReferenceData!$AI$208),"",ReferenceData!$AI$208),"")</f>
        <v>91.231999999999999</v>
      </c>
      <c r="AJ208">
        <f ca="1">IFERROR(IF(0=LEN(ReferenceData!$AJ$208),"",ReferenceData!$AJ$208),"")</f>
        <v>110.81100000000001</v>
      </c>
      <c r="AK208">
        <f ca="1">IFERROR(IF(0=LEN(ReferenceData!$AK$208),"",ReferenceData!$AK$208),"")</f>
        <v>73.254000000000005</v>
      </c>
      <c r="AL208">
        <f ca="1">IFERROR(IF(0=LEN(ReferenceData!$AL$208),"",ReferenceData!$AL$208),"")</f>
        <v>70.98</v>
      </c>
      <c r="AM208">
        <f ca="1">IFERROR(IF(0=LEN(ReferenceData!$AM$208),"",ReferenceData!$AM$208),"")</f>
        <v>70.628</v>
      </c>
      <c r="AN208">
        <f ca="1">IFERROR(IF(0=LEN(ReferenceData!$AN$208),"",ReferenceData!$AN$208),"")</f>
        <v>68.28</v>
      </c>
      <c r="AO208">
        <f ca="1">IFERROR(IF(0=LEN(ReferenceData!$AO$208),"",ReferenceData!$AO$208),"")</f>
        <v>70.313000000000002</v>
      </c>
      <c r="AP208">
        <f ca="1">IFERROR(IF(0=LEN(ReferenceData!$AP$208),"",ReferenceData!$AP$208),"")</f>
        <v>125.28100000000001</v>
      </c>
      <c r="AQ208">
        <f ca="1">IFERROR(IF(0=LEN(ReferenceData!$AQ$208),"",ReferenceData!$AQ$208),"")</f>
        <v>71.161000000000001</v>
      </c>
      <c r="AR208">
        <f ca="1">IFERROR(IF(0=LEN(ReferenceData!$AR$208),"",ReferenceData!$AR$208),"")</f>
        <v>15.391</v>
      </c>
      <c r="AS208">
        <f ca="1">IFERROR(IF(0=LEN(ReferenceData!$AS$208),"",ReferenceData!$AS$208),"")</f>
        <v>7.0720000000000001</v>
      </c>
      <c r="AT208">
        <f ca="1">IFERROR(IF(0=LEN(ReferenceData!$AT$208),"",ReferenceData!$AT$208),"")</f>
        <v>7.6539999999999999</v>
      </c>
      <c r="AU208">
        <f ca="1">IFERROR(IF(0=LEN(ReferenceData!$AU$208),"",ReferenceData!$AU$208),"")</f>
        <v>8.0299999999999994</v>
      </c>
      <c r="AV208">
        <f ca="1">IFERROR(IF(0=LEN(ReferenceData!$AV$208),"",ReferenceData!$AV$208),"")</f>
        <v>10.78</v>
      </c>
      <c r="AW208">
        <f ca="1">IFERROR(IF(0=LEN(ReferenceData!$AW$208),"",ReferenceData!$AW$208),"")</f>
        <v>7.0170000000000003</v>
      </c>
      <c r="AX208">
        <f ca="1">IFERROR(IF(0=LEN(ReferenceData!$AX$208),"",ReferenceData!$AX$208),"")</f>
        <v>9.0120000000000005</v>
      </c>
      <c r="AY208">
        <f ca="1">IFERROR(IF(0=LEN(ReferenceData!$AY$208),"",ReferenceData!$AY$208),"")</f>
        <v>2.948</v>
      </c>
      <c r="AZ208">
        <f ca="1">IFERROR(IF(0=LEN(ReferenceData!$AZ$208),"",ReferenceData!$AZ$208),"")</f>
        <v>7.8209999999999997</v>
      </c>
      <c r="BA208">
        <f ca="1">IFERROR(IF(0=LEN(ReferenceData!$BA$208),"",ReferenceData!$BA$208),"")</f>
        <v>3.6469999999999998</v>
      </c>
      <c r="BB208">
        <f ca="1">IFERROR(IF(0=LEN(ReferenceData!$BB$208),"",ReferenceData!$BB$208),"")</f>
        <v>3.43</v>
      </c>
      <c r="BC208">
        <f ca="1">IFERROR(IF(0=LEN(ReferenceData!$BC$208),"",ReferenceData!$BC$208),"")</f>
        <v>3.911</v>
      </c>
      <c r="BD208">
        <f ca="1">IFERROR(IF(0=LEN(ReferenceData!$BD$208),"",ReferenceData!$BD$208),"")</f>
        <v>4.5510000000000002</v>
      </c>
      <c r="BE208">
        <f ca="1">IFERROR(IF(0=LEN(ReferenceData!$BE$208),"",ReferenceData!$BE$208),"")</f>
        <v>2.39</v>
      </c>
      <c r="BF208">
        <f ca="1">IFERROR(IF(0=LEN(ReferenceData!$BF$208),"",ReferenceData!$BF$208),"")</f>
        <v>3.77</v>
      </c>
      <c r="BG208">
        <f ca="1">IFERROR(IF(0=LEN(ReferenceData!$BG$208),"",ReferenceData!$BG$208),"")</f>
        <v>3.1579999999999999</v>
      </c>
      <c r="BH208">
        <f ca="1">IFERROR(IF(0=LEN(ReferenceData!$BH$208),"",ReferenceData!$BH$208),"")</f>
        <v>5.33</v>
      </c>
      <c r="BI208">
        <f ca="1">IFERROR(IF(0=LEN(ReferenceData!$BI$208),"",ReferenceData!$BI$208),"")</f>
        <v>3.03</v>
      </c>
      <c r="BJ208">
        <f ca="1">IFERROR(IF(0=LEN(ReferenceData!$BJ$208),"",ReferenceData!$BJ$208),"")</f>
        <v>4.3559999999999999</v>
      </c>
      <c r="BK208">
        <f ca="1">IFERROR(IF(0=LEN(ReferenceData!$BK$208),"",ReferenceData!$BK$208),"")</f>
        <v>4.9850000000000003</v>
      </c>
      <c r="BL208">
        <f ca="1">IFERROR(IF(0=LEN(ReferenceData!$BL$208),"",ReferenceData!$BL$208),"")</f>
        <v>3.2250000000000001</v>
      </c>
      <c r="BM208">
        <f ca="1">IFERROR(IF(0=LEN(ReferenceData!$BM$208),"",ReferenceData!$BM$208),"")</f>
        <v>3.9980000000000002</v>
      </c>
    </row>
    <row r="209" spans="1:65">
      <c r="A209" t="str">
        <f>IFERROR(IF(0=LEN(ReferenceData!$A$209),"",ReferenceData!$A$209),"")</f>
        <v xml:space="preserve">    Care Capital Properties Inc</v>
      </c>
      <c r="B209" t="str">
        <f>IFERROR(IF(0=LEN(ReferenceData!$B$209),"",ReferenceData!$B$209),"")</f>
        <v>CCP US Equity</v>
      </c>
      <c r="C209" t="str">
        <f>IFERROR(IF(0=LEN(ReferenceData!$C$209),"",ReferenceData!$C$209),"")</f>
        <v>RR253</v>
      </c>
      <c r="D209" t="str">
        <f>IFERROR(IF(0=LEN(ReferenceData!$D$209),"",ReferenceData!$D$209),"")</f>
        <v>CASH_AND_MARKETABLE_SECURITIES</v>
      </c>
      <c r="E209" t="str">
        <f>IFERROR(IF(0=LEN(ReferenceData!$E$209),"",ReferenceData!$E$209),"")</f>
        <v>动态</v>
      </c>
      <c r="F209" t="str">
        <f ca="1">IFERROR(IF(0=LEN(ReferenceData!$F$209),"",ReferenceData!$F$209),"")</f>
        <v/>
      </c>
      <c r="G209" t="str">
        <f ca="1">IFERROR(IF(0=LEN(ReferenceData!$G$209),"",ReferenceData!$G$209),"")</f>
        <v/>
      </c>
      <c r="H209" t="str">
        <f ca="1">IFERROR(IF(0=LEN(ReferenceData!$H$209),"",ReferenceData!$H$209),"")</f>
        <v/>
      </c>
      <c r="I209">
        <f ca="1">IFERROR(IF(0=LEN(ReferenceData!$I$209),"",ReferenceData!$I$209),"")</f>
        <v>12.093999999999999</v>
      </c>
      <c r="J209">
        <f ca="1">IFERROR(IF(0=LEN(ReferenceData!$J$209),"",ReferenceData!$J$209),"")</f>
        <v>17.890999999999998</v>
      </c>
      <c r="K209">
        <f ca="1">IFERROR(IF(0=LEN(ReferenceData!$K$209),"",ReferenceData!$K$209),"")</f>
        <v>15.813000000000001</v>
      </c>
      <c r="L209">
        <f ca="1">IFERROR(IF(0=LEN(ReferenceData!$L$209),"",ReferenceData!$L$209),"")</f>
        <v>22.477</v>
      </c>
      <c r="M209">
        <f ca="1">IFERROR(IF(0=LEN(ReferenceData!$M$209),"",ReferenceData!$M$209),"")</f>
        <v>12.914</v>
      </c>
      <c r="N209">
        <f ca="1">IFERROR(IF(0=LEN(ReferenceData!$N$209),"",ReferenceData!$N$209),"")</f>
        <v>12.548</v>
      </c>
      <c r="O209">
        <f ca="1">IFERROR(IF(0=LEN(ReferenceData!$O$209),"",ReferenceData!$O$209),"")</f>
        <v>16.995000000000001</v>
      </c>
      <c r="P209">
        <f ca="1">IFERROR(IF(0=LEN(ReferenceData!$P$209),"",ReferenceData!$P$209),"")</f>
        <v>10.444000000000001</v>
      </c>
      <c r="Q209">
        <f ca="1">IFERROR(IF(0=LEN(ReferenceData!$Q$209),"",ReferenceData!$Q$209),"")</f>
        <v>1.4970000000000001</v>
      </c>
      <c r="R209" t="str">
        <f ca="1">IFERROR(IF(0=LEN(ReferenceData!$R$209),"",ReferenceData!$R$209),"")</f>
        <v/>
      </c>
      <c r="S209" t="str">
        <f ca="1">IFERROR(IF(0=LEN(ReferenceData!$S$209),"",ReferenceData!$S$209),"")</f>
        <v/>
      </c>
      <c r="T209" t="str">
        <f ca="1">IFERROR(IF(0=LEN(ReferenceData!$T$209),"",ReferenceData!$T$209),"")</f>
        <v/>
      </c>
      <c r="U209" t="str">
        <f ca="1">IFERROR(IF(0=LEN(ReferenceData!$U$209),"",ReferenceData!$U$209),"")</f>
        <v/>
      </c>
      <c r="V209" t="str">
        <f ca="1">IFERROR(IF(0=LEN(ReferenceData!$V$209),"",ReferenceData!$V$209),"")</f>
        <v/>
      </c>
      <c r="W209" t="str">
        <f ca="1">IFERROR(IF(0=LEN(ReferenceData!$W$209),"",ReferenceData!$W$209),"")</f>
        <v/>
      </c>
      <c r="X209" t="str">
        <f ca="1">IFERROR(IF(0=LEN(ReferenceData!$X$209),"",ReferenceData!$X$209),"")</f>
        <v/>
      </c>
      <c r="Y209" t="str">
        <f ca="1">IFERROR(IF(0=LEN(ReferenceData!$Y$209),"",ReferenceData!$Y$209),"")</f>
        <v/>
      </c>
      <c r="Z209" t="str">
        <f ca="1">IFERROR(IF(0=LEN(ReferenceData!$Z$209),"",ReferenceData!$Z$209),"")</f>
        <v/>
      </c>
      <c r="AA209" t="str">
        <f ca="1">IFERROR(IF(0=LEN(ReferenceData!$AA$209),"",ReferenceData!$AA$209),"")</f>
        <v/>
      </c>
      <c r="AB209" t="str">
        <f ca="1">IFERROR(IF(0=LEN(ReferenceData!$AB$209),"",ReferenceData!$AB$209),"")</f>
        <v/>
      </c>
      <c r="AC209" t="str">
        <f ca="1">IFERROR(IF(0=LEN(ReferenceData!$AC$209),"",ReferenceData!$AC$209),"")</f>
        <v/>
      </c>
      <c r="AD209" t="str">
        <f ca="1">IFERROR(IF(0=LEN(ReferenceData!$AD$209),"",ReferenceData!$AD$209),"")</f>
        <v/>
      </c>
      <c r="AE209" t="str">
        <f ca="1">IFERROR(IF(0=LEN(ReferenceData!$AE$209),"",ReferenceData!$AE$209),"")</f>
        <v/>
      </c>
      <c r="AF209" t="str">
        <f ca="1">IFERROR(IF(0=LEN(ReferenceData!$AF$209),"",ReferenceData!$AF$209),"")</f>
        <v/>
      </c>
      <c r="AG209" t="str">
        <f ca="1">IFERROR(IF(0=LEN(ReferenceData!$AG$209),"",ReferenceData!$AG$209),"")</f>
        <v/>
      </c>
      <c r="AH209" t="str">
        <f ca="1">IFERROR(IF(0=LEN(ReferenceData!$AH$209),"",ReferenceData!$AH$209),"")</f>
        <v/>
      </c>
      <c r="AI209" t="str">
        <f ca="1">IFERROR(IF(0=LEN(ReferenceData!$AI$209),"",ReferenceData!$AI$209),"")</f>
        <v/>
      </c>
      <c r="AJ209" t="str">
        <f ca="1">IFERROR(IF(0=LEN(ReferenceData!$AJ$209),"",ReferenceData!$AJ$209),"")</f>
        <v/>
      </c>
      <c r="AK209" t="str">
        <f ca="1">IFERROR(IF(0=LEN(ReferenceData!$AK$209),"",ReferenceData!$AK$209),"")</f>
        <v/>
      </c>
      <c r="AL209" t="str">
        <f ca="1">IFERROR(IF(0=LEN(ReferenceData!$AL$209),"",ReferenceData!$AL$209),"")</f>
        <v/>
      </c>
      <c r="AM209" t="str">
        <f ca="1">IFERROR(IF(0=LEN(ReferenceData!$AM$209),"",ReferenceData!$AM$209),"")</f>
        <v/>
      </c>
      <c r="AN209" t="str">
        <f ca="1">IFERROR(IF(0=LEN(ReferenceData!$AN$209),"",ReferenceData!$AN$209),"")</f>
        <v/>
      </c>
      <c r="AO209" t="str">
        <f ca="1">IFERROR(IF(0=LEN(ReferenceData!$AO$209),"",ReferenceData!$AO$209),"")</f>
        <v/>
      </c>
      <c r="AP209" t="str">
        <f ca="1">IFERROR(IF(0=LEN(ReferenceData!$AP$209),"",ReferenceData!$AP$209),"")</f>
        <v/>
      </c>
      <c r="AQ209" t="str">
        <f ca="1">IFERROR(IF(0=LEN(ReferenceData!$AQ$209),"",ReferenceData!$AQ$209),"")</f>
        <v/>
      </c>
      <c r="AR209" t="str">
        <f ca="1">IFERROR(IF(0=LEN(ReferenceData!$AR$209),"",ReferenceData!$AR$209),"")</f>
        <v/>
      </c>
      <c r="AS209" t="str">
        <f ca="1">IFERROR(IF(0=LEN(ReferenceData!$AS$209),"",ReferenceData!$AS$209),"")</f>
        <v/>
      </c>
      <c r="AT209" t="str">
        <f ca="1">IFERROR(IF(0=LEN(ReferenceData!$AT$209),"",ReferenceData!$AT$209),"")</f>
        <v/>
      </c>
      <c r="AU209" t="str">
        <f ca="1">IFERROR(IF(0=LEN(ReferenceData!$AU$209),"",ReferenceData!$AU$209),"")</f>
        <v/>
      </c>
      <c r="AV209" t="str">
        <f ca="1">IFERROR(IF(0=LEN(ReferenceData!$AV$209),"",ReferenceData!$AV$209),"")</f>
        <v/>
      </c>
      <c r="AW209" t="str">
        <f ca="1">IFERROR(IF(0=LEN(ReferenceData!$AW$209),"",ReferenceData!$AW$209),"")</f>
        <v/>
      </c>
      <c r="AX209" t="str">
        <f ca="1">IFERROR(IF(0=LEN(ReferenceData!$AX$209),"",ReferenceData!$AX$209),"")</f>
        <v/>
      </c>
      <c r="AY209" t="str">
        <f ca="1">IFERROR(IF(0=LEN(ReferenceData!$AY$209),"",ReferenceData!$AY$209),"")</f>
        <v/>
      </c>
      <c r="AZ209" t="str">
        <f ca="1">IFERROR(IF(0=LEN(ReferenceData!$AZ$209),"",ReferenceData!$AZ$209),"")</f>
        <v/>
      </c>
      <c r="BA209" t="str">
        <f ca="1">IFERROR(IF(0=LEN(ReferenceData!$BA$209),"",ReferenceData!$BA$209),"")</f>
        <v/>
      </c>
      <c r="BB209" t="str">
        <f ca="1">IFERROR(IF(0=LEN(ReferenceData!$BB$209),"",ReferenceData!$BB$209),"")</f>
        <v/>
      </c>
      <c r="BC209" t="str">
        <f ca="1">IFERROR(IF(0=LEN(ReferenceData!$BC$209),"",ReferenceData!$BC$209),"")</f>
        <v/>
      </c>
      <c r="BD209" t="str">
        <f ca="1">IFERROR(IF(0=LEN(ReferenceData!$BD$209),"",ReferenceData!$BD$209),"")</f>
        <v/>
      </c>
      <c r="BE209" t="str">
        <f ca="1">IFERROR(IF(0=LEN(ReferenceData!$BE$209),"",ReferenceData!$BE$209),"")</f>
        <v/>
      </c>
      <c r="BF209" t="str">
        <f ca="1">IFERROR(IF(0=LEN(ReferenceData!$BF$209),"",ReferenceData!$BF$209),"")</f>
        <v/>
      </c>
      <c r="BG209" t="str">
        <f ca="1">IFERROR(IF(0=LEN(ReferenceData!$BG$209),"",ReferenceData!$BG$209),"")</f>
        <v/>
      </c>
      <c r="BH209" t="str">
        <f ca="1">IFERROR(IF(0=LEN(ReferenceData!$BH$209),"",ReferenceData!$BH$209),"")</f>
        <v/>
      </c>
      <c r="BI209" t="str">
        <f ca="1">IFERROR(IF(0=LEN(ReferenceData!$BI$209),"",ReferenceData!$BI$209),"")</f>
        <v/>
      </c>
      <c r="BJ209" t="str">
        <f ca="1">IFERROR(IF(0=LEN(ReferenceData!$BJ$209),"",ReferenceData!$BJ$209),"")</f>
        <v/>
      </c>
      <c r="BK209" t="str">
        <f ca="1">IFERROR(IF(0=LEN(ReferenceData!$BK$209),"",ReferenceData!$BK$209),"")</f>
        <v/>
      </c>
      <c r="BL209" t="str">
        <f ca="1">IFERROR(IF(0=LEN(ReferenceData!$BL$209),"",ReferenceData!$BL$209),"")</f>
        <v/>
      </c>
      <c r="BM209" t="str">
        <f ca="1">IFERROR(IF(0=LEN(ReferenceData!$BM$209),"",ReferenceData!$BM$209),"")</f>
        <v/>
      </c>
    </row>
    <row r="210" spans="1:65">
      <c r="A210" t="str">
        <f>IFERROR(IF(0=LEN(ReferenceData!$A$210),"",ReferenceData!$A$210),"")</f>
        <v xml:space="preserve">    HCP Inc</v>
      </c>
      <c r="B210" t="str">
        <f>IFERROR(IF(0=LEN(ReferenceData!$B$210),"",ReferenceData!$B$210),"")</f>
        <v>HCP US Equity</v>
      </c>
      <c r="C210" t="str">
        <f>IFERROR(IF(0=LEN(ReferenceData!$C$210),"",ReferenceData!$C$210),"")</f>
        <v>RR253</v>
      </c>
      <c r="D210" t="str">
        <f>IFERROR(IF(0=LEN(ReferenceData!$D$210),"",ReferenceData!$D$210),"")</f>
        <v>CASH_AND_MARKETABLE_SECURITIES</v>
      </c>
      <c r="E210" t="str">
        <f>IFERROR(IF(0=LEN(ReferenceData!$E$210),"",ReferenceData!$E$210),"")</f>
        <v>动态</v>
      </c>
      <c r="F210" t="str">
        <f ca="1">IFERROR(IF(0=LEN(ReferenceData!$F$210),"",ReferenceData!$F$210),"")</f>
        <v/>
      </c>
      <c r="G210">
        <f ca="1">IFERROR(IF(0=LEN(ReferenceData!$G$210),"",ReferenceData!$G$210),"")</f>
        <v>55.305999999999997</v>
      </c>
      <c r="H210">
        <f ca="1">IFERROR(IF(0=LEN(ReferenceData!$H$210),"",ReferenceData!$H$210),"")</f>
        <v>133.887</v>
      </c>
      <c r="I210">
        <f ca="1">IFERROR(IF(0=LEN(ReferenceData!$I$210),"",ReferenceData!$I$210),"")</f>
        <v>391.96499999999997</v>
      </c>
      <c r="J210">
        <f ca="1">IFERROR(IF(0=LEN(ReferenceData!$J$210),"",ReferenceData!$J$210),"")</f>
        <v>764.11400000000003</v>
      </c>
      <c r="K210">
        <f ca="1">IFERROR(IF(0=LEN(ReferenceData!$K$210),"",ReferenceData!$K$210),"")</f>
        <v>94.73</v>
      </c>
      <c r="L210">
        <f ca="1">IFERROR(IF(0=LEN(ReferenceData!$L$210),"",ReferenceData!$L$210),"")</f>
        <v>132.89099999999999</v>
      </c>
      <c r="M210">
        <f ca="1">IFERROR(IF(0=LEN(ReferenceData!$M$210),"",ReferenceData!$M$210),"")</f>
        <v>116.45</v>
      </c>
      <c r="N210">
        <f ca="1">IFERROR(IF(0=LEN(ReferenceData!$N$210),"",ReferenceData!$N$210),"")</f>
        <v>94.665000000000006</v>
      </c>
      <c r="O210">
        <f ca="1">IFERROR(IF(0=LEN(ReferenceData!$O$210),"",ReferenceData!$O$210),"")</f>
        <v>340.44200000000001</v>
      </c>
      <c r="P210">
        <f ca="1">IFERROR(IF(0=LEN(ReferenceData!$P$210),"",ReferenceData!$P$210),"")</f>
        <v>120.498</v>
      </c>
      <c r="Q210">
        <f ca="1">IFERROR(IF(0=LEN(ReferenceData!$Q$210),"",ReferenceData!$Q$210),"")</f>
        <v>115.77</v>
      </c>
      <c r="R210">
        <f ca="1">IFERROR(IF(0=LEN(ReferenceData!$R$210),"",ReferenceData!$R$210),"")</f>
        <v>137.16999999999999</v>
      </c>
      <c r="S210">
        <f ca="1">IFERROR(IF(0=LEN(ReferenceData!$S$210),"",ReferenceData!$S$210),"")</f>
        <v>183.81</v>
      </c>
      <c r="T210">
        <f ca="1">IFERROR(IF(0=LEN(ReferenceData!$T$210),"",ReferenceData!$T$210),"")</f>
        <v>83.531000000000006</v>
      </c>
      <c r="U210">
        <f ca="1">IFERROR(IF(0=LEN(ReferenceData!$U$210),"",ReferenceData!$U$210),"")</f>
        <v>54.07</v>
      </c>
      <c r="V210">
        <f ca="1">IFERROR(IF(0=LEN(ReferenceData!$V$210),"",ReferenceData!$V$210),"")</f>
        <v>49.738</v>
      </c>
      <c r="W210">
        <f ca="1">IFERROR(IF(0=LEN(ReferenceData!$W$210),"",ReferenceData!$W$210),"")</f>
        <v>300.55599999999998</v>
      </c>
      <c r="X210">
        <f ca="1">IFERROR(IF(0=LEN(ReferenceData!$X$210),"",ReferenceData!$X$210),"")</f>
        <v>49.414000000000001</v>
      </c>
      <c r="Y210">
        <f ca="1">IFERROR(IF(0=LEN(ReferenceData!$Y$210),"",ReferenceData!$Y$210),"")</f>
        <v>53.113999999999997</v>
      </c>
      <c r="Z210">
        <f ca="1">IFERROR(IF(0=LEN(ReferenceData!$Z$210),"",ReferenceData!$Z$210),"")</f>
        <v>47.546999999999997</v>
      </c>
      <c r="AA210">
        <f ca="1">IFERROR(IF(0=LEN(ReferenceData!$AA$210),"",ReferenceData!$AA$210),"")</f>
        <v>247.673</v>
      </c>
      <c r="AB210">
        <f ca="1">IFERROR(IF(0=LEN(ReferenceData!$AB$210),"",ReferenceData!$AB$210),"")</f>
        <v>96.475999999999999</v>
      </c>
      <c r="AC210">
        <f ca="1">IFERROR(IF(0=LEN(ReferenceData!$AC$210),"",ReferenceData!$AC$210),"")</f>
        <v>169.636</v>
      </c>
      <c r="AD210">
        <f ca="1">IFERROR(IF(0=LEN(ReferenceData!$AD$210),"",ReferenceData!$AD$210),"")</f>
        <v>347.42500000000001</v>
      </c>
      <c r="AE210">
        <f ca="1">IFERROR(IF(0=LEN(ReferenceData!$AE$210),"",ReferenceData!$AE$210),"")</f>
        <v>33.506</v>
      </c>
      <c r="AF210">
        <f ca="1">IFERROR(IF(0=LEN(ReferenceData!$AF$210),"",ReferenceData!$AF$210),"")</f>
        <v>44.86</v>
      </c>
      <c r="AG210">
        <f ca="1">IFERROR(IF(0=LEN(ReferenceData!$AG$210),"",ReferenceData!$AG$210),"")</f>
        <v>276.20499999999998</v>
      </c>
      <c r="AH210">
        <f ca="1">IFERROR(IF(0=LEN(ReferenceData!$AH$210),"",ReferenceData!$AH$210),"")</f>
        <v>3988.6219999999998</v>
      </c>
      <c r="AI210">
        <f ca="1">IFERROR(IF(0=LEN(ReferenceData!$AI$210),"",ReferenceData!$AI$210),"")</f>
        <v>1036.701</v>
      </c>
      <c r="AJ210">
        <f ca="1">IFERROR(IF(0=LEN(ReferenceData!$AJ$210),"",ReferenceData!$AJ$210),"")</f>
        <v>52.634999999999998</v>
      </c>
      <c r="AK210">
        <f ca="1">IFERROR(IF(0=LEN(ReferenceData!$AK$210),"",ReferenceData!$AK$210),"")</f>
        <v>96.26</v>
      </c>
      <c r="AL210">
        <f ca="1">IFERROR(IF(0=LEN(ReferenceData!$AL$210),"",ReferenceData!$AL$210),"")</f>
        <v>44.603999999999999</v>
      </c>
      <c r="AM210">
        <f ca="1">IFERROR(IF(0=LEN(ReferenceData!$AM$210),"",ReferenceData!$AM$210),"")</f>
        <v>112.259</v>
      </c>
      <c r="AN210">
        <f ca="1">IFERROR(IF(0=LEN(ReferenceData!$AN$210),"",ReferenceData!$AN$210),"")</f>
        <v>144.36600000000001</v>
      </c>
      <c r="AO210">
        <f ca="1">IFERROR(IF(0=LEN(ReferenceData!$AO$210),"",ReferenceData!$AO$210),"")</f>
        <v>49.484000000000002</v>
      </c>
      <c r="AP210">
        <f ca="1">IFERROR(IF(0=LEN(ReferenceData!$AP$210),"",ReferenceData!$AP$210),"")</f>
        <v>66.376000000000005</v>
      </c>
      <c r="AQ210">
        <f ca="1">IFERROR(IF(0=LEN(ReferenceData!$AQ$210),"",ReferenceData!$AQ$210),"")</f>
        <v>57.561999999999998</v>
      </c>
      <c r="AR210">
        <f ca="1">IFERROR(IF(0=LEN(ReferenceData!$AR$210),"",ReferenceData!$AR$210),"")</f>
        <v>117.05200000000001</v>
      </c>
      <c r="AS210">
        <f ca="1">IFERROR(IF(0=LEN(ReferenceData!$AS$210),"",ReferenceData!$AS$210),"")</f>
        <v>216.78899999999999</v>
      </c>
      <c r="AT210">
        <f ca="1">IFERROR(IF(0=LEN(ReferenceData!$AT$210),"",ReferenceData!$AT$210),"")</f>
        <v>154</v>
      </c>
      <c r="AU210">
        <f ca="1">IFERROR(IF(0=LEN(ReferenceData!$AU$210),"",ReferenceData!$AU$210),"")</f>
        <v>96.269000000000005</v>
      </c>
      <c r="AV210">
        <f ca="1">IFERROR(IF(0=LEN(ReferenceData!$AV$210),"",ReferenceData!$AV$210),"")</f>
        <v>568.85299999999995</v>
      </c>
      <c r="AW210">
        <f ca="1">IFERROR(IF(0=LEN(ReferenceData!$AW$210),"",ReferenceData!$AW$210),"")</f>
        <v>351.21699999999998</v>
      </c>
      <c r="AX210">
        <f ca="1">IFERROR(IF(0=LEN(ReferenceData!$AX$210),"",ReferenceData!$AX$210),"")</f>
        <v>102.923</v>
      </c>
      <c r="AY210">
        <f ca="1">IFERROR(IF(0=LEN(ReferenceData!$AY$210),"",ReferenceData!$AY$210),"")</f>
        <v>60.686999999999998</v>
      </c>
      <c r="AZ210">
        <f ca="1">IFERROR(IF(0=LEN(ReferenceData!$AZ$210),"",ReferenceData!$AZ$210),"")</f>
        <v>645.36300000000006</v>
      </c>
      <c r="BA210">
        <f ca="1">IFERROR(IF(0=LEN(ReferenceData!$BA$210),"",ReferenceData!$BA$210),"")</f>
        <v>21.475999999999999</v>
      </c>
      <c r="BB210">
        <f ca="1">IFERROR(IF(0=LEN(ReferenceData!$BB$210),"",ReferenceData!$BB$210),"")</f>
        <v>55.957000000000001</v>
      </c>
      <c r="BC210">
        <f ca="1">IFERROR(IF(0=LEN(ReferenceData!$BC$210),"",ReferenceData!$BC$210),"")</f>
        <v>21.341999999999999</v>
      </c>
      <c r="BD210">
        <f ca="1">IFERROR(IF(0=LEN(ReferenceData!$BD$210),"",ReferenceData!$BD$210),"")</f>
        <v>38.173999999999999</v>
      </c>
      <c r="BE210">
        <f ca="1">IFERROR(IF(0=LEN(ReferenceData!$BE$210),"",ReferenceData!$BE$210),"")</f>
        <v>18.89</v>
      </c>
      <c r="BF210">
        <f ca="1">IFERROR(IF(0=LEN(ReferenceData!$BF$210),"",ReferenceData!$BF$210),"")</f>
        <v>17.806999999999999</v>
      </c>
      <c r="BG210">
        <f ca="1">IFERROR(IF(0=LEN(ReferenceData!$BG$210),"",ReferenceData!$BG$210),"")</f>
        <v>16.962</v>
      </c>
      <c r="BH210">
        <f ca="1">IFERROR(IF(0=LEN(ReferenceData!$BH$210),"",ReferenceData!$BH$210),"")</f>
        <v>11.369</v>
      </c>
      <c r="BI210">
        <f ca="1">IFERROR(IF(0=LEN(ReferenceData!$BI$210),"",ReferenceData!$BI$210),"")</f>
        <v>11.548999999999999</v>
      </c>
      <c r="BJ210">
        <f ca="1">IFERROR(IF(0=LEN(ReferenceData!$BJ$210),"",ReferenceData!$BJ$210),"")</f>
        <v>28.132000000000001</v>
      </c>
      <c r="BK210" t="str">
        <f ca="1">IFERROR(IF(0=LEN(ReferenceData!$BK$210),"",ReferenceData!$BK$210),"")</f>
        <v/>
      </c>
      <c r="BL210">
        <f ca="1">IFERROR(IF(0=LEN(ReferenceData!$BL$210),"",ReferenceData!$BL$210),"")</f>
        <v>9.7059999999999995</v>
      </c>
      <c r="BM210">
        <f ca="1">IFERROR(IF(0=LEN(ReferenceData!$BM$210),"",ReferenceData!$BM$210),"")</f>
        <v>11.558999999999999</v>
      </c>
    </row>
    <row r="211" spans="1:65">
      <c r="A211" t="str">
        <f>IFERROR(IF(0=LEN(ReferenceData!$A$211),"",ReferenceData!$A$211),"")</f>
        <v xml:space="preserve">    Healthcare Realty Trust Inc</v>
      </c>
      <c r="B211" t="str">
        <f>IFERROR(IF(0=LEN(ReferenceData!$B$211),"",ReferenceData!$B$211),"")</f>
        <v>HR US Equity</v>
      </c>
      <c r="C211" t="str">
        <f>IFERROR(IF(0=LEN(ReferenceData!$C$211),"",ReferenceData!$C$211),"")</f>
        <v>RR253</v>
      </c>
      <c r="D211" t="str">
        <f>IFERROR(IF(0=LEN(ReferenceData!$D$211),"",ReferenceData!$D$211),"")</f>
        <v>CASH_AND_MARKETABLE_SECURITIES</v>
      </c>
      <c r="E211" t="str">
        <f>IFERROR(IF(0=LEN(ReferenceData!$E$211),"",ReferenceData!$E$211),"")</f>
        <v>动态</v>
      </c>
      <c r="F211" t="str">
        <f ca="1">IFERROR(IF(0=LEN(ReferenceData!$F$211),"",ReferenceData!$F$211),"")</f>
        <v/>
      </c>
      <c r="G211">
        <f ca="1">IFERROR(IF(0=LEN(ReferenceData!$G$211),"",ReferenceData!$G$211),"")</f>
        <v>6.2149999999999999</v>
      </c>
      <c r="H211">
        <f ca="1">IFERROR(IF(0=LEN(ReferenceData!$H$211),"",ReferenceData!$H$211),"")</f>
        <v>196.98099999999999</v>
      </c>
      <c r="I211">
        <f ca="1">IFERROR(IF(0=LEN(ReferenceData!$I$211),"",ReferenceData!$I$211),"")</f>
        <v>2.0329999999999999</v>
      </c>
      <c r="J211">
        <f ca="1">IFERROR(IF(0=LEN(ReferenceData!$J$211),"",ReferenceData!$J$211),"")</f>
        <v>1.478</v>
      </c>
      <c r="K211">
        <f ca="1">IFERROR(IF(0=LEN(ReferenceData!$K$211),"",ReferenceData!$K$211),"")</f>
        <v>5.4089999999999998</v>
      </c>
      <c r="L211">
        <f ca="1">IFERROR(IF(0=LEN(ReferenceData!$L$211),"",ReferenceData!$L$211),"")</f>
        <v>12.648999999999999</v>
      </c>
      <c r="M211">
        <f ca="1">IFERROR(IF(0=LEN(ReferenceData!$M$211),"",ReferenceData!$M$211),"")</f>
        <v>9.0259999999999998</v>
      </c>
      <c r="N211">
        <f ca="1">IFERROR(IF(0=LEN(ReferenceData!$N$211),"",ReferenceData!$N$211),"")</f>
        <v>2.1739999999999999</v>
      </c>
      <c r="O211">
        <f ca="1">IFERROR(IF(0=LEN(ReferenceData!$O$211),"",ReferenceData!$O$211),"")</f>
        <v>4.1020000000000003</v>
      </c>
      <c r="P211">
        <f ca="1">IFERROR(IF(0=LEN(ReferenceData!$P$211),"",ReferenceData!$P$211),"")</f>
        <v>8.4969999999999999</v>
      </c>
      <c r="Q211">
        <f ca="1">IFERROR(IF(0=LEN(ReferenceData!$Q$211),"",ReferenceData!$Q$211),"")</f>
        <v>8.4309999999999992</v>
      </c>
      <c r="R211">
        <f ca="1">IFERROR(IF(0=LEN(ReferenceData!$R$211),"",ReferenceData!$R$211),"")</f>
        <v>10.417</v>
      </c>
      <c r="S211">
        <f ca="1">IFERROR(IF(0=LEN(ReferenceData!$S$211),"",ReferenceData!$S$211),"")</f>
        <v>3.5190000000000001</v>
      </c>
      <c r="T211">
        <f ca="1">IFERROR(IF(0=LEN(ReferenceData!$T$211),"",ReferenceData!$T$211),"")</f>
        <v>1.6839999999999999</v>
      </c>
      <c r="U211">
        <f ca="1">IFERROR(IF(0=LEN(ReferenceData!$U$211),"",ReferenceData!$U$211),"")</f>
        <v>17.523</v>
      </c>
      <c r="V211">
        <f ca="1">IFERROR(IF(0=LEN(ReferenceData!$V$211),"",ReferenceData!$V$211),"")</f>
        <v>10.169</v>
      </c>
      <c r="W211">
        <f ca="1">IFERROR(IF(0=LEN(ReferenceData!$W$211),"",ReferenceData!$W$211),"")</f>
        <v>8.6709999999999994</v>
      </c>
      <c r="X211">
        <f ca="1">IFERROR(IF(0=LEN(ReferenceData!$X$211),"",ReferenceData!$X$211),"")</f>
        <v>7.16</v>
      </c>
      <c r="Y211">
        <f ca="1">IFERROR(IF(0=LEN(ReferenceData!$Y$211),"",ReferenceData!$Y$211),"")</f>
        <v>1.1519999999999999</v>
      </c>
      <c r="Z211">
        <f ca="1">IFERROR(IF(0=LEN(ReferenceData!$Z$211),"",ReferenceData!$Z$211),"")</f>
        <v>94.171000000000006</v>
      </c>
      <c r="AA211">
        <f ca="1">IFERROR(IF(0=LEN(ReferenceData!$AA$211),"",ReferenceData!$AA$211),"")</f>
        <v>6.7759999999999998</v>
      </c>
      <c r="AB211">
        <f ca="1">IFERROR(IF(0=LEN(ReferenceData!$AB$211),"",ReferenceData!$AB$211),"")</f>
        <v>8.7810000000000006</v>
      </c>
      <c r="AC211">
        <f ca="1">IFERROR(IF(0=LEN(ReferenceData!$AC$211),"",ReferenceData!$AC$211),"")</f>
        <v>3.1030000000000002</v>
      </c>
      <c r="AD211">
        <f ca="1">IFERROR(IF(0=LEN(ReferenceData!$AD$211),"",ReferenceData!$AD$211),"")</f>
        <v>6.61</v>
      </c>
      <c r="AE211">
        <f ca="1">IFERROR(IF(0=LEN(ReferenceData!$AE$211),"",ReferenceData!$AE$211),"")</f>
        <v>4.7380000000000004</v>
      </c>
      <c r="AF211">
        <f ca="1">IFERROR(IF(0=LEN(ReferenceData!$AF$211),"",ReferenceData!$AF$211),"")</f>
        <v>4.0540000000000003</v>
      </c>
      <c r="AG211">
        <f ca="1">IFERROR(IF(0=LEN(ReferenceData!$AG$211),"",ReferenceData!$AG$211),"")</f>
        <v>17.776</v>
      </c>
      <c r="AH211">
        <f ca="1">IFERROR(IF(0=LEN(ReferenceData!$AH$211),"",ReferenceData!$AH$211),"")</f>
        <v>3.0070000000000001</v>
      </c>
      <c r="AI211">
        <f ca="1">IFERROR(IF(0=LEN(ReferenceData!$AI$211),"",ReferenceData!$AI$211),"")</f>
        <v>113.321</v>
      </c>
      <c r="AJ211">
        <f ca="1">IFERROR(IF(0=LEN(ReferenceData!$AJ$211),"",ReferenceData!$AJ$211),"")</f>
        <v>11.177</v>
      </c>
      <c r="AK211">
        <f ca="1">IFERROR(IF(0=LEN(ReferenceData!$AK$211),"",ReferenceData!$AK$211),"")</f>
        <v>4.4550000000000001</v>
      </c>
      <c r="AL211">
        <f ca="1">IFERROR(IF(0=LEN(ReferenceData!$AL$211),"",ReferenceData!$AL$211),"")</f>
        <v>11.045</v>
      </c>
      <c r="AM211">
        <f ca="1">IFERROR(IF(0=LEN(ReferenceData!$AM$211),"",ReferenceData!$AM$211),"")</f>
        <v>5.851</v>
      </c>
      <c r="AN211">
        <f ca="1">IFERROR(IF(0=LEN(ReferenceData!$AN$211),"",ReferenceData!$AN$211),"")</f>
        <v>5.0880000000000001</v>
      </c>
      <c r="AO211">
        <f ca="1">IFERROR(IF(0=LEN(ReferenceData!$AO$211),"",ReferenceData!$AO$211),"")</f>
        <v>4.7069999999999999</v>
      </c>
      <c r="AP211">
        <f ca="1">IFERROR(IF(0=LEN(ReferenceData!$AP$211),"",ReferenceData!$AP$211),"")</f>
        <v>12.375999999999999</v>
      </c>
      <c r="AQ211">
        <f ca="1">IFERROR(IF(0=LEN(ReferenceData!$AQ$211),"",ReferenceData!$AQ$211),"")</f>
        <v>4.1379999999999999</v>
      </c>
      <c r="AR211">
        <f ca="1">IFERROR(IF(0=LEN(ReferenceData!$AR$211),"",ReferenceData!$AR$211),"")</f>
        <v>5.1559999999999997</v>
      </c>
      <c r="AS211">
        <f ca="1">IFERROR(IF(0=LEN(ReferenceData!$AS$211),"",ReferenceData!$AS$211),"")</f>
        <v>4.8819999999999997</v>
      </c>
      <c r="AT211">
        <f ca="1">IFERROR(IF(0=LEN(ReferenceData!$AT$211),"",ReferenceData!$AT$211),"")</f>
        <v>11.068</v>
      </c>
      <c r="AU211">
        <f ca="1">IFERROR(IF(0=LEN(ReferenceData!$AU$211),"",ReferenceData!$AU$211),"")</f>
        <v>8.5190000000000001</v>
      </c>
      <c r="AV211">
        <f ca="1">IFERROR(IF(0=LEN(ReferenceData!$AV$211),"",ReferenceData!$AV$211),"")</f>
        <v>16.12</v>
      </c>
      <c r="AW211">
        <f ca="1">IFERROR(IF(0=LEN(ReferenceData!$AW$211),"",ReferenceData!$AW$211),"")</f>
        <v>0.64200000000000002</v>
      </c>
      <c r="AX211">
        <f ca="1">IFERROR(IF(0=LEN(ReferenceData!$AX$211),"",ReferenceData!$AX$211),"")</f>
        <v>3.8330000000000002</v>
      </c>
      <c r="AY211">
        <f ca="1">IFERROR(IF(0=LEN(ReferenceData!$AY$211),"",ReferenceData!$AY$211),"")</f>
        <v>1.95</v>
      </c>
      <c r="AZ211">
        <f ca="1">IFERROR(IF(0=LEN(ReferenceData!$AZ$211),"",ReferenceData!$AZ$211),"")</f>
        <v>3.7469999999999999</v>
      </c>
      <c r="BA211">
        <f ca="1">IFERROR(IF(0=LEN(ReferenceData!$BA$211),"",ReferenceData!$BA$211),"")</f>
        <v>4.0789999999999997</v>
      </c>
      <c r="BB211">
        <f ca="1">IFERROR(IF(0=LEN(ReferenceData!$BB$211),"",ReferenceData!$BB$211),"")</f>
        <v>2.3719999999999999</v>
      </c>
      <c r="BC211">
        <f ca="1">IFERROR(IF(0=LEN(ReferenceData!$BC$211),"",ReferenceData!$BC$211),"")</f>
        <v>7.0369999999999999</v>
      </c>
      <c r="BD211">
        <f ca="1">IFERROR(IF(0=LEN(ReferenceData!$BD$211),"",ReferenceData!$BD$211),"")</f>
        <v>5.3860000000000001</v>
      </c>
      <c r="BE211">
        <f ca="1">IFERROR(IF(0=LEN(ReferenceData!$BE$211),"",ReferenceData!$BE$211),"")</f>
        <v>1.6339999999999999</v>
      </c>
      <c r="BF211">
        <f ca="1">IFERROR(IF(0=LEN(ReferenceData!$BF$211),"",ReferenceData!$BF$211),"")</f>
        <v>6.4480000000000004</v>
      </c>
      <c r="BG211">
        <f ca="1">IFERROR(IF(0=LEN(ReferenceData!$BG$211),"",ReferenceData!$BG$211),"")</f>
        <v>2.6829999999999998</v>
      </c>
      <c r="BH211">
        <f ca="1">IFERROR(IF(0=LEN(ReferenceData!$BH$211),"",ReferenceData!$BH$211),"")</f>
        <v>4.0259999999999998</v>
      </c>
      <c r="BI211">
        <f ca="1">IFERROR(IF(0=LEN(ReferenceData!$BI$211),"",ReferenceData!$BI$211),"")</f>
        <v>3.1259999999999999</v>
      </c>
      <c r="BJ211">
        <f ca="1">IFERROR(IF(0=LEN(ReferenceData!$BJ$211),"",ReferenceData!$BJ$211),"")</f>
        <v>59.125</v>
      </c>
      <c r="BK211">
        <f ca="1">IFERROR(IF(0=LEN(ReferenceData!$BK$211),"",ReferenceData!$BK$211),"")</f>
        <v>4.9169999999999998</v>
      </c>
      <c r="BL211">
        <f ca="1">IFERROR(IF(0=LEN(ReferenceData!$BL$211),"",ReferenceData!$BL$211),"")</f>
        <v>2.0139999390000001</v>
      </c>
      <c r="BM211">
        <f ca="1">IFERROR(IF(0=LEN(ReferenceData!$BM$211),"",ReferenceData!$BM$211),"")</f>
        <v>4.2670001979999999</v>
      </c>
    </row>
    <row r="212" spans="1:65">
      <c r="A212" t="str">
        <f>IFERROR(IF(0=LEN(ReferenceData!$A$212),"",ReferenceData!$A$212),"")</f>
        <v xml:space="preserve">    Healthcare Trust of America In</v>
      </c>
      <c r="B212" t="str">
        <f>IFERROR(IF(0=LEN(ReferenceData!$B$212),"",ReferenceData!$B$212),"")</f>
        <v>HTA US Equity</v>
      </c>
      <c r="C212" t="str">
        <f>IFERROR(IF(0=LEN(ReferenceData!$C$212),"",ReferenceData!$C$212),"")</f>
        <v>RR253</v>
      </c>
      <c r="D212" t="str">
        <f>IFERROR(IF(0=LEN(ReferenceData!$D$212),"",ReferenceData!$D$212),"")</f>
        <v>CASH_AND_MARKETABLE_SECURITIES</v>
      </c>
      <c r="E212" t="str">
        <f>IFERROR(IF(0=LEN(ReferenceData!$E$212),"",ReferenceData!$E$212),"")</f>
        <v>动态</v>
      </c>
      <c r="F212" t="str">
        <f ca="1">IFERROR(IF(0=LEN(ReferenceData!$F$212),"",ReferenceData!$F$212),"")</f>
        <v/>
      </c>
      <c r="G212">
        <f ca="1">IFERROR(IF(0=LEN(ReferenceData!$G$212),"",ReferenceData!$G$212),"")</f>
        <v>100.35599999999999</v>
      </c>
      <c r="H212">
        <f ca="1">IFERROR(IF(0=LEN(ReferenceData!$H$212),"",ReferenceData!$H$212),"")</f>
        <v>9.41</v>
      </c>
      <c r="I212">
        <f ca="1">IFERROR(IF(0=LEN(ReferenceData!$I$212),"",ReferenceData!$I$212),"")</f>
        <v>91.444000000000003</v>
      </c>
      <c r="J212">
        <f ca="1">IFERROR(IF(0=LEN(ReferenceData!$J$212),"",ReferenceData!$J$212),"")</f>
        <v>16.033999999999999</v>
      </c>
      <c r="K212">
        <f ca="1">IFERROR(IF(0=LEN(ReferenceData!$K$212),"",ReferenceData!$K$212),"")</f>
        <v>11.231</v>
      </c>
      <c r="L212">
        <f ca="1">IFERROR(IF(0=LEN(ReferenceData!$L$212),"",ReferenceData!$L$212),"")</f>
        <v>17.937999999999999</v>
      </c>
      <c r="M212">
        <f ca="1">IFERROR(IF(0=LEN(ReferenceData!$M$212),"",ReferenceData!$M$212),"")</f>
        <v>8.1479999999999997</v>
      </c>
      <c r="N212">
        <f ca="1">IFERROR(IF(0=LEN(ReferenceData!$N$212),"",ReferenceData!$N$212),"")</f>
        <v>13.827</v>
      </c>
      <c r="O212">
        <f ca="1">IFERROR(IF(0=LEN(ReferenceData!$O$212),"",ReferenceData!$O$212),"")</f>
        <v>13.07</v>
      </c>
      <c r="P212">
        <f ca="1">IFERROR(IF(0=LEN(ReferenceData!$P$212),"",ReferenceData!$P$212),"")</f>
        <v>11.146000000000001</v>
      </c>
      <c r="Q212">
        <f ca="1">IFERROR(IF(0=LEN(ReferenceData!$Q$212),"",ReferenceData!$Q$212),"")</f>
        <v>16.577000000000002</v>
      </c>
      <c r="R212">
        <f ca="1">IFERROR(IF(0=LEN(ReferenceData!$R$212),"",ReferenceData!$R$212),"")</f>
        <v>13.516999999999999</v>
      </c>
      <c r="S212">
        <f ca="1">IFERROR(IF(0=LEN(ReferenceData!$S$212),"",ReferenceData!$S$212),"")</f>
        <v>10.413</v>
      </c>
      <c r="T212">
        <f ca="1">IFERROR(IF(0=LEN(ReferenceData!$T$212),"",ReferenceData!$T$212),"")</f>
        <v>18.414999999999999</v>
      </c>
      <c r="U212">
        <f ca="1">IFERROR(IF(0=LEN(ReferenceData!$U$212),"",ReferenceData!$U$212),"")</f>
        <v>132.71899999999999</v>
      </c>
      <c r="V212">
        <f ca="1">IFERROR(IF(0=LEN(ReferenceData!$V$212),"",ReferenceData!$V$212),"")</f>
        <v>27.359000000000002</v>
      </c>
      <c r="W212">
        <f ca="1">IFERROR(IF(0=LEN(ReferenceData!$W$212),"",ReferenceData!$W$212),"")</f>
        <v>18.081</v>
      </c>
      <c r="X212">
        <f ca="1">IFERROR(IF(0=LEN(ReferenceData!$X$212),"",ReferenceData!$X$212),"")</f>
        <v>82.180999999999997</v>
      </c>
      <c r="Y212">
        <f ca="1">IFERROR(IF(0=LEN(ReferenceData!$Y$212),"",ReferenceData!$Y$212),"")</f>
        <v>120.871</v>
      </c>
      <c r="Z212">
        <f ca="1">IFERROR(IF(0=LEN(ReferenceData!$Z$212),"",ReferenceData!$Z$212),"")</f>
        <v>120.958</v>
      </c>
      <c r="AA212">
        <f ca="1">IFERROR(IF(0=LEN(ReferenceData!$AA$212),"",ReferenceData!$AA$212),"")</f>
        <v>15.956</v>
      </c>
      <c r="AB212">
        <f ca="1">IFERROR(IF(0=LEN(ReferenceData!$AB$212),"",ReferenceData!$AB$212),"")</f>
        <v>8.34</v>
      </c>
      <c r="AC212">
        <f ca="1">IFERROR(IF(0=LEN(ReferenceData!$AC$212),"",ReferenceData!$AC$212),"")</f>
        <v>23.977</v>
      </c>
      <c r="AD212">
        <f ca="1">IFERROR(IF(0=LEN(ReferenceData!$AD$212),"",ReferenceData!$AD$212),"")</f>
        <v>35.119999999999997</v>
      </c>
      <c r="AE212">
        <f ca="1">IFERROR(IF(0=LEN(ReferenceData!$AE$212),"",ReferenceData!$AE$212),"")</f>
        <v>69.491</v>
      </c>
      <c r="AF212">
        <f ca="1">IFERROR(IF(0=LEN(ReferenceData!$AF$212),"",ReferenceData!$AF$212),"")</f>
        <v>122.303</v>
      </c>
      <c r="AG212">
        <f ca="1">IFERROR(IF(0=LEN(ReferenceData!$AG$212),"",ReferenceData!$AG$212),"")</f>
        <v>154.28700000000001</v>
      </c>
      <c r="AH212">
        <f ca="1">IFERROR(IF(0=LEN(ReferenceData!$AH$212),"",ReferenceData!$AH$212),"")</f>
        <v>207.405</v>
      </c>
      <c r="AI212">
        <f ca="1">IFERROR(IF(0=LEN(ReferenceData!$AI$212),"",ReferenceData!$AI$212),"")</f>
        <v>29.27</v>
      </c>
      <c r="AJ212">
        <f ca="1">IFERROR(IF(0=LEN(ReferenceData!$AJ$212),"",ReferenceData!$AJ$212),"")</f>
        <v>221.18600000000001</v>
      </c>
      <c r="AK212">
        <f ca="1">IFERROR(IF(0=LEN(ReferenceData!$AK$212),"",ReferenceData!$AK$212),"")</f>
        <v>176.886</v>
      </c>
      <c r="AL212">
        <f ca="1">IFERROR(IF(0=LEN(ReferenceData!$AL$212),"",ReferenceData!$AL$212),"")</f>
        <v>128.404</v>
      </c>
      <c r="AM212" t="str">
        <f ca="1">IFERROR(IF(0=LEN(ReferenceData!$AM$212),"",ReferenceData!$AM$212),"")</f>
        <v/>
      </c>
      <c r="AN212" t="str">
        <f ca="1">IFERROR(IF(0=LEN(ReferenceData!$AN$212),"",ReferenceData!$AN$212),"")</f>
        <v/>
      </c>
      <c r="AO212" t="str">
        <f ca="1">IFERROR(IF(0=LEN(ReferenceData!$AO$212),"",ReferenceData!$AO$212),"")</f>
        <v/>
      </c>
      <c r="AP212" t="str">
        <f ca="1">IFERROR(IF(0=LEN(ReferenceData!$AP$212),"",ReferenceData!$AP$212),"")</f>
        <v/>
      </c>
      <c r="AQ212" t="str">
        <f ca="1">IFERROR(IF(0=LEN(ReferenceData!$AQ$212),"",ReferenceData!$AQ$212),"")</f>
        <v/>
      </c>
      <c r="AR212" t="str">
        <f ca="1">IFERROR(IF(0=LEN(ReferenceData!$AR$212),"",ReferenceData!$AR$212),"")</f>
        <v/>
      </c>
      <c r="AS212" t="str">
        <f ca="1">IFERROR(IF(0=LEN(ReferenceData!$AS$212),"",ReferenceData!$AS$212),"")</f>
        <v/>
      </c>
      <c r="AT212" t="str">
        <f ca="1">IFERROR(IF(0=LEN(ReferenceData!$AT$212),"",ReferenceData!$AT$212),"")</f>
        <v/>
      </c>
      <c r="AU212" t="str">
        <f ca="1">IFERROR(IF(0=LEN(ReferenceData!$AU$212),"",ReferenceData!$AU$212),"")</f>
        <v/>
      </c>
      <c r="AV212" t="str">
        <f ca="1">IFERROR(IF(0=LEN(ReferenceData!$AV$212),"",ReferenceData!$AV$212),"")</f>
        <v/>
      </c>
      <c r="AW212" t="str">
        <f ca="1">IFERROR(IF(0=LEN(ReferenceData!$AW$212),"",ReferenceData!$AW$212),"")</f>
        <v/>
      </c>
      <c r="AX212" t="str">
        <f ca="1">IFERROR(IF(0=LEN(ReferenceData!$AX$212),"",ReferenceData!$AX$212),"")</f>
        <v/>
      </c>
      <c r="AY212" t="str">
        <f ca="1">IFERROR(IF(0=LEN(ReferenceData!$AY$212),"",ReferenceData!$AY$212),"")</f>
        <v/>
      </c>
      <c r="AZ212" t="str">
        <f ca="1">IFERROR(IF(0=LEN(ReferenceData!$AZ$212),"",ReferenceData!$AZ$212),"")</f>
        <v/>
      </c>
      <c r="BA212" t="str">
        <f ca="1">IFERROR(IF(0=LEN(ReferenceData!$BA$212),"",ReferenceData!$BA$212),"")</f>
        <v/>
      </c>
      <c r="BB212" t="str">
        <f ca="1">IFERROR(IF(0=LEN(ReferenceData!$BB$212),"",ReferenceData!$BB$212),"")</f>
        <v/>
      </c>
      <c r="BC212" t="str">
        <f ca="1">IFERROR(IF(0=LEN(ReferenceData!$BC$212),"",ReferenceData!$BC$212),"")</f>
        <v/>
      </c>
      <c r="BD212" t="str">
        <f ca="1">IFERROR(IF(0=LEN(ReferenceData!$BD$212),"",ReferenceData!$BD$212),"")</f>
        <v/>
      </c>
      <c r="BE212" t="str">
        <f ca="1">IFERROR(IF(0=LEN(ReferenceData!$BE$212),"",ReferenceData!$BE$212),"")</f>
        <v/>
      </c>
      <c r="BF212" t="str">
        <f ca="1">IFERROR(IF(0=LEN(ReferenceData!$BF$212),"",ReferenceData!$BF$212),"")</f>
        <v/>
      </c>
      <c r="BG212" t="str">
        <f ca="1">IFERROR(IF(0=LEN(ReferenceData!$BG$212),"",ReferenceData!$BG$212),"")</f>
        <v/>
      </c>
      <c r="BH212" t="str">
        <f ca="1">IFERROR(IF(0=LEN(ReferenceData!$BH$212),"",ReferenceData!$BH$212),"")</f>
        <v/>
      </c>
      <c r="BI212" t="str">
        <f ca="1">IFERROR(IF(0=LEN(ReferenceData!$BI$212),"",ReferenceData!$BI$212),"")</f>
        <v/>
      </c>
      <c r="BJ212" t="str">
        <f ca="1">IFERROR(IF(0=LEN(ReferenceData!$BJ$212),"",ReferenceData!$BJ$212),"")</f>
        <v/>
      </c>
      <c r="BK212" t="str">
        <f ca="1">IFERROR(IF(0=LEN(ReferenceData!$BK$212),"",ReferenceData!$BK$212),"")</f>
        <v/>
      </c>
      <c r="BL212" t="str">
        <f ca="1">IFERROR(IF(0=LEN(ReferenceData!$BL$212),"",ReferenceData!$BL$212),"")</f>
        <v/>
      </c>
      <c r="BM212" t="str">
        <f ca="1">IFERROR(IF(0=LEN(ReferenceData!$BM$212),"",ReferenceData!$BM$212),"")</f>
        <v/>
      </c>
    </row>
    <row r="213" spans="1:65">
      <c r="A213" t="str">
        <f>IFERROR(IF(0=LEN(ReferenceData!$A$213),"",ReferenceData!$A$213),"")</f>
        <v xml:space="preserve">    Medical Properties Trust Inc</v>
      </c>
      <c r="B213" t="str">
        <f>IFERROR(IF(0=LEN(ReferenceData!$B$213),"",ReferenceData!$B$213),"")</f>
        <v>MPW US Equity</v>
      </c>
      <c r="C213" t="str">
        <f>IFERROR(IF(0=LEN(ReferenceData!$C$213),"",ReferenceData!$C$213),"")</f>
        <v>RR253</v>
      </c>
      <c r="D213" t="str">
        <f>IFERROR(IF(0=LEN(ReferenceData!$D$213),"",ReferenceData!$D$213),"")</f>
        <v>CASH_AND_MARKETABLE_SECURITIES</v>
      </c>
      <c r="E213" t="str">
        <f>IFERROR(IF(0=LEN(ReferenceData!$E$213),"",ReferenceData!$E$213),"")</f>
        <v>动态</v>
      </c>
      <c r="F213" t="str">
        <f ca="1">IFERROR(IF(0=LEN(ReferenceData!$F$213),"",ReferenceData!$F$213),"")</f>
        <v/>
      </c>
      <c r="G213">
        <f ca="1">IFERROR(IF(0=LEN(ReferenceData!$G$213),"",ReferenceData!$G$213),"")</f>
        <v>171.47200000000001</v>
      </c>
      <c r="H213">
        <f ca="1">IFERROR(IF(0=LEN(ReferenceData!$H$213),"",ReferenceData!$H$213),"")</f>
        <v>188.22399999999999</v>
      </c>
      <c r="I213">
        <f ca="1">IFERROR(IF(0=LEN(ReferenceData!$I$213),"",ReferenceData!$I$213),"")</f>
        <v>236.364</v>
      </c>
      <c r="J213">
        <f ca="1">IFERROR(IF(0=LEN(ReferenceData!$J$213),"",ReferenceData!$J$213),"")</f>
        <v>446.94799999999998</v>
      </c>
      <c r="K213">
        <f ca="1">IFERROR(IF(0=LEN(ReferenceData!$K$213),"",ReferenceData!$K$213),"")</f>
        <v>83.24</v>
      </c>
      <c r="L213">
        <f ca="1">IFERROR(IF(0=LEN(ReferenceData!$L$213),"",ReferenceData!$L$213),"")</f>
        <v>1094.9169999999999</v>
      </c>
      <c r="M213">
        <f ca="1">IFERROR(IF(0=LEN(ReferenceData!$M$213),"",ReferenceData!$M$213),"")</f>
        <v>181.56100000000001</v>
      </c>
      <c r="N213">
        <f ca="1">IFERROR(IF(0=LEN(ReferenceData!$N$213),"",ReferenceData!$N$213),"")</f>
        <v>206.41</v>
      </c>
      <c r="O213">
        <f ca="1">IFERROR(IF(0=LEN(ReferenceData!$O$213),"",ReferenceData!$O$213),"")</f>
        <v>195.541</v>
      </c>
      <c r="P213">
        <f ca="1">IFERROR(IF(0=LEN(ReferenceData!$P$213),"",ReferenceData!$P$213),"")</f>
        <v>332.23500000000001</v>
      </c>
      <c r="Q213">
        <f ca="1">IFERROR(IF(0=LEN(ReferenceData!$Q$213),"",ReferenceData!$Q$213),"")</f>
        <v>45.904000000000003</v>
      </c>
      <c r="R213">
        <f ca="1">IFERROR(IF(0=LEN(ReferenceData!$R$213),"",ReferenceData!$R$213),"")</f>
        <v>33.548000000000002</v>
      </c>
      <c r="S213">
        <f ca="1">IFERROR(IF(0=LEN(ReferenceData!$S$213),"",ReferenceData!$S$213),"")</f>
        <v>144.541</v>
      </c>
      <c r="T213">
        <f ca="1">IFERROR(IF(0=LEN(ReferenceData!$T$213),"",ReferenceData!$T$213),"")</f>
        <v>132.81200000000001</v>
      </c>
      <c r="U213">
        <f ca="1">IFERROR(IF(0=LEN(ReferenceData!$U$213),"",ReferenceData!$U$213),"")</f>
        <v>197.023</v>
      </c>
      <c r="V213">
        <f ca="1">IFERROR(IF(0=LEN(ReferenceData!$V$213),"",ReferenceData!$V$213),"")</f>
        <v>50.308999999999997</v>
      </c>
      <c r="W213">
        <f ca="1">IFERROR(IF(0=LEN(ReferenceData!$W$213),"",ReferenceData!$W$213),"")</f>
        <v>45.978999999999999</v>
      </c>
      <c r="X213">
        <f ca="1">IFERROR(IF(0=LEN(ReferenceData!$X$213),"",ReferenceData!$X$213),"")</f>
        <v>12.124000000000001</v>
      </c>
      <c r="Y213">
        <f ca="1">IFERROR(IF(0=LEN(ReferenceData!$Y$213),"",ReferenceData!$Y$213),"")</f>
        <v>26.071999999999999</v>
      </c>
      <c r="Z213">
        <f ca="1">IFERROR(IF(0=LEN(ReferenceData!$Z$213),"",ReferenceData!$Z$213),"")</f>
        <v>75.674999999999997</v>
      </c>
      <c r="AA213">
        <f ca="1">IFERROR(IF(0=LEN(ReferenceData!$AA$213),"",ReferenceData!$AA$213),"")</f>
        <v>37.311</v>
      </c>
      <c r="AB213">
        <f ca="1">IFERROR(IF(0=LEN(ReferenceData!$AB$213),"",ReferenceData!$AB$213),"")</f>
        <v>36.162999999999997</v>
      </c>
      <c r="AC213">
        <f ca="1">IFERROR(IF(0=LEN(ReferenceData!$AC$213),"",ReferenceData!$AC$213),"")</f>
        <v>127.639</v>
      </c>
      <c r="AD213">
        <f ca="1">IFERROR(IF(0=LEN(ReferenceData!$AD$213),"",ReferenceData!$AD$213),"")</f>
        <v>126.5</v>
      </c>
      <c r="AE213">
        <f ca="1">IFERROR(IF(0=LEN(ReferenceData!$AE$213),"",ReferenceData!$AE$213),"")</f>
        <v>102.726</v>
      </c>
      <c r="AF213">
        <f ca="1">IFERROR(IF(0=LEN(ReferenceData!$AF$213),"",ReferenceData!$AF$213),"")</f>
        <v>114.36799999999999</v>
      </c>
      <c r="AG213">
        <f ca="1">IFERROR(IF(0=LEN(ReferenceData!$AG$213),"",ReferenceData!$AG$213),"")</f>
        <v>227.90562499999999</v>
      </c>
      <c r="AH213">
        <f ca="1">IFERROR(IF(0=LEN(ReferenceData!$AH$213),"",ReferenceData!$AH$213),"")</f>
        <v>7.01</v>
      </c>
      <c r="AI213">
        <f ca="1">IFERROR(IF(0=LEN(ReferenceData!$AI$213),"",ReferenceData!$AI$213),"")</f>
        <v>98.408000000000001</v>
      </c>
      <c r="AJ213">
        <f ca="1">IFERROR(IF(0=LEN(ReferenceData!$AJ$213),"",ReferenceData!$AJ$213),"")</f>
        <v>106.48099999999999</v>
      </c>
      <c r="AK213">
        <f ca="1">IFERROR(IF(0=LEN(ReferenceData!$AK$213),"",ReferenceData!$AK$213),"")</f>
        <v>121.637</v>
      </c>
      <c r="AL213">
        <f ca="1">IFERROR(IF(0=LEN(ReferenceData!$AL$213),"",ReferenceData!$AL$213),"")</f>
        <v>10.798</v>
      </c>
      <c r="AM213">
        <f ca="1">IFERROR(IF(0=LEN(ReferenceData!$AM$213),"",ReferenceData!$AM$213),"")</f>
        <v>15.307</v>
      </c>
      <c r="AN213">
        <f ca="1">IFERROR(IF(0=LEN(ReferenceData!$AN$213),"",ReferenceData!$AN$213),"")</f>
        <v>13.093999999999999</v>
      </c>
      <c r="AO213">
        <f ca="1">IFERROR(IF(0=LEN(ReferenceData!$AO$213),"",ReferenceData!$AO$213),"")</f>
        <v>7.9219999999999997</v>
      </c>
      <c r="AP213">
        <f ca="1">IFERROR(IF(0=LEN(ReferenceData!$AP$213),"",ReferenceData!$AP$213),"")</f>
        <v>11.209</v>
      </c>
      <c r="AQ213">
        <f ca="1">IFERROR(IF(0=LEN(ReferenceData!$AQ$213),"",ReferenceData!$AQ$213),"")</f>
        <v>11.747999999999999</v>
      </c>
      <c r="AR213">
        <f ca="1">IFERROR(IF(0=LEN(ReferenceData!$AR$213),"",ReferenceData!$AR$213),"")</f>
        <v>9.6112950000000001</v>
      </c>
      <c r="AS213">
        <f ca="1">IFERROR(IF(0=LEN(ReferenceData!$AS$213),"",ReferenceData!$AS$213),"")</f>
        <v>3.6767479999999999</v>
      </c>
      <c r="AT213">
        <f ca="1">IFERROR(IF(0=LEN(ReferenceData!$AT$213),"",ReferenceData!$AT$213),"")</f>
        <v>147.00175200000001</v>
      </c>
      <c r="AU213">
        <f ca="1">IFERROR(IF(0=LEN(ReferenceData!$AU$213),"",ReferenceData!$AU$213),"")</f>
        <v>94.215000000000003</v>
      </c>
      <c r="AV213">
        <f ca="1">IFERROR(IF(0=LEN(ReferenceData!$AV$213),"",ReferenceData!$AV$213),"")</f>
        <v>7.7203809999999997</v>
      </c>
      <c r="AW213">
        <f ca="1">IFERROR(IF(0=LEN(ReferenceData!$AW$213),"",ReferenceData!$AW$213),"")</f>
        <v>8.5889120000000005</v>
      </c>
      <c r="AX213">
        <f ca="1">IFERROR(IF(0=LEN(ReferenceData!$AX$213),"",ReferenceData!$AX$213),"")</f>
        <v>31.996738000000001</v>
      </c>
      <c r="AY213">
        <f ca="1">IFERROR(IF(0=LEN(ReferenceData!$AY$213),"",ReferenceData!$AY$213),"")</f>
        <v>4.1028729999999998</v>
      </c>
      <c r="AZ213">
        <f ca="1">IFERROR(IF(0=LEN(ReferenceData!$AZ$213),"",ReferenceData!$AZ$213),"")</f>
        <v>1.1870259999999999</v>
      </c>
      <c r="BA213">
        <f ca="1">IFERROR(IF(0=LEN(ReferenceData!$BA$213),"",ReferenceData!$BA$213),"")</f>
        <v>1.8336140000000001</v>
      </c>
      <c r="BB213">
        <f ca="1">IFERROR(IF(0=LEN(ReferenceData!$BB$213),"",ReferenceData!$BB$213),"")</f>
        <v>5.4246129999999999</v>
      </c>
      <c r="BC213">
        <f ca="1">IFERROR(IF(0=LEN(ReferenceData!$BC$213),"",ReferenceData!$BC$213),"")</f>
        <v>59.115831999999997</v>
      </c>
      <c r="BD213">
        <f ca="1">IFERROR(IF(0=LEN(ReferenceData!$BD$213),"",ReferenceData!$BD$213),"")</f>
        <v>100.826702</v>
      </c>
      <c r="BE213">
        <f ca="1">IFERROR(IF(0=LEN(ReferenceData!$BE$213),"",ReferenceData!$BE$213),"")</f>
        <v>34.357864380000002</v>
      </c>
      <c r="BF213">
        <f ca="1">IFERROR(IF(0=LEN(ReferenceData!$BF$213),"",ReferenceData!$BF$213),"")</f>
        <v>82.053001399999999</v>
      </c>
      <c r="BG213" t="str">
        <f ca="1">IFERROR(IF(0=LEN(ReferenceData!$BG$213),"",ReferenceData!$BG$213),"")</f>
        <v/>
      </c>
      <c r="BH213" t="str">
        <f ca="1">IFERROR(IF(0=LEN(ReferenceData!$BH$213),"",ReferenceData!$BH$213),"")</f>
        <v/>
      </c>
      <c r="BI213" t="str">
        <f ca="1">IFERROR(IF(0=LEN(ReferenceData!$BI$213),"",ReferenceData!$BI$213),"")</f>
        <v/>
      </c>
      <c r="BJ213" t="str">
        <f ca="1">IFERROR(IF(0=LEN(ReferenceData!$BJ$213),"",ReferenceData!$BJ$213),"")</f>
        <v/>
      </c>
      <c r="BK213" t="str">
        <f ca="1">IFERROR(IF(0=LEN(ReferenceData!$BK$213),"",ReferenceData!$BK$213),"")</f>
        <v/>
      </c>
      <c r="BL213" t="str">
        <f ca="1">IFERROR(IF(0=LEN(ReferenceData!$BL$213),"",ReferenceData!$BL$213),"")</f>
        <v/>
      </c>
      <c r="BM213" t="str">
        <f ca="1">IFERROR(IF(0=LEN(ReferenceData!$BM$213),"",ReferenceData!$BM$213),"")</f>
        <v/>
      </c>
    </row>
    <row r="214" spans="1:65">
      <c r="A214" t="str">
        <f>IFERROR(IF(0=LEN(ReferenceData!$A$214),"",ReferenceData!$A$214),"")</f>
        <v xml:space="preserve">    Omega Healthcare Investors Inc</v>
      </c>
      <c r="B214" t="str">
        <f>IFERROR(IF(0=LEN(ReferenceData!$B$214),"",ReferenceData!$B$214),"")</f>
        <v>OHI US Equity</v>
      </c>
      <c r="C214" t="str">
        <f>IFERROR(IF(0=LEN(ReferenceData!$C$214),"",ReferenceData!$C$214),"")</f>
        <v>RR253</v>
      </c>
      <c r="D214" t="str">
        <f>IFERROR(IF(0=LEN(ReferenceData!$D$214),"",ReferenceData!$D$214),"")</f>
        <v>CASH_AND_MARKETABLE_SECURITIES</v>
      </c>
      <c r="E214" t="str">
        <f>IFERROR(IF(0=LEN(ReferenceData!$E$214),"",ReferenceData!$E$214),"")</f>
        <v>动态</v>
      </c>
      <c r="F214" t="str">
        <f ca="1">IFERROR(IF(0=LEN(ReferenceData!$F$214),"",ReferenceData!$F$214),"")</f>
        <v/>
      </c>
      <c r="G214">
        <f ca="1">IFERROR(IF(0=LEN(ReferenceData!$G$214),"",ReferenceData!$G$214),"")</f>
        <v>85.936999999999998</v>
      </c>
      <c r="H214">
        <f ca="1">IFERROR(IF(0=LEN(ReferenceData!$H$214),"",ReferenceData!$H$214),"")</f>
        <v>24.318000000000001</v>
      </c>
      <c r="I214">
        <f ca="1">IFERROR(IF(0=LEN(ReferenceData!$I$214),"",ReferenceData!$I$214),"")</f>
        <v>21.030999999999999</v>
      </c>
      <c r="J214">
        <f ca="1">IFERROR(IF(0=LEN(ReferenceData!$J$214),"",ReferenceData!$J$214),"")</f>
        <v>40.348999999999997</v>
      </c>
      <c r="K214">
        <f ca="1">IFERROR(IF(0=LEN(ReferenceData!$K$214),"",ReferenceData!$K$214),"")</f>
        <v>93.686999999999998</v>
      </c>
      <c r="L214">
        <f ca="1">IFERROR(IF(0=LEN(ReferenceData!$L$214),"",ReferenceData!$L$214),"")</f>
        <v>32.567</v>
      </c>
      <c r="M214">
        <f ca="1">IFERROR(IF(0=LEN(ReferenceData!$M$214),"",ReferenceData!$M$214),"")</f>
        <v>32.959000000000003</v>
      </c>
      <c r="N214">
        <f ca="1">IFERROR(IF(0=LEN(ReferenceData!$N$214),"",ReferenceData!$N$214),"")</f>
        <v>9.407</v>
      </c>
      <c r="O214">
        <f ca="1">IFERROR(IF(0=LEN(ReferenceData!$O$214),"",ReferenceData!$O$214),"")</f>
        <v>5.4240000000000004</v>
      </c>
      <c r="P214">
        <f ca="1">IFERROR(IF(0=LEN(ReferenceData!$P$214),"",ReferenceData!$P$214),"")</f>
        <v>15.319000000000001</v>
      </c>
      <c r="Q214">
        <f ca="1">IFERROR(IF(0=LEN(ReferenceData!$Q$214),"",ReferenceData!$Q$214),"")</f>
        <v>25.154</v>
      </c>
      <c r="R214">
        <f ca="1">IFERROR(IF(0=LEN(ReferenceData!$R$214),"",ReferenceData!$R$214),"")</f>
        <v>700.14300000000003</v>
      </c>
      <c r="S214">
        <f ca="1">IFERROR(IF(0=LEN(ReferenceData!$S$214),"",ReferenceData!$S$214),"")</f>
        <v>4.4889999999999999</v>
      </c>
      <c r="T214">
        <f ca="1">IFERROR(IF(0=LEN(ReferenceData!$T$214),"",ReferenceData!$T$214),"")</f>
        <v>0.45200000000000001</v>
      </c>
      <c r="U214">
        <f ca="1">IFERROR(IF(0=LEN(ReferenceData!$U$214),"",ReferenceData!$U$214),"")</f>
        <v>28.689</v>
      </c>
      <c r="V214">
        <f ca="1">IFERROR(IF(0=LEN(ReferenceData!$V$214),"",ReferenceData!$V$214),"")</f>
        <v>20.373999999999999</v>
      </c>
      <c r="W214">
        <f ca="1">IFERROR(IF(0=LEN(ReferenceData!$W$214),"",ReferenceData!$W$214),"")</f>
        <v>2.6160000000000001</v>
      </c>
      <c r="X214">
        <f ca="1">IFERROR(IF(0=LEN(ReferenceData!$X$214),"",ReferenceData!$X$214),"")</f>
        <v>67.757000000000005</v>
      </c>
      <c r="Y214">
        <f ca="1">IFERROR(IF(0=LEN(ReferenceData!$Y$214),"",ReferenceData!$Y$214),"")</f>
        <v>7.0389999999999997</v>
      </c>
      <c r="Z214">
        <f ca="1">IFERROR(IF(0=LEN(ReferenceData!$Z$214),"",ReferenceData!$Z$214),"")</f>
        <v>25.611000000000001</v>
      </c>
      <c r="AA214">
        <f ca="1">IFERROR(IF(0=LEN(ReferenceData!$AA$214),"",ReferenceData!$AA$214),"")</f>
        <v>1.7110000000000001</v>
      </c>
      <c r="AB214">
        <f ca="1">IFERROR(IF(0=LEN(ReferenceData!$AB$214),"",ReferenceData!$AB$214),"")</f>
        <v>6.9509999999999996</v>
      </c>
      <c r="AC214">
        <f ca="1">IFERROR(IF(0=LEN(ReferenceData!$AC$214),"",ReferenceData!$AC$214),"")</f>
        <v>2.8610000000000002</v>
      </c>
      <c r="AD214">
        <f ca="1">IFERROR(IF(0=LEN(ReferenceData!$AD$214),"",ReferenceData!$AD$214),"")</f>
        <v>2.7170000000000001</v>
      </c>
      <c r="AE214">
        <f ca="1">IFERROR(IF(0=LEN(ReferenceData!$AE$214),"",ReferenceData!$AE$214),"")</f>
        <v>0.35099999999999998</v>
      </c>
      <c r="AF214">
        <f ca="1">IFERROR(IF(0=LEN(ReferenceData!$AF$214),"",ReferenceData!$AF$214),"")</f>
        <v>10.73</v>
      </c>
      <c r="AG214">
        <f ca="1">IFERROR(IF(0=LEN(ReferenceData!$AG$214),"",ReferenceData!$AG$214),"")</f>
        <v>4.9960000000000004</v>
      </c>
      <c r="AH214">
        <f ca="1">IFERROR(IF(0=LEN(ReferenceData!$AH$214),"",ReferenceData!$AH$214),"")</f>
        <v>3.3809999999999998</v>
      </c>
      <c r="AI214">
        <f ca="1">IFERROR(IF(0=LEN(ReferenceData!$AI$214),"",ReferenceData!$AI$214),"")</f>
        <v>6.9210000000000003</v>
      </c>
      <c r="AJ214">
        <f ca="1">IFERROR(IF(0=LEN(ReferenceData!$AJ$214),"",ReferenceData!$AJ$214),"")</f>
        <v>1.1919999999999999</v>
      </c>
      <c r="AK214">
        <f ca="1">IFERROR(IF(0=LEN(ReferenceData!$AK$214),"",ReferenceData!$AK$214),"")</f>
        <v>1.9570000000000001</v>
      </c>
      <c r="AL214">
        <f ca="1">IFERROR(IF(0=LEN(ReferenceData!$AL$214),"",ReferenceData!$AL$214),"")</f>
        <v>75.194000000000003</v>
      </c>
      <c r="AM214">
        <f ca="1">IFERROR(IF(0=LEN(ReferenceData!$AM$214),"",ReferenceData!$AM$214),"")</f>
        <v>2.17</v>
      </c>
      <c r="AN214">
        <f ca="1">IFERROR(IF(0=LEN(ReferenceData!$AN$214),"",ReferenceData!$AN$214),"")</f>
        <v>0.64600000000000002</v>
      </c>
      <c r="AO214">
        <f ca="1">IFERROR(IF(0=LEN(ReferenceData!$AO$214),"",ReferenceData!$AO$214),"")</f>
        <v>4.923</v>
      </c>
      <c r="AP214">
        <f ca="1">IFERROR(IF(0=LEN(ReferenceData!$AP$214),"",ReferenceData!$AP$214),"")</f>
        <v>10.215</v>
      </c>
      <c r="AQ214">
        <f ca="1">IFERROR(IF(0=LEN(ReferenceData!$AQ$214),"",ReferenceData!$AQ$214),"")</f>
        <v>0.20899999999999999</v>
      </c>
      <c r="AR214">
        <f ca="1">IFERROR(IF(0=LEN(ReferenceData!$AR$214),"",ReferenceData!$AR$214),"")</f>
        <v>3.79</v>
      </c>
      <c r="AS214">
        <f ca="1">IFERROR(IF(0=LEN(ReferenceData!$AS$214),"",ReferenceData!$AS$214),"")</f>
        <v>2.165</v>
      </c>
      <c r="AT214">
        <f ca="1">IFERROR(IF(0=LEN(ReferenceData!$AT$214),"",ReferenceData!$AT$214),"")</f>
        <v>1.516</v>
      </c>
      <c r="AU214">
        <f ca="1">IFERROR(IF(0=LEN(ReferenceData!$AU$214),"",ReferenceData!$AU$214),"")</f>
        <v>1.9790000000000001</v>
      </c>
      <c r="AV214">
        <f ca="1">IFERROR(IF(0=LEN(ReferenceData!$AV$214),"",ReferenceData!$AV$214),"")</f>
        <v>0.60799999999999998</v>
      </c>
      <c r="AW214">
        <f ca="1">IFERROR(IF(0=LEN(ReferenceData!$AW$214),"",ReferenceData!$AW$214),"")</f>
        <v>2.484</v>
      </c>
      <c r="AX214">
        <f ca="1">IFERROR(IF(0=LEN(ReferenceData!$AX$214),"",ReferenceData!$AX$214),"")</f>
        <v>2.6549999999999998</v>
      </c>
      <c r="AY214">
        <f ca="1">IFERROR(IF(0=LEN(ReferenceData!$AY$214),"",ReferenceData!$AY$214),"")</f>
        <v>0.72899999999999998</v>
      </c>
      <c r="AZ214">
        <f ca="1">IFERROR(IF(0=LEN(ReferenceData!$AZ$214),"",ReferenceData!$AZ$214),"")</f>
        <v>0</v>
      </c>
      <c r="BA214">
        <f ca="1">IFERROR(IF(0=LEN(ReferenceData!$BA$214),"",ReferenceData!$BA$214),"")</f>
        <v>14.053000000000001</v>
      </c>
      <c r="BB214">
        <f ca="1">IFERROR(IF(0=LEN(ReferenceData!$BB$214),"",ReferenceData!$BB$214),"")</f>
        <v>0.40300000000000002</v>
      </c>
      <c r="BC214">
        <f ca="1">IFERROR(IF(0=LEN(ReferenceData!$BC$214),"",ReferenceData!$BC$214),"")</f>
        <v>3.948</v>
      </c>
      <c r="BD214">
        <f ca="1">IFERROR(IF(0=LEN(ReferenceData!$BD$214),"",ReferenceData!$BD$214),"")</f>
        <v>0.76800000000000002</v>
      </c>
      <c r="BE214">
        <f ca="1">IFERROR(IF(0=LEN(ReferenceData!$BE$214),"",ReferenceData!$BE$214),"")</f>
        <v>0.53400000000000003</v>
      </c>
      <c r="BF214">
        <f ca="1">IFERROR(IF(0=LEN(ReferenceData!$BF$214),"",ReferenceData!$BF$214),"")</f>
        <v>9.8460000000000001</v>
      </c>
      <c r="BG214">
        <f ca="1">IFERROR(IF(0=LEN(ReferenceData!$BG$214),"",ReferenceData!$BG$214),"")</f>
        <v>12.083</v>
      </c>
      <c r="BH214">
        <f ca="1">IFERROR(IF(0=LEN(ReferenceData!$BH$214),"",ReferenceData!$BH$214),"")</f>
        <v>3.3029999729999999</v>
      </c>
      <c r="BI214">
        <f ca="1">IFERROR(IF(0=LEN(ReferenceData!$BI$214),"",ReferenceData!$BI$214),"")</f>
        <v>2.6619999409999999</v>
      </c>
      <c r="BJ214">
        <f ca="1">IFERROR(IF(0=LEN(ReferenceData!$BJ$214),"",ReferenceData!$BJ$214),"")</f>
        <v>62.314998629999998</v>
      </c>
      <c r="BK214">
        <f ca="1">IFERROR(IF(0=LEN(ReferenceData!$BK$214),"",ReferenceData!$BK$214),"")</f>
        <v>3.0939999999999999</v>
      </c>
      <c r="BL214">
        <f ca="1">IFERROR(IF(0=LEN(ReferenceData!$BL$214),"",ReferenceData!$BL$214),"")</f>
        <v>6.0789999960000003</v>
      </c>
      <c r="BM214">
        <f ca="1">IFERROR(IF(0=LEN(ReferenceData!$BM$214),"",ReferenceData!$BM$214),"")</f>
        <v>45.48500061</v>
      </c>
    </row>
    <row r="215" spans="1:65">
      <c r="A215" t="str">
        <f>IFERROR(IF(0=LEN(ReferenceData!$A$215),"",ReferenceData!$A$215),"")</f>
        <v xml:space="preserve">    Sabra Health Care REIT Inc</v>
      </c>
      <c r="B215" t="str">
        <f>IFERROR(IF(0=LEN(ReferenceData!$B$215),"",ReferenceData!$B$215),"")</f>
        <v>SBRA US Equity</v>
      </c>
      <c r="C215" t="str">
        <f>IFERROR(IF(0=LEN(ReferenceData!$C$215),"",ReferenceData!$C$215),"")</f>
        <v>RR253</v>
      </c>
      <c r="D215" t="str">
        <f>IFERROR(IF(0=LEN(ReferenceData!$D$215),"",ReferenceData!$D$215),"")</f>
        <v>CASH_AND_MARKETABLE_SECURITIES</v>
      </c>
      <c r="E215" t="str">
        <f>IFERROR(IF(0=LEN(ReferenceData!$E$215),"",ReferenceData!$E$215),"")</f>
        <v>动态</v>
      </c>
      <c r="F215" t="str">
        <f ca="1">IFERROR(IF(0=LEN(ReferenceData!$F$215),"",ReferenceData!$F$215),"")</f>
        <v/>
      </c>
      <c r="G215">
        <f ca="1">IFERROR(IF(0=LEN(ReferenceData!$G$215),"",ReferenceData!$G$215),"")</f>
        <v>518.63199999999995</v>
      </c>
      <c r="H215">
        <f ca="1">IFERROR(IF(0=LEN(ReferenceData!$H$215),"",ReferenceData!$H$215),"")</f>
        <v>30.873000000000001</v>
      </c>
      <c r="I215">
        <f ca="1">IFERROR(IF(0=LEN(ReferenceData!$I$215),"",ReferenceData!$I$215),"")</f>
        <v>13.234999999999999</v>
      </c>
      <c r="J215">
        <f ca="1">IFERROR(IF(0=LEN(ReferenceData!$J$215),"",ReferenceData!$J$215),"")</f>
        <v>12.814</v>
      </c>
      <c r="K215">
        <f ca="1">IFERROR(IF(0=LEN(ReferenceData!$K$215),"",ReferenceData!$K$215),"")</f>
        <v>25.663</v>
      </c>
      <c r="L215">
        <f ca="1">IFERROR(IF(0=LEN(ReferenceData!$L$215),"",ReferenceData!$L$215),"")</f>
        <v>19.673999999999999</v>
      </c>
      <c r="M215">
        <f ca="1">IFERROR(IF(0=LEN(ReferenceData!$M$215),"",ReferenceData!$M$215),"")</f>
        <v>103.86799999999999</v>
      </c>
      <c r="N215">
        <f ca="1">IFERROR(IF(0=LEN(ReferenceData!$N$215),"",ReferenceData!$N$215),"")</f>
        <v>9.1329999999999991</v>
      </c>
      <c r="O215">
        <f ca="1">IFERROR(IF(0=LEN(ReferenceData!$O$215),"",ReferenceData!$O$215),"")</f>
        <v>7.4340000000000002</v>
      </c>
      <c r="P215">
        <f ca="1">IFERROR(IF(0=LEN(ReferenceData!$P$215),"",ReferenceData!$P$215),"")</f>
        <v>31.472999999999999</v>
      </c>
      <c r="Q215">
        <f ca="1">IFERROR(IF(0=LEN(ReferenceData!$Q$215),"",ReferenceData!$Q$215),"")</f>
        <v>6.0419999999999998</v>
      </c>
      <c r="R215">
        <f ca="1">IFERROR(IF(0=LEN(ReferenceData!$R$215),"",ReferenceData!$R$215),"")</f>
        <v>4.1710000000000003</v>
      </c>
      <c r="S215">
        <f ca="1">IFERROR(IF(0=LEN(ReferenceData!$S$215),"",ReferenceData!$S$215),"")</f>
        <v>61.792999999999999</v>
      </c>
      <c r="T215">
        <f ca="1">IFERROR(IF(0=LEN(ReferenceData!$T$215),"",ReferenceData!$T$215),"")</f>
        <v>25.478999999999999</v>
      </c>
      <c r="U215">
        <f ca="1">IFERROR(IF(0=LEN(ReferenceData!$U$215),"",ReferenceData!$U$215),"")</f>
        <v>15.085000000000001</v>
      </c>
      <c r="V215">
        <f ca="1">IFERROR(IF(0=LEN(ReferenceData!$V$215),"",ReferenceData!$V$215),"")</f>
        <v>4.2859999999999996</v>
      </c>
      <c r="W215">
        <f ca="1">IFERROR(IF(0=LEN(ReferenceData!$W$215),"",ReferenceData!$W$215),"")</f>
        <v>4.3079999999999998</v>
      </c>
      <c r="X215">
        <f ca="1">IFERROR(IF(0=LEN(ReferenceData!$X$215),"",ReferenceData!$X$215),"")</f>
        <v>96.641000000000005</v>
      </c>
      <c r="Y215">
        <f ca="1">IFERROR(IF(0=LEN(ReferenceData!$Y$215),"",ReferenceData!$Y$215),"")</f>
        <v>92.77</v>
      </c>
      <c r="Z215">
        <f ca="1">IFERROR(IF(0=LEN(ReferenceData!$Z$215),"",ReferenceData!$Z$215),"")</f>
        <v>53.564999999999998</v>
      </c>
      <c r="AA215">
        <f ca="1">IFERROR(IF(0=LEN(ReferenceData!$AA$215),"",ReferenceData!$AA$215),"")</f>
        <v>17.100999999999999</v>
      </c>
      <c r="AB215">
        <f ca="1">IFERROR(IF(0=LEN(ReferenceData!$AB$215),"",ReferenceData!$AB$215),"")</f>
        <v>30.477</v>
      </c>
      <c r="AC215">
        <f ca="1">IFERROR(IF(0=LEN(ReferenceData!$AC$215),"",ReferenceData!$AC$215),"")</f>
        <v>3.11</v>
      </c>
      <c r="AD215">
        <f ca="1">IFERROR(IF(0=LEN(ReferenceData!$AD$215),"",ReferenceData!$AD$215),"")</f>
        <v>2.6749999999999998</v>
      </c>
      <c r="AE215">
        <f ca="1">IFERROR(IF(0=LEN(ReferenceData!$AE$215),"",ReferenceData!$AE$215),"")</f>
        <v>42.25</v>
      </c>
      <c r="AF215">
        <f ca="1">IFERROR(IF(0=LEN(ReferenceData!$AF$215),"",ReferenceData!$AF$215),"")</f>
        <v>56.417000000000002</v>
      </c>
      <c r="AG215">
        <f ca="1">IFERROR(IF(0=LEN(ReferenceData!$AG$215),"",ReferenceData!$AG$215),"")</f>
        <v>3.4540000000000002</v>
      </c>
      <c r="AH215">
        <f ca="1">IFERROR(IF(0=LEN(ReferenceData!$AH$215),"",ReferenceData!$AH$215),"")</f>
        <v>80.209999999999994</v>
      </c>
      <c r="AI215" t="str">
        <f ca="1">IFERROR(IF(0=LEN(ReferenceData!$AI$215),"",ReferenceData!$AI$215),"")</f>
        <v/>
      </c>
      <c r="AJ215" t="str">
        <f ca="1">IFERROR(IF(0=LEN(ReferenceData!$AJ$215),"",ReferenceData!$AJ$215),"")</f>
        <v/>
      </c>
      <c r="AK215" t="str">
        <f ca="1">IFERROR(IF(0=LEN(ReferenceData!$AK$215),"",ReferenceData!$AK$215),"")</f>
        <v/>
      </c>
      <c r="AL215" t="str">
        <f ca="1">IFERROR(IF(0=LEN(ReferenceData!$AL$215),"",ReferenceData!$AL$215),"")</f>
        <v/>
      </c>
      <c r="AM215" t="str">
        <f ca="1">IFERROR(IF(0=LEN(ReferenceData!$AM$215),"",ReferenceData!$AM$215),"")</f>
        <v/>
      </c>
      <c r="AN215" t="str">
        <f ca="1">IFERROR(IF(0=LEN(ReferenceData!$AN$215),"",ReferenceData!$AN$215),"")</f>
        <v/>
      </c>
      <c r="AO215" t="str">
        <f ca="1">IFERROR(IF(0=LEN(ReferenceData!$AO$215),"",ReferenceData!$AO$215),"")</f>
        <v/>
      </c>
      <c r="AP215" t="str">
        <f ca="1">IFERROR(IF(0=LEN(ReferenceData!$AP$215),"",ReferenceData!$AP$215),"")</f>
        <v/>
      </c>
      <c r="AQ215" t="str">
        <f ca="1">IFERROR(IF(0=LEN(ReferenceData!$AQ$215),"",ReferenceData!$AQ$215),"")</f>
        <v/>
      </c>
      <c r="AR215" t="str">
        <f ca="1">IFERROR(IF(0=LEN(ReferenceData!$AR$215),"",ReferenceData!$AR$215),"")</f>
        <v/>
      </c>
      <c r="AS215" t="str">
        <f ca="1">IFERROR(IF(0=LEN(ReferenceData!$AS$215),"",ReferenceData!$AS$215),"")</f>
        <v/>
      </c>
      <c r="AT215" t="str">
        <f ca="1">IFERROR(IF(0=LEN(ReferenceData!$AT$215),"",ReferenceData!$AT$215),"")</f>
        <v/>
      </c>
      <c r="AU215" t="str">
        <f ca="1">IFERROR(IF(0=LEN(ReferenceData!$AU$215),"",ReferenceData!$AU$215),"")</f>
        <v/>
      </c>
      <c r="AV215" t="str">
        <f ca="1">IFERROR(IF(0=LEN(ReferenceData!$AV$215),"",ReferenceData!$AV$215),"")</f>
        <v/>
      </c>
      <c r="AW215" t="str">
        <f ca="1">IFERROR(IF(0=LEN(ReferenceData!$AW$215),"",ReferenceData!$AW$215),"")</f>
        <v/>
      </c>
      <c r="AX215" t="str">
        <f ca="1">IFERROR(IF(0=LEN(ReferenceData!$AX$215),"",ReferenceData!$AX$215),"")</f>
        <v/>
      </c>
      <c r="AY215" t="str">
        <f ca="1">IFERROR(IF(0=LEN(ReferenceData!$AY$215),"",ReferenceData!$AY$215),"")</f>
        <v/>
      </c>
      <c r="AZ215" t="str">
        <f ca="1">IFERROR(IF(0=LEN(ReferenceData!$AZ$215),"",ReferenceData!$AZ$215),"")</f>
        <v/>
      </c>
      <c r="BA215" t="str">
        <f ca="1">IFERROR(IF(0=LEN(ReferenceData!$BA$215),"",ReferenceData!$BA$215),"")</f>
        <v/>
      </c>
      <c r="BB215" t="str">
        <f ca="1">IFERROR(IF(0=LEN(ReferenceData!$BB$215),"",ReferenceData!$BB$215),"")</f>
        <v/>
      </c>
      <c r="BC215" t="str">
        <f ca="1">IFERROR(IF(0=LEN(ReferenceData!$BC$215),"",ReferenceData!$BC$215),"")</f>
        <v/>
      </c>
      <c r="BD215" t="str">
        <f ca="1">IFERROR(IF(0=LEN(ReferenceData!$BD$215),"",ReferenceData!$BD$215),"")</f>
        <v/>
      </c>
      <c r="BE215" t="str">
        <f ca="1">IFERROR(IF(0=LEN(ReferenceData!$BE$215),"",ReferenceData!$BE$215),"")</f>
        <v/>
      </c>
      <c r="BF215" t="str">
        <f ca="1">IFERROR(IF(0=LEN(ReferenceData!$BF$215),"",ReferenceData!$BF$215),"")</f>
        <v/>
      </c>
      <c r="BG215" t="str">
        <f ca="1">IFERROR(IF(0=LEN(ReferenceData!$BG$215),"",ReferenceData!$BG$215),"")</f>
        <v/>
      </c>
      <c r="BH215" t="str">
        <f ca="1">IFERROR(IF(0=LEN(ReferenceData!$BH$215),"",ReferenceData!$BH$215),"")</f>
        <v/>
      </c>
      <c r="BI215" t="str">
        <f ca="1">IFERROR(IF(0=LEN(ReferenceData!$BI$215),"",ReferenceData!$BI$215),"")</f>
        <v/>
      </c>
      <c r="BJ215" t="str">
        <f ca="1">IFERROR(IF(0=LEN(ReferenceData!$BJ$215),"",ReferenceData!$BJ$215),"")</f>
        <v/>
      </c>
      <c r="BK215" t="str">
        <f ca="1">IFERROR(IF(0=LEN(ReferenceData!$BK$215),"",ReferenceData!$BK$215),"")</f>
        <v/>
      </c>
      <c r="BL215" t="str">
        <f ca="1">IFERROR(IF(0=LEN(ReferenceData!$BL$215),"",ReferenceData!$BL$215),"")</f>
        <v/>
      </c>
      <c r="BM215" t="str">
        <f ca="1">IFERROR(IF(0=LEN(ReferenceData!$BM$215),"",ReferenceData!$BM$215),"")</f>
        <v/>
      </c>
    </row>
    <row r="216" spans="1:65">
      <c r="A216" t="str">
        <f>IFERROR(IF(0=LEN(ReferenceData!$A$216),"",ReferenceData!$A$216),"")</f>
        <v xml:space="preserve">    Senior Housing Properties Trus</v>
      </c>
      <c r="B216" t="str">
        <f>IFERROR(IF(0=LEN(ReferenceData!$B$216),"",ReferenceData!$B$216),"")</f>
        <v>SNH US Equity</v>
      </c>
      <c r="C216" t="str">
        <f>IFERROR(IF(0=LEN(ReferenceData!$C$216),"",ReferenceData!$C$216),"")</f>
        <v>RR253</v>
      </c>
      <c r="D216" t="str">
        <f>IFERROR(IF(0=LEN(ReferenceData!$D$216),"",ReferenceData!$D$216),"")</f>
        <v>CASH_AND_MARKETABLE_SECURITIES</v>
      </c>
      <c r="E216" t="str">
        <f>IFERROR(IF(0=LEN(ReferenceData!$E$216),"",ReferenceData!$E$216),"")</f>
        <v>动态</v>
      </c>
      <c r="F216" t="str">
        <f ca="1">IFERROR(IF(0=LEN(ReferenceData!$F$216),"",ReferenceData!$F$216),"")</f>
        <v/>
      </c>
      <c r="G216">
        <f ca="1">IFERROR(IF(0=LEN(ReferenceData!$G$216),"",ReferenceData!$G$216),"")</f>
        <v>31.238</v>
      </c>
      <c r="H216">
        <f ca="1">IFERROR(IF(0=LEN(ReferenceData!$H$216),"",ReferenceData!$H$216),"")</f>
        <v>28.87</v>
      </c>
      <c r="I216">
        <f ca="1">IFERROR(IF(0=LEN(ReferenceData!$I$216),"",ReferenceData!$I$216),"")</f>
        <v>27.16</v>
      </c>
      <c r="J216">
        <f ca="1">IFERROR(IF(0=LEN(ReferenceData!$J$216),"",ReferenceData!$J$216),"")</f>
        <v>32.271999999999998</v>
      </c>
      <c r="K216">
        <f ca="1">IFERROR(IF(0=LEN(ReferenceData!$K$216),"",ReferenceData!$K$216),"")</f>
        <v>31.748999999999999</v>
      </c>
      <c r="L216">
        <f ca="1">IFERROR(IF(0=LEN(ReferenceData!$L$216),"",ReferenceData!$L$216),"")</f>
        <v>40.773000000000003</v>
      </c>
      <c r="M216">
        <f ca="1">IFERROR(IF(0=LEN(ReferenceData!$M$216),"",ReferenceData!$M$216),"")</f>
        <v>25.632999999999999</v>
      </c>
      <c r="N216">
        <f ca="1">IFERROR(IF(0=LEN(ReferenceData!$N$216),"",ReferenceData!$N$216),"")</f>
        <v>39.198999999999998</v>
      </c>
      <c r="O216">
        <f ca="1">IFERROR(IF(0=LEN(ReferenceData!$O$216),"",ReferenceData!$O$216),"")</f>
        <v>37.655999999999999</v>
      </c>
      <c r="P216">
        <f ca="1">IFERROR(IF(0=LEN(ReferenceData!$P$216),"",ReferenceData!$P$216),"")</f>
        <v>61.408000000000001</v>
      </c>
      <c r="Q216">
        <f ca="1">IFERROR(IF(0=LEN(ReferenceData!$Q$216),"",ReferenceData!$Q$216),"")</f>
        <v>52.231000000000002</v>
      </c>
      <c r="R216">
        <f ca="1">IFERROR(IF(0=LEN(ReferenceData!$R$216),"",ReferenceData!$R$216),"")</f>
        <v>77.793999999999997</v>
      </c>
      <c r="S216">
        <f ca="1">IFERROR(IF(0=LEN(ReferenceData!$S$216),"",ReferenceData!$S$216),"")</f>
        <v>27.594000000000001</v>
      </c>
      <c r="T216">
        <f ca="1">IFERROR(IF(0=LEN(ReferenceData!$T$216),"",ReferenceData!$T$216),"")</f>
        <v>80.75</v>
      </c>
      <c r="U216">
        <f ca="1">IFERROR(IF(0=LEN(ReferenceData!$U$216),"",ReferenceData!$U$216),"")</f>
        <v>79.391999999999996</v>
      </c>
      <c r="V216">
        <f ca="1">IFERROR(IF(0=LEN(ReferenceData!$V$216),"",ReferenceData!$V$216),"")</f>
        <v>32.966999999999999</v>
      </c>
      <c r="W216">
        <f ca="1">IFERROR(IF(0=LEN(ReferenceData!$W$216),"",ReferenceData!$W$216),"")</f>
        <v>39.232999999999997</v>
      </c>
      <c r="X216">
        <f ca="1">IFERROR(IF(0=LEN(ReferenceData!$X$216),"",ReferenceData!$X$216),"")</f>
        <v>52.258000000000003</v>
      </c>
      <c r="Y216">
        <f ca="1">IFERROR(IF(0=LEN(ReferenceData!$Y$216),"",ReferenceData!$Y$216),"")</f>
        <v>37.335999999999999</v>
      </c>
      <c r="Z216">
        <f ca="1">IFERROR(IF(0=LEN(ReferenceData!$Z$216),"",ReferenceData!$Z$216),"")</f>
        <v>38.988999999999997</v>
      </c>
      <c r="AA216">
        <f ca="1">IFERROR(IF(0=LEN(ReferenceData!$AA$216),"",ReferenceData!$AA$216),"")</f>
        <v>42.381999999999998</v>
      </c>
      <c r="AB216">
        <f ca="1">IFERROR(IF(0=LEN(ReferenceData!$AB$216),"",ReferenceData!$AB$216),"")</f>
        <v>20.984999999999999</v>
      </c>
      <c r="AC216">
        <f ca="1">IFERROR(IF(0=LEN(ReferenceData!$AC$216),"",ReferenceData!$AC$216),"")</f>
        <v>20.405000000000001</v>
      </c>
      <c r="AD216">
        <f ca="1">IFERROR(IF(0=LEN(ReferenceData!$AD$216),"",ReferenceData!$AD$216),"")</f>
        <v>25.302</v>
      </c>
      <c r="AE216">
        <f ca="1">IFERROR(IF(0=LEN(ReferenceData!$AE$216),"",ReferenceData!$AE$216),"")</f>
        <v>23.56</v>
      </c>
      <c r="AF216">
        <f ca="1">IFERROR(IF(0=LEN(ReferenceData!$AF$216),"",ReferenceData!$AF$216),"")</f>
        <v>26.844999999999999</v>
      </c>
      <c r="AG216">
        <f ca="1">IFERROR(IF(0=LEN(ReferenceData!$AG$216),"",ReferenceData!$AG$216),"")</f>
        <v>28.082000000000001</v>
      </c>
      <c r="AH216">
        <f ca="1">IFERROR(IF(0=LEN(ReferenceData!$AH$216),"",ReferenceData!$AH$216),"")</f>
        <v>14.81</v>
      </c>
      <c r="AI216">
        <f ca="1">IFERROR(IF(0=LEN(ReferenceData!$AI$216),"",ReferenceData!$AI$216),"")</f>
        <v>10.866</v>
      </c>
      <c r="AJ216">
        <f ca="1">IFERROR(IF(0=LEN(ReferenceData!$AJ$216),"",ReferenceData!$AJ$216),"")</f>
        <v>8.5129999999999999</v>
      </c>
      <c r="AK216">
        <f ca="1">IFERROR(IF(0=LEN(ReferenceData!$AK$216),"",ReferenceData!$AK$216),"")</f>
        <v>25.23</v>
      </c>
      <c r="AL216">
        <f ca="1">IFERROR(IF(0=LEN(ReferenceData!$AL$216),"",ReferenceData!$AL$216),"")</f>
        <v>5.4859999999999998</v>
      </c>
      <c r="AM216">
        <f ca="1">IFERROR(IF(0=LEN(ReferenceData!$AM$216),"",ReferenceData!$AM$216),"")</f>
        <v>10.494</v>
      </c>
      <c r="AN216">
        <f ca="1">IFERROR(IF(0=LEN(ReferenceData!$AN$216),"",ReferenceData!$AN$216),"")</f>
        <v>72.486999999999995</v>
      </c>
      <c r="AO216">
        <f ca="1">IFERROR(IF(0=LEN(ReferenceData!$AO$216),"",ReferenceData!$AO$216),"")</f>
        <v>5.3730000000000002</v>
      </c>
      <c r="AP216">
        <f ca="1">IFERROR(IF(0=LEN(ReferenceData!$AP$216),"",ReferenceData!$AP$216),"")</f>
        <v>5.5659999999999998</v>
      </c>
      <c r="AQ216">
        <f ca="1">IFERROR(IF(0=LEN(ReferenceData!$AQ$216),"",ReferenceData!$AQ$216),"")</f>
        <v>5.99</v>
      </c>
      <c r="AR216">
        <f ca="1">IFERROR(IF(0=LEN(ReferenceData!$AR$216),"",ReferenceData!$AR$216),"")</f>
        <v>7.1909999999999998</v>
      </c>
      <c r="AS216">
        <f ca="1">IFERROR(IF(0=LEN(ReferenceData!$AS$216),"",ReferenceData!$AS$216),"")</f>
        <v>185.94</v>
      </c>
      <c r="AT216">
        <f ca="1">IFERROR(IF(0=LEN(ReferenceData!$AT$216),"",ReferenceData!$AT$216),"")</f>
        <v>5.1920000000000002</v>
      </c>
      <c r="AU216">
        <f ca="1">IFERROR(IF(0=LEN(ReferenceData!$AU$216),"",ReferenceData!$AU$216),"")</f>
        <v>43.521000000000001</v>
      </c>
      <c r="AV216">
        <f ca="1">IFERROR(IF(0=LEN(ReferenceData!$AV$216),"",ReferenceData!$AV$216),"")</f>
        <v>3.645</v>
      </c>
      <c r="AW216">
        <f ca="1">IFERROR(IF(0=LEN(ReferenceData!$AW$216),"",ReferenceData!$AW$216),"")</f>
        <v>8.9239999999999995</v>
      </c>
      <c r="AX216">
        <f ca="1">IFERROR(IF(0=LEN(ReferenceData!$AX$216),"",ReferenceData!$AX$216),"")</f>
        <v>17.358000000000001</v>
      </c>
      <c r="AY216">
        <f ca="1">IFERROR(IF(0=LEN(ReferenceData!$AY$216),"",ReferenceData!$AY$216),"")</f>
        <v>5.4640000000000004</v>
      </c>
      <c r="AZ216">
        <f ca="1">IFERROR(IF(0=LEN(ReferenceData!$AZ$216),"",ReferenceData!$AZ$216),"")</f>
        <v>1.5269999999999999</v>
      </c>
      <c r="BA216">
        <f ca="1">IFERROR(IF(0=LEN(ReferenceData!$BA$216),"",ReferenceData!$BA$216),"")</f>
        <v>2.7469999999999999</v>
      </c>
      <c r="BB216">
        <f ca="1">IFERROR(IF(0=LEN(ReferenceData!$BB$216),"",ReferenceData!$BB$216),"")</f>
        <v>1.2470000000000001</v>
      </c>
      <c r="BC216">
        <f ca="1">IFERROR(IF(0=LEN(ReferenceData!$BC$216),"",ReferenceData!$BC$216),"")</f>
        <v>14.641999999999999</v>
      </c>
      <c r="BD216">
        <f ca="1">IFERROR(IF(0=LEN(ReferenceData!$BD$216),"",ReferenceData!$BD$216),"")</f>
        <v>1.8559999469999999</v>
      </c>
      <c r="BE216">
        <f ca="1">IFERROR(IF(0=LEN(ReferenceData!$BE$216),"",ReferenceData!$BE$216),"")</f>
        <v>7.2069997790000002</v>
      </c>
      <c r="BF216">
        <f ca="1">IFERROR(IF(0=LEN(ReferenceData!$BF$216),"",ReferenceData!$BF$216),"")</f>
        <v>3.5639998909999999</v>
      </c>
      <c r="BG216">
        <f ca="1">IFERROR(IF(0=LEN(ReferenceData!$BG$216),"",ReferenceData!$BG$216),"")</f>
        <v>3.4089999999999998</v>
      </c>
      <c r="BH216">
        <f ca="1">IFERROR(IF(0=LEN(ReferenceData!$BH$216),"",ReferenceData!$BH$216),"")</f>
        <v>2.8940000530000001</v>
      </c>
      <c r="BI216">
        <f ca="1">IFERROR(IF(0=LEN(ReferenceData!$BI$216),"",ReferenceData!$BI$216),"")</f>
        <v>4.8140001300000002</v>
      </c>
      <c r="BJ216">
        <f ca="1">IFERROR(IF(0=LEN(ReferenceData!$BJ$216),"",ReferenceData!$BJ$216),"")</f>
        <v>3.7990000249999998</v>
      </c>
      <c r="BK216">
        <f ca="1">IFERROR(IF(0=LEN(ReferenceData!$BK$216),"",ReferenceData!$BK$216),"")</f>
        <v>3.5299999710000001</v>
      </c>
      <c r="BL216">
        <f ca="1">IFERROR(IF(0=LEN(ReferenceData!$BL$216),"",ReferenceData!$BL$216),"")</f>
        <v>4.88</v>
      </c>
      <c r="BM216">
        <f ca="1">IFERROR(IF(0=LEN(ReferenceData!$BM$216),"",ReferenceData!$BM$216),"")</f>
        <v>5.46</v>
      </c>
    </row>
    <row r="217" spans="1:65">
      <c r="A217" t="str">
        <f>IFERROR(IF(0=LEN(ReferenceData!$A$217),"",ReferenceData!$A$217),"")</f>
        <v xml:space="preserve">    Ventas Inc</v>
      </c>
      <c r="B217" t="str">
        <f>IFERROR(IF(0=LEN(ReferenceData!$B$217),"",ReferenceData!$B$217),"")</f>
        <v>VTR US Equity</v>
      </c>
      <c r="C217" t="str">
        <f>IFERROR(IF(0=LEN(ReferenceData!$C$217),"",ReferenceData!$C$217),"")</f>
        <v>RR253</v>
      </c>
      <c r="D217" t="str">
        <f>IFERROR(IF(0=LEN(ReferenceData!$D$217),"",ReferenceData!$D$217),"")</f>
        <v>CASH_AND_MARKETABLE_SECURITIES</v>
      </c>
      <c r="E217" t="str">
        <f>IFERROR(IF(0=LEN(ReferenceData!$E$217),"",ReferenceData!$E$217),"")</f>
        <v>动态</v>
      </c>
      <c r="F217" t="str">
        <f ca="1">IFERROR(IF(0=LEN(ReferenceData!$F$217),"",ReferenceData!$F$217),"")</f>
        <v/>
      </c>
      <c r="G217">
        <f ca="1">IFERROR(IF(0=LEN(ReferenceData!$G$217),"",ReferenceData!$G$217),"")</f>
        <v>81.355000000000004</v>
      </c>
      <c r="H217">
        <f ca="1">IFERROR(IF(0=LEN(ReferenceData!$H$217),"",ReferenceData!$H$217),"")</f>
        <v>85.063000000000002</v>
      </c>
      <c r="I217">
        <f ca="1">IFERROR(IF(0=LEN(ReferenceData!$I$217),"",ReferenceData!$I$217),"")</f>
        <v>103.35299999999999</v>
      </c>
      <c r="J217">
        <f ca="1">IFERROR(IF(0=LEN(ReferenceData!$J$217),"",ReferenceData!$J$217),"")</f>
        <v>91.284000000000006</v>
      </c>
      <c r="K217">
        <f ca="1">IFERROR(IF(0=LEN(ReferenceData!$K$217),"",ReferenceData!$K$217),"")</f>
        <v>286.70699999999999</v>
      </c>
      <c r="L217">
        <f ca="1">IFERROR(IF(0=LEN(ReferenceData!$L$217),"",ReferenceData!$L$217),"")</f>
        <v>89.278999999999996</v>
      </c>
      <c r="M217">
        <f ca="1">IFERROR(IF(0=LEN(ReferenceData!$M$217),"",ReferenceData!$M$217),"")</f>
        <v>57.322000000000003</v>
      </c>
      <c r="N217">
        <f ca="1">IFERROR(IF(0=LEN(ReferenceData!$N$217),"",ReferenceData!$N$217),"")</f>
        <v>51.701000000000001</v>
      </c>
      <c r="O217">
        <f ca="1">IFERROR(IF(0=LEN(ReferenceData!$O$217),"",ReferenceData!$O$217),"")</f>
        <v>53.023000000000003</v>
      </c>
      <c r="P217">
        <f ca="1">IFERROR(IF(0=LEN(ReferenceData!$P$217),"",ReferenceData!$P$217),"")</f>
        <v>65.230999999999995</v>
      </c>
      <c r="Q217">
        <f ca="1">IFERROR(IF(0=LEN(ReferenceData!$Q$217),"",ReferenceData!$Q$217),"")</f>
        <v>60.531999999999996</v>
      </c>
      <c r="R217">
        <f ca="1">IFERROR(IF(0=LEN(ReferenceData!$R$217),"",ReferenceData!$R$217),"")</f>
        <v>120.22499999999999</v>
      </c>
      <c r="S217">
        <f ca="1">IFERROR(IF(0=LEN(ReferenceData!$S$217),"",ReferenceData!$S$217),"")</f>
        <v>55.347999999999999</v>
      </c>
      <c r="T217">
        <f ca="1">IFERROR(IF(0=LEN(ReferenceData!$T$217),"",ReferenceData!$T$217),"")</f>
        <v>64.594999999999999</v>
      </c>
      <c r="U217">
        <f ca="1">IFERROR(IF(0=LEN(ReferenceData!$U$217),"",ReferenceData!$U$217),"")</f>
        <v>86.635000000000005</v>
      </c>
      <c r="V217">
        <f ca="1">IFERROR(IF(0=LEN(ReferenceData!$V$217),"",ReferenceData!$V$217),"")</f>
        <v>59.790999999999997</v>
      </c>
      <c r="W217">
        <f ca="1">IFERROR(IF(0=LEN(ReferenceData!$W$217),"",ReferenceData!$W$217),"")</f>
        <v>94.816000000000003</v>
      </c>
      <c r="X217">
        <f ca="1">IFERROR(IF(0=LEN(ReferenceData!$X$217),"",ReferenceData!$X$217),"")</f>
        <v>54.671999999999997</v>
      </c>
      <c r="Y217">
        <f ca="1">IFERROR(IF(0=LEN(ReferenceData!$Y$217),"",ReferenceData!$Y$217),"")</f>
        <v>62.420999999999999</v>
      </c>
      <c r="Z217">
        <f ca="1">IFERROR(IF(0=LEN(ReferenceData!$Z$217),"",ReferenceData!$Z$217),"")</f>
        <v>57.69</v>
      </c>
      <c r="AA217">
        <f ca="1">IFERROR(IF(0=LEN(ReferenceData!$AA$217),"",ReferenceData!$AA$217),"")</f>
        <v>67.908000000000001</v>
      </c>
      <c r="AB217">
        <f ca="1">IFERROR(IF(0=LEN(ReferenceData!$AB$217),"",ReferenceData!$AB$217),"")</f>
        <v>58.53</v>
      </c>
      <c r="AC217">
        <f ca="1">IFERROR(IF(0=LEN(ReferenceData!$AC$217),"",ReferenceData!$AC$217),"")</f>
        <v>52.802999999999997</v>
      </c>
      <c r="AD217">
        <f ca="1">IFERROR(IF(0=LEN(ReferenceData!$AD$217),"",ReferenceData!$AD$217),"")</f>
        <v>53.223999999999997</v>
      </c>
      <c r="AE217">
        <f ca="1">IFERROR(IF(0=LEN(ReferenceData!$AE$217),"",ReferenceData!$AE$217),"")</f>
        <v>45.807000000000002</v>
      </c>
      <c r="AF217">
        <f ca="1">IFERROR(IF(0=LEN(ReferenceData!$AF$217),"",ReferenceData!$AF$217),"")</f>
        <v>57.481999999999999</v>
      </c>
      <c r="AG217">
        <f ca="1">IFERROR(IF(0=LEN(ReferenceData!$AG$217),"",ReferenceData!$AG$217),"")</f>
        <v>26.702000000000002</v>
      </c>
      <c r="AH217">
        <f ca="1">IFERROR(IF(0=LEN(ReferenceData!$AH$217),"",ReferenceData!$AH$217),"")</f>
        <v>41.899000000000001</v>
      </c>
      <c r="AI217">
        <f ca="1">IFERROR(IF(0=LEN(ReferenceData!$AI$217),"",ReferenceData!$AI$217),"")</f>
        <v>21.812000000000001</v>
      </c>
      <c r="AJ217">
        <f ca="1">IFERROR(IF(0=LEN(ReferenceData!$AJ$217),"",ReferenceData!$AJ$217),"")</f>
        <v>33.79</v>
      </c>
      <c r="AK217">
        <f ca="1">IFERROR(IF(0=LEN(ReferenceData!$AK$217),"",ReferenceData!$AK$217),"")</f>
        <v>27.794</v>
      </c>
      <c r="AL217">
        <f ca="1">IFERROR(IF(0=LEN(ReferenceData!$AL$217),"",ReferenceData!$AL$217),"")</f>
        <v>132.72900000000001</v>
      </c>
      <c r="AM217">
        <f ca="1">IFERROR(IF(0=LEN(ReferenceData!$AM$217),"",ReferenceData!$AM$217),"")</f>
        <v>107.39700000000001</v>
      </c>
      <c r="AN217">
        <f ca="1">IFERROR(IF(0=LEN(ReferenceData!$AN$217),"",ReferenceData!$AN$217),"")</f>
        <v>70.888999999999996</v>
      </c>
      <c r="AO217">
        <f ca="1">IFERROR(IF(0=LEN(ReferenceData!$AO$217),"",ReferenceData!$AO$217),"")</f>
        <v>46.523000000000003</v>
      </c>
      <c r="AP217">
        <f ca="1">IFERROR(IF(0=LEN(ReferenceData!$AP$217),"",ReferenceData!$AP$217),"")</f>
        <v>95.805999999999997</v>
      </c>
      <c r="AQ217">
        <f ca="1">IFERROR(IF(0=LEN(ReferenceData!$AQ$217),"",ReferenceData!$AQ$217),"")</f>
        <v>176.81200000000001</v>
      </c>
      <c r="AR217">
        <f ca="1">IFERROR(IF(0=LEN(ReferenceData!$AR$217),"",ReferenceData!$AR$217),"")</f>
        <v>115.923</v>
      </c>
      <c r="AS217">
        <f ca="1">IFERROR(IF(0=LEN(ReferenceData!$AS$217),"",ReferenceData!$AS$217),"")</f>
        <v>29.268000000000001</v>
      </c>
      <c r="AT217">
        <f ca="1">IFERROR(IF(0=LEN(ReferenceData!$AT$217),"",ReferenceData!$AT$217),"")</f>
        <v>51.347000000000001</v>
      </c>
      <c r="AU217">
        <f ca="1">IFERROR(IF(0=LEN(ReferenceData!$AU$217),"",ReferenceData!$AU$217),"")</f>
        <v>28.334</v>
      </c>
      <c r="AV217">
        <f ca="1">IFERROR(IF(0=LEN(ReferenceData!$AV$217),"",ReferenceData!$AV$217),"")</f>
        <v>28.573</v>
      </c>
      <c r="AW217">
        <f ca="1">IFERROR(IF(0=LEN(ReferenceData!$AW$217),"",ReferenceData!$AW$217),"")</f>
        <v>30.138000000000002</v>
      </c>
      <c r="AX217">
        <f ca="1">IFERROR(IF(0=LEN(ReferenceData!$AX$217),"",ReferenceData!$AX$217),"")</f>
        <v>0</v>
      </c>
      <c r="AY217">
        <f ca="1">IFERROR(IF(0=LEN(ReferenceData!$AY$217),"",ReferenceData!$AY$217),"")</f>
        <v>1.246</v>
      </c>
      <c r="AZ217">
        <f ca="1">IFERROR(IF(0=LEN(ReferenceData!$AZ$217),"",ReferenceData!$AZ$217),"")</f>
        <v>1.9350000000000001</v>
      </c>
      <c r="BA217">
        <f ca="1">IFERROR(IF(0=LEN(ReferenceData!$BA$217),"",ReferenceData!$BA$217),"")</f>
        <v>1.9319999999999999</v>
      </c>
      <c r="BB217">
        <f ca="1">IFERROR(IF(0=LEN(ReferenceData!$BB$217),"",ReferenceData!$BB$217),"")</f>
        <v>1.466</v>
      </c>
      <c r="BC217">
        <f ca="1">IFERROR(IF(0=LEN(ReferenceData!$BC$217),"",ReferenceData!$BC$217),"")</f>
        <v>1.641</v>
      </c>
      <c r="BD217">
        <f ca="1">IFERROR(IF(0=LEN(ReferenceData!$BD$217),"",ReferenceData!$BD$217),"")</f>
        <v>5.7640000000000002</v>
      </c>
      <c r="BE217">
        <f ca="1">IFERROR(IF(0=LEN(ReferenceData!$BE$217),"",ReferenceData!$BE$217),"")</f>
        <v>0.80200000000000005</v>
      </c>
      <c r="BF217">
        <f ca="1">IFERROR(IF(0=LEN(ReferenceData!$BF$217),"",ReferenceData!$BF$217),"")</f>
        <v>1.7789999999999999</v>
      </c>
      <c r="BG217">
        <f ca="1">IFERROR(IF(0=LEN(ReferenceData!$BG$217),"",ReferenceData!$BG$217),"")</f>
        <v>3.3650000000000002</v>
      </c>
      <c r="BH217">
        <f ca="1">IFERROR(IF(0=LEN(ReferenceData!$BH$217),"",ReferenceData!$BH$217),"")</f>
        <v>3.8050000000000002</v>
      </c>
      <c r="BI217">
        <f ca="1">IFERROR(IF(0=LEN(ReferenceData!$BI$217),"",ReferenceData!$BI$217),"")</f>
        <v>8.8800000000000008</v>
      </c>
      <c r="BJ217">
        <f ca="1">IFERROR(IF(0=LEN(ReferenceData!$BJ$217),"",ReferenceData!$BJ$217),"")</f>
        <v>1.7230000000000001</v>
      </c>
      <c r="BK217">
        <f ca="1">IFERROR(IF(0=LEN(ReferenceData!$BK$217),"",ReferenceData!$BK$217),"")</f>
        <v>82.103996280000004</v>
      </c>
      <c r="BL217">
        <f ca="1">IFERROR(IF(0=LEN(ReferenceData!$BL$217),"",ReferenceData!$BL$217),"")</f>
        <v>10.09500027</v>
      </c>
      <c r="BM217">
        <f ca="1">IFERROR(IF(0=LEN(ReferenceData!$BM$217),"",ReferenceData!$BM$217),"")</f>
        <v>9.173</v>
      </c>
    </row>
    <row r="218" spans="1:65">
      <c r="A218" t="str">
        <f>IFERROR(IF(0=LEN(ReferenceData!$A$218),"",ReferenceData!$A$218),"")</f>
        <v xml:space="preserve">    Welltower Inc</v>
      </c>
      <c r="B218" t="str">
        <f>IFERROR(IF(0=LEN(ReferenceData!$B$218),"",ReferenceData!$B$218),"")</f>
        <v>HCN US Equity</v>
      </c>
      <c r="C218" t="str">
        <f>IFERROR(IF(0=LEN(ReferenceData!$C$218),"",ReferenceData!$C$218),"")</f>
        <v>RR253</v>
      </c>
      <c r="D218" t="str">
        <f>IFERROR(IF(0=LEN(ReferenceData!$D$218),"",ReferenceData!$D$218),"")</f>
        <v>CASH_AND_MARKETABLE_SECURITIES</v>
      </c>
      <c r="E218" t="str">
        <f>IFERROR(IF(0=LEN(ReferenceData!$E$218),"",ReferenceData!$E$218),"")</f>
        <v>动态</v>
      </c>
      <c r="F218" t="str">
        <f ca="1">IFERROR(IF(0=LEN(ReferenceData!$F$218),"",ReferenceData!$F$218),"")</f>
        <v/>
      </c>
      <c r="G218">
        <f ca="1">IFERROR(IF(0=LEN(ReferenceData!$G$218),"",ReferenceData!$G$218),"")</f>
        <v>243.77699999999999</v>
      </c>
      <c r="H218">
        <f ca="1">IFERROR(IF(0=LEN(ReferenceData!$H$218),"",ReferenceData!$H$218),"")</f>
        <v>236.24700000000001</v>
      </c>
      <c r="I218">
        <f ca="1">IFERROR(IF(0=LEN(ReferenceData!$I$218),"",ReferenceData!$I$218),"")</f>
        <v>442.28399999999999</v>
      </c>
      <c r="J218">
        <f ca="1">IFERROR(IF(0=LEN(ReferenceData!$J$218),"",ReferenceData!$J$218),"")</f>
        <v>380.36</v>
      </c>
      <c r="K218">
        <f ca="1">IFERROR(IF(0=LEN(ReferenceData!$K$218),"",ReferenceData!$K$218),"")</f>
        <v>419.37799999999999</v>
      </c>
      <c r="L218">
        <f ca="1">IFERROR(IF(0=LEN(ReferenceData!$L$218),"",ReferenceData!$L$218),"")</f>
        <v>428.61700000000002</v>
      </c>
      <c r="M218">
        <f ca="1">IFERROR(IF(0=LEN(ReferenceData!$M$218),"",ReferenceData!$M$218),"")</f>
        <v>466.58499999999998</v>
      </c>
      <c r="N218">
        <f ca="1">IFERROR(IF(0=LEN(ReferenceData!$N$218),"",ReferenceData!$N$218),"")</f>
        <v>355.94900000000001</v>
      </c>
      <c r="O218">
        <f ca="1">IFERROR(IF(0=LEN(ReferenceData!$O$218),"",ReferenceData!$O$218),"")</f>
        <v>360.90800000000002</v>
      </c>
      <c r="P218">
        <f ca="1">IFERROR(IF(0=LEN(ReferenceData!$P$218),"",ReferenceData!$P$218),"")</f>
        <v>292.04199999999997</v>
      </c>
      <c r="Q218">
        <f ca="1">IFERROR(IF(0=LEN(ReferenceData!$Q$218),"",ReferenceData!$Q$218),"")</f>
        <v>217.94200000000001</v>
      </c>
      <c r="R218">
        <f ca="1">IFERROR(IF(0=LEN(ReferenceData!$R$218),"",ReferenceData!$R$218),"")</f>
        <v>202.273</v>
      </c>
      <c r="S218">
        <f ca="1">IFERROR(IF(0=LEN(ReferenceData!$S$218),"",ReferenceData!$S$218),"")</f>
        <v>473.726</v>
      </c>
      <c r="T218">
        <f ca="1">IFERROR(IF(0=LEN(ReferenceData!$T$218),"",ReferenceData!$T$218),"")</f>
        <v>998.678</v>
      </c>
      <c r="U218">
        <f ca="1">IFERROR(IF(0=LEN(ReferenceData!$U$218),"",ReferenceData!$U$218),"")</f>
        <v>207.35400000000001</v>
      </c>
      <c r="V218">
        <f ca="1">IFERROR(IF(0=LEN(ReferenceData!$V$218),"",ReferenceData!$V$218),"")</f>
        <v>185.928</v>
      </c>
      <c r="W218">
        <f ca="1">IFERROR(IF(0=LEN(ReferenceData!$W$218),"",ReferenceData!$W$218),"")</f>
        <v>158.78</v>
      </c>
      <c r="X218">
        <f ca="1">IFERROR(IF(0=LEN(ReferenceData!$X$218),"",ReferenceData!$X$218),"")</f>
        <v>164.83799999999999</v>
      </c>
      <c r="Y218">
        <f ca="1">IFERROR(IF(0=LEN(ReferenceData!$Y$218),"",ReferenceData!$Y$218),"")</f>
        <v>512.47199999999998</v>
      </c>
      <c r="Z218">
        <f ca="1">IFERROR(IF(0=LEN(ReferenceData!$Z$218),"",ReferenceData!$Z$218),"")</f>
        <v>269.84199999999998</v>
      </c>
      <c r="AA218">
        <f ca="1">IFERROR(IF(0=LEN(ReferenceData!$AA$218),"",ReferenceData!$AA$218),"")</f>
        <v>1033.7639999999999</v>
      </c>
      <c r="AB218">
        <f ca="1">IFERROR(IF(0=LEN(ReferenceData!$AB$218),"",ReferenceData!$AB$218),"")</f>
        <v>1382.252</v>
      </c>
      <c r="AC218">
        <f ca="1">IFERROR(IF(0=LEN(ReferenceData!$AC$218),"",ReferenceData!$AC$218),"")</f>
        <v>204.89500000000001</v>
      </c>
      <c r="AD218">
        <f ca="1">IFERROR(IF(0=LEN(ReferenceData!$AD$218),"",ReferenceData!$AD$218),"")</f>
        <v>469.21699999999998</v>
      </c>
      <c r="AE218">
        <f ca="1">IFERROR(IF(0=LEN(ReferenceData!$AE$218),"",ReferenceData!$AE$218),"")</f>
        <v>163.482</v>
      </c>
      <c r="AF218">
        <f ca="1">IFERROR(IF(0=LEN(ReferenceData!$AF$218),"",ReferenceData!$AF$218),"")</f>
        <v>136.67599999999999</v>
      </c>
      <c r="AG218">
        <f ca="1">IFERROR(IF(0=LEN(ReferenceData!$AG$218),"",ReferenceData!$AG$218),"")</f>
        <v>328.75799999999998</v>
      </c>
      <c r="AH218">
        <f ca="1">IFERROR(IF(0=LEN(ReferenceData!$AH$218),"",ReferenceData!$AH$218),"")</f>
        <v>2667.9949999999999</v>
      </c>
      <c r="AI218">
        <f ca="1">IFERROR(IF(0=LEN(ReferenceData!$AI$218),"",ReferenceData!$AI$218),"")</f>
        <v>131.57</v>
      </c>
      <c r="AJ218">
        <f ca="1">IFERROR(IF(0=LEN(ReferenceData!$AJ$218),"",ReferenceData!$AJ$218),"")</f>
        <v>181.14699999999999</v>
      </c>
      <c r="AK218">
        <f ca="1">IFERROR(IF(0=LEN(ReferenceData!$AK$218),"",ReferenceData!$AK$218),"")</f>
        <v>55.423000000000002</v>
      </c>
      <c r="AL218">
        <f ca="1">IFERROR(IF(0=LEN(ReferenceData!$AL$218),"",ReferenceData!$AL$218),"")</f>
        <v>36.558</v>
      </c>
      <c r="AM218">
        <f ca="1">IFERROR(IF(0=LEN(ReferenceData!$AM$218),"",ReferenceData!$AM$218),"")</f>
        <v>35.475999999999999</v>
      </c>
      <c r="AN218">
        <f ca="1">IFERROR(IF(0=LEN(ReferenceData!$AN$218),"",ReferenceData!$AN$218),"")</f>
        <v>102.35299999999999</v>
      </c>
      <c r="AO218">
        <f ca="1">IFERROR(IF(0=LEN(ReferenceData!$AO$218),"",ReferenceData!$AO$218),"")</f>
        <v>79.504999999999995</v>
      </c>
      <c r="AP218">
        <f ca="1">IFERROR(IF(0=LEN(ReferenceData!$AP$218),"",ReferenceData!$AP$218),"")</f>
        <v>19.18</v>
      </c>
      <c r="AQ218">
        <f ca="1">IFERROR(IF(0=LEN(ReferenceData!$AQ$218),"",ReferenceData!$AQ$218),"")</f>
        <v>23.37</v>
      </c>
      <c r="AR218">
        <f ca="1">IFERROR(IF(0=LEN(ReferenceData!$AR$218),"",ReferenceData!$AR$218),"")</f>
        <v>18.273</v>
      </c>
      <c r="AS218">
        <f ca="1">IFERROR(IF(0=LEN(ReferenceData!$AS$218),"",ReferenceData!$AS$218),"")</f>
        <v>25.077999999999999</v>
      </c>
      <c r="AT218">
        <f ca="1">IFERROR(IF(0=LEN(ReferenceData!$AT$218),"",ReferenceData!$AT$218),"")</f>
        <v>32.281999999999996</v>
      </c>
      <c r="AU218">
        <f ca="1">IFERROR(IF(0=LEN(ReferenceData!$AU$218),"",ReferenceData!$AU$218),"")</f>
        <v>30.268999999999998</v>
      </c>
      <c r="AV218">
        <f ca="1">IFERROR(IF(0=LEN(ReferenceData!$AV$218),"",ReferenceData!$AV$218),"")</f>
        <v>31.44</v>
      </c>
      <c r="AW218">
        <f ca="1">IFERROR(IF(0=LEN(ReferenceData!$AW$218),"",ReferenceData!$AW$218),"")</f>
        <v>38.472000000000001</v>
      </c>
      <c r="AX218">
        <f ca="1">IFERROR(IF(0=LEN(ReferenceData!$AX$218),"",ReferenceData!$AX$218),"")</f>
        <v>31.292999999999999</v>
      </c>
      <c r="AY218">
        <f ca="1">IFERROR(IF(0=LEN(ReferenceData!$AY$218),"",ReferenceData!$AY$218),"")</f>
        <v>36.216000000000001</v>
      </c>
      <c r="AZ218">
        <f ca="1">IFERROR(IF(0=LEN(ReferenceData!$AZ$218),"",ReferenceData!$AZ$218),"")</f>
        <v>15.49</v>
      </c>
      <c r="BA218">
        <f ca="1">IFERROR(IF(0=LEN(ReferenceData!$BA$218),"",ReferenceData!$BA$218),"")</f>
        <v>15.2</v>
      </c>
      <c r="BB218">
        <f ca="1">IFERROR(IF(0=LEN(ReferenceData!$BB$218),"",ReferenceData!$BB$218),"")</f>
        <v>25.757999999999999</v>
      </c>
      <c r="BC218">
        <f ca="1">IFERROR(IF(0=LEN(ReferenceData!$BC$218),"",ReferenceData!$BC$218),"")</f>
        <v>36.237000000000002</v>
      </c>
      <c r="BD218">
        <f ca="1">IFERROR(IF(0=LEN(ReferenceData!$BD$218),"",ReferenceData!$BD$218),"")</f>
        <v>27.119</v>
      </c>
      <c r="BE218">
        <f ca="1">IFERROR(IF(0=LEN(ReferenceData!$BE$218),"",ReferenceData!$BE$218),"")</f>
        <v>15.067</v>
      </c>
      <c r="BF218">
        <f ca="1">IFERROR(IF(0=LEN(ReferenceData!$BF$218),"",ReferenceData!$BF$218),"")</f>
        <v>17.428999999999998</v>
      </c>
      <c r="BG218">
        <f ca="1">IFERROR(IF(0=LEN(ReferenceData!$BG$218),"",ReferenceData!$BG$218),"")</f>
        <v>19.763000000000002</v>
      </c>
      <c r="BH218">
        <f ca="1">IFERROR(IF(0=LEN(ReferenceData!$BH$218),"",ReferenceData!$BH$218),"")</f>
        <v>15.419</v>
      </c>
      <c r="BI218">
        <f ca="1">IFERROR(IF(0=LEN(ReferenceData!$BI$218),"",ReferenceData!$BI$218),"")</f>
        <v>33.99</v>
      </c>
      <c r="BJ218">
        <f ca="1">IFERROR(IF(0=LEN(ReferenceData!$BJ$218),"",ReferenceData!$BJ$218),"")</f>
        <v>47.063000000000002</v>
      </c>
      <c r="BK218">
        <f ca="1">IFERROR(IF(0=LEN(ReferenceData!$BK$218),"",ReferenceData!$BK$218),"")</f>
        <v>124.496</v>
      </c>
      <c r="BL218">
        <f ca="1">IFERROR(IF(0=LEN(ReferenceData!$BL$218),"",ReferenceData!$BL$218),"")</f>
        <v>8.1720000000000006</v>
      </c>
      <c r="BM218">
        <f ca="1">IFERROR(IF(0=LEN(ReferenceData!$BM$218),"",ReferenceData!$BM$218),"")</f>
        <v>7.9530000000000003</v>
      </c>
    </row>
    <row r="219" spans="1:65">
      <c r="A219" t="str">
        <f>IFERROR(IF(0=LEN(ReferenceData!$A$219),"",ReferenceData!$A$219),"")</f>
        <v>自由现金流减去资本支出</v>
      </c>
      <c r="B219" t="str">
        <f>IFERROR(IF(0=LEN(ReferenceData!$B$219),"",ReferenceData!$B$219),"")</f>
        <v/>
      </c>
      <c r="C219" t="str">
        <f>IFERROR(IF(0=LEN(ReferenceData!$C$219),"",ReferenceData!$C$219),"")</f>
        <v/>
      </c>
      <c r="D219" t="str">
        <f>IFERROR(IF(0=LEN(ReferenceData!$D$219),"",ReferenceData!$D$219),"")</f>
        <v/>
      </c>
      <c r="E219" t="str">
        <f>IFERROR(IF(0=LEN(ReferenceData!$E$219),"",ReferenceData!$E$219),"")</f>
        <v>Median</v>
      </c>
      <c r="F219" t="str">
        <f ca="1">IFERROR(IF(0=LEN(ReferenceData!$F$219),"",ReferenceData!$F$219),"")</f>
        <v/>
      </c>
      <c r="G219">
        <f ca="1">IFERROR(IF(0=LEN(ReferenceData!$G$219),"",ReferenceData!$G$219),"")</f>
        <v>-21.164500000000004</v>
      </c>
      <c r="H219">
        <f ca="1">IFERROR(IF(0=LEN(ReferenceData!$H$219),"",ReferenceData!$H$219),"")</f>
        <v>-19.675000000000001</v>
      </c>
      <c r="I219">
        <f ca="1">IFERROR(IF(0=LEN(ReferenceData!$I$219),"",ReferenceData!$I$219),"")</f>
        <v>54.375</v>
      </c>
      <c r="J219">
        <f ca="1">IFERROR(IF(0=LEN(ReferenceData!$J$219),"",ReferenceData!$J$219),"")</f>
        <v>34.119</v>
      </c>
      <c r="K219">
        <f ca="1">IFERROR(IF(0=LEN(ReferenceData!$K$219),"",ReferenceData!$K$219),"")</f>
        <v>19.297999999999998</v>
      </c>
      <c r="L219">
        <f ca="1">IFERROR(IF(0=LEN(ReferenceData!$L$219),"",ReferenceData!$L$219),"")</f>
        <v>-66.114999999999995</v>
      </c>
      <c r="M219">
        <f ca="1">IFERROR(IF(0=LEN(ReferenceData!$M$219),"",ReferenceData!$M$219),"")</f>
        <v>42.945999999999998</v>
      </c>
      <c r="N219">
        <f ca="1">IFERROR(IF(0=LEN(ReferenceData!$N$219),"",ReferenceData!$N$219),"")</f>
        <v>31.628</v>
      </c>
      <c r="O219">
        <f ca="1">IFERROR(IF(0=LEN(ReferenceData!$O$219),"",ReferenceData!$O$219),"")</f>
        <v>40.496000000000002</v>
      </c>
      <c r="P219">
        <f ca="1">IFERROR(IF(0=LEN(ReferenceData!$P$219),"",ReferenceData!$P$219),"")</f>
        <v>17.93</v>
      </c>
      <c r="Q219">
        <f ca="1">IFERROR(IF(0=LEN(ReferenceData!$Q$219),"",ReferenceData!$Q$219),"")</f>
        <v>-107.04949999999999</v>
      </c>
      <c r="R219">
        <f ca="1">IFERROR(IF(0=LEN(ReferenceData!$R$219),"",ReferenceData!$R$219),"")</f>
        <v>-58.042000000000002</v>
      </c>
      <c r="S219">
        <f ca="1">IFERROR(IF(0=LEN(ReferenceData!$S$219),"",ReferenceData!$S$219),"")</f>
        <v>-13.842500000000001</v>
      </c>
      <c r="T219">
        <f ca="1">IFERROR(IF(0=LEN(ReferenceData!$T$219),"",ReferenceData!$T$219),"")</f>
        <v>19.226500000000001</v>
      </c>
      <c r="U219">
        <f ca="1">IFERROR(IF(0=LEN(ReferenceData!$U$219),"",ReferenceData!$U$219),"")</f>
        <v>27.075499999999998</v>
      </c>
      <c r="V219">
        <f ca="1">IFERROR(IF(0=LEN(ReferenceData!$V$219),"",ReferenceData!$V$219),"")</f>
        <v>25.422499999999999</v>
      </c>
      <c r="W219">
        <f ca="1">IFERROR(IF(0=LEN(ReferenceData!$W$219),"",ReferenceData!$W$219),"")</f>
        <v>5.5285000000000002</v>
      </c>
      <c r="X219">
        <f ca="1">IFERROR(IF(0=LEN(ReferenceData!$X$219),"",ReferenceData!$X$219),"")</f>
        <v>-15.573999999999998</v>
      </c>
      <c r="Y219">
        <f ca="1">IFERROR(IF(0=LEN(ReferenceData!$Y$219),"",ReferenceData!$Y$219),"")</f>
        <v>23.875500000000002</v>
      </c>
      <c r="Z219">
        <f ca="1">IFERROR(IF(0=LEN(ReferenceData!$Z$219),"",ReferenceData!$Z$219),"")</f>
        <v>17.564</v>
      </c>
      <c r="AA219">
        <f ca="1">IFERROR(IF(0=LEN(ReferenceData!$AA$219),"",ReferenceData!$AA$219),"")</f>
        <v>-51.058500000000002</v>
      </c>
      <c r="AB219">
        <f ca="1">IFERROR(IF(0=LEN(ReferenceData!$AB$219),"",ReferenceData!$AB$219),"")</f>
        <v>-52.030999999999999</v>
      </c>
      <c r="AC219">
        <f ca="1">IFERROR(IF(0=LEN(ReferenceData!$AC$219),"",ReferenceData!$AC$219),"")</f>
        <v>-14.864000000000001</v>
      </c>
      <c r="AD219">
        <f ca="1">IFERROR(IF(0=LEN(ReferenceData!$AD$219),"",ReferenceData!$AD$219),"")</f>
        <v>18.334499999999998</v>
      </c>
      <c r="AE219">
        <f ca="1">IFERROR(IF(0=LEN(ReferenceData!$AE$219),"",ReferenceData!$AE$219),"")</f>
        <v>-21.173000000000002</v>
      </c>
      <c r="AF219">
        <f ca="1">IFERROR(IF(0=LEN(ReferenceData!$AF$219),"",ReferenceData!$AF$219),"")</f>
        <v>4.4844999999999988</v>
      </c>
      <c r="AG219">
        <f ca="1">IFERROR(IF(0=LEN(ReferenceData!$AG$219),"",ReferenceData!$AG$219),"")</f>
        <v>-3.8904999999999994</v>
      </c>
      <c r="AH219">
        <f ca="1">IFERROR(IF(0=LEN(ReferenceData!$AH$219),"",ReferenceData!$AH$219),"")</f>
        <v>-1.7454999999999998</v>
      </c>
      <c r="AI219">
        <f ca="1">IFERROR(IF(0=LEN(ReferenceData!$AI$219),"",ReferenceData!$AI$219),"")</f>
        <v>-15.440000000000001</v>
      </c>
      <c r="AJ219">
        <f ca="1">IFERROR(IF(0=LEN(ReferenceData!$AJ$219),"",ReferenceData!$AJ$219),"")</f>
        <v>15.170999999999999</v>
      </c>
      <c r="AK219">
        <f ca="1">IFERROR(IF(0=LEN(ReferenceData!$AK$219),"",ReferenceData!$AK$219),"")</f>
        <v>-7.585</v>
      </c>
      <c r="AL219">
        <f ca="1">IFERROR(IF(0=LEN(ReferenceData!$AL$219),"",ReferenceData!$AL$219),"")</f>
        <v>9.6219999999999999</v>
      </c>
      <c r="AM219">
        <f ca="1">IFERROR(IF(0=LEN(ReferenceData!$AM$219),"",ReferenceData!$AM$219),"")</f>
        <v>-58.7395</v>
      </c>
      <c r="AN219">
        <f ca="1">IFERROR(IF(0=LEN(ReferenceData!$AN$219),"",ReferenceData!$AN$219),"")</f>
        <v>10.7165</v>
      </c>
      <c r="AO219">
        <f ca="1">IFERROR(IF(0=LEN(ReferenceData!$AO$219),"",ReferenceData!$AO$219),"")</f>
        <v>-0.71699999999999964</v>
      </c>
      <c r="AP219">
        <f ca="1">IFERROR(IF(0=LEN(ReferenceData!$AP$219),"",ReferenceData!$AP$219),"")</f>
        <v>18.676000000000002</v>
      </c>
      <c r="AQ219">
        <f ca="1">IFERROR(IF(0=LEN(ReferenceData!$AQ$219),"",ReferenceData!$AQ$219),"")</f>
        <v>-43.424999999999997</v>
      </c>
      <c r="AR219">
        <f ca="1">IFERROR(IF(0=LEN(ReferenceData!$AR$219),"",ReferenceData!$AR$219),"")</f>
        <v>-67.076999999999998</v>
      </c>
      <c r="AS219">
        <f ca="1">IFERROR(IF(0=LEN(ReferenceData!$AS$219),"",ReferenceData!$AS$219),"")</f>
        <v>-38.671999999999997</v>
      </c>
      <c r="AT219">
        <f ca="1">IFERROR(IF(0=LEN(ReferenceData!$AT$219),"",ReferenceData!$AT$219),"")</f>
        <v>13.001000000000001</v>
      </c>
      <c r="AU219">
        <f ca="1">IFERROR(IF(0=LEN(ReferenceData!$AU$219),"",ReferenceData!$AU$219),"")</f>
        <v>-18.082000000000001</v>
      </c>
      <c r="AV219">
        <f ca="1">IFERROR(IF(0=LEN(ReferenceData!$AV$219),"",ReferenceData!$AV$219),"")</f>
        <v>-31.993000000000002</v>
      </c>
      <c r="AW219">
        <f ca="1">IFERROR(IF(0=LEN(ReferenceData!$AW$219),"",ReferenceData!$AW$219),"")</f>
        <v>-15.929883500000001</v>
      </c>
      <c r="AX219">
        <f ca="1">IFERROR(IF(0=LEN(ReferenceData!$AX$219),"",ReferenceData!$AX$219),"")</f>
        <v>1.7360125000000011</v>
      </c>
      <c r="AY219">
        <f ca="1">IFERROR(IF(0=LEN(ReferenceData!$AY$219),"",ReferenceData!$AY$219),"")</f>
        <v>-71.945499999999996</v>
      </c>
      <c r="AZ219">
        <f ca="1">IFERROR(IF(0=LEN(ReferenceData!$AZ$219),"",ReferenceData!$AZ$219),"")</f>
        <v>-46.95</v>
      </c>
      <c r="BA219">
        <f ca="1">IFERROR(IF(0=LEN(ReferenceData!$BA$219),"",ReferenceData!$BA$219),"")</f>
        <v>-8.728745</v>
      </c>
      <c r="BB219">
        <f ca="1">IFERROR(IF(0=LEN(ReferenceData!$BB$219),"",ReferenceData!$BB$219),"")</f>
        <v>-0.31709000000000032</v>
      </c>
      <c r="BC219">
        <f ca="1">IFERROR(IF(0=LEN(ReferenceData!$BC$219),"",ReferenceData!$BC$219),"")</f>
        <v>-48.941108</v>
      </c>
      <c r="BD219">
        <f ca="1">IFERROR(IF(0=LEN(ReferenceData!$BD$219),"",ReferenceData!$BD$219),"")</f>
        <v>19.489999999999998</v>
      </c>
      <c r="BE219">
        <f ca="1">IFERROR(IF(0=LEN(ReferenceData!$BE$219),"",ReferenceData!$BE$219),"")</f>
        <v>-53.9925</v>
      </c>
      <c r="BF219">
        <f ca="1">IFERROR(IF(0=LEN(ReferenceData!$BF$219),"",ReferenceData!$BF$219),"")</f>
        <v>9.3149996650000002</v>
      </c>
      <c r="BG219">
        <f ca="1">IFERROR(IF(0=LEN(ReferenceData!$BG$219),"",ReferenceData!$BG$219),"")</f>
        <v>-61.896999999999998</v>
      </c>
      <c r="BH219">
        <f ca="1">IFERROR(IF(0=LEN(ReferenceData!$BH$219),"",ReferenceData!$BH$219),"")</f>
        <v>9.8229999540000001</v>
      </c>
      <c r="BI219">
        <f ca="1">IFERROR(IF(0=LEN(ReferenceData!$BI$219),"",ReferenceData!$BI$219),"")</f>
        <v>-38.850999999999999</v>
      </c>
      <c r="BJ219">
        <f ca="1">IFERROR(IF(0=LEN(ReferenceData!$BJ$219),"",ReferenceData!$BJ$219),"")</f>
        <v>0.43799972500000001</v>
      </c>
      <c r="BK219">
        <f ca="1">IFERROR(IF(0=LEN(ReferenceData!$BK$219),"",ReferenceData!$BK$219),"")</f>
        <v>19.407</v>
      </c>
      <c r="BL219">
        <f ca="1">IFERROR(IF(0=LEN(ReferenceData!$BL$219),"",ReferenceData!$BL$219),"")</f>
        <v>-97.084000000000003</v>
      </c>
      <c r="BM219">
        <f ca="1">IFERROR(IF(0=LEN(ReferenceData!$BM$219),"",ReferenceData!$BM$219),"")</f>
        <v>15.05550057</v>
      </c>
    </row>
    <row r="220" spans="1:65">
      <c r="A220" t="str">
        <f>IFERROR(IF(0=LEN(ReferenceData!$A$220),"",ReferenceData!$A$220),"")</f>
        <v xml:space="preserve">    Alexandria Real Estate Equitie</v>
      </c>
      <c r="B220" t="str">
        <f>IFERROR(IF(0=LEN(ReferenceData!$B$220),"",ReferenceData!$B$220),"")</f>
        <v>ARE US Equity</v>
      </c>
      <c r="C220" t="str">
        <f>IFERROR(IF(0=LEN(ReferenceData!$C$220),"",ReferenceData!$C$220),"")</f>
        <v>RR008</v>
      </c>
      <c r="D220" t="str">
        <f>IFERROR(IF(0=LEN(ReferenceData!$D$220),"",ReferenceData!$D$220),"")</f>
        <v>CF_FREE_CASH_FLOW</v>
      </c>
      <c r="E220" t="str">
        <f>IFERROR(IF(0=LEN(ReferenceData!$E$220),"",ReferenceData!$E$220),"")</f>
        <v>动态</v>
      </c>
      <c r="F220" t="str">
        <f ca="1">IFERROR(IF(0=LEN(ReferenceData!$F$220),"",ReferenceData!$F$220),"")</f>
        <v/>
      </c>
      <c r="G220">
        <f ca="1">IFERROR(IF(0=LEN(ReferenceData!$G$220),"",ReferenceData!$G$220),"")</f>
        <v>-223.51300000000001</v>
      </c>
      <c r="H220">
        <f ca="1">IFERROR(IF(0=LEN(ReferenceData!$H$220),"",ReferenceData!$H$220),"")</f>
        <v>-200.119</v>
      </c>
      <c r="I220">
        <f ca="1">IFERROR(IF(0=LEN(ReferenceData!$I$220),"",ReferenceData!$I$220),"")</f>
        <v>-366.66</v>
      </c>
      <c r="J220">
        <f ca="1">IFERROR(IF(0=LEN(ReferenceData!$J$220),"",ReferenceData!$J$220),"")</f>
        <v>-328.65199999999999</v>
      </c>
      <c r="K220">
        <f ca="1">IFERROR(IF(0=LEN(ReferenceData!$K$220),"",ReferenceData!$K$220),"")</f>
        <v>-802.26400000000001</v>
      </c>
      <c r="L220">
        <f ca="1">IFERROR(IF(0=LEN(ReferenceData!$L$220),"",ReferenceData!$L$220),"")</f>
        <v>-173.87200000000001</v>
      </c>
      <c r="M220">
        <f ca="1">IFERROR(IF(0=LEN(ReferenceData!$M$220),"",ReferenceData!$M$220),"")</f>
        <v>-133.23400000000001</v>
      </c>
      <c r="N220">
        <f ca="1">IFERROR(IF(0=LEN(ReferenceData!$N$220),"",ReferenceData!$N$220),"")</f>
        <v>-57.719000000000001</v>
      </c>
      <c r="O220">
        <f ca="1">IFERROR(IF(0=LEN(ReferenceData!$O$220),"",ReferenceData!$O$220),"")</f>
        <v>-105.791</v>
      </c>
      <c r="P220">
        <f ca="1">IFERROR(IF(0=LEN(ReferenceData!$P$220),"",ReferenceData!$P$220),"")</f>
        <v>-152.34200000000001</v>
      </c>
      <c r="Q220">
        <f ca="1">IFERROR(IF(0=LEN(ReferenceData!$Q$220),"",ReferenceData!$Q$220),"")</f>
        <v>-120.666</v>
      </c>
      <c r="R220">
        <f ca="1">IFERROR(IF(0=LEN(ReferenceData!$R$220),"",ReferenceData!$R$220),"")</f>
        <v>-91.728999999999999</v>
      </c>
      <c r="S220">
        <f ca="1">IFERROR(IF(0=LEN(ReferenceData!$S$220),"",ReferenceData!$S$220),"")</f>
        <v>-103.6</v>
      </c>
      <c r="T220">
        <f ca="1">IFERROR(IF(0=LEN(ReferenceData!$T$220),"",ReferenceData!$T$220),"")</f>
        <v>-23.649000000000001</v>
      </c>
      <c r="U220">
        <f ca="1">IFERROR(IF(0=LEN(ReferenceData!$U$220),"",ReferenceData!$U$220),"")</f>
        <v>-83.42</v>
      </c>
      <c r="V220">
        <f ca="1">IFERROR(IF(0=LEN(ReferenceData!$V$220),"",ReferenceData!$V$220),"")</f>
        <v>-80.665999999999997</v>
      </c>
      <c r="W220">
        <f ca="1">IFERROR(IF(0=LEN(ReferenceData!$W$220),"",ReferenceData!$W$220),"")</f>
        <v>-164.43</v>
      </c>
      <c r="X220">
        <f ca="1">IFERROR(IF(0=LEN(ReferenceData!$X$220),"",ReferenceData!$X$220),"")</f>
        <v>-83.515000000000001</v>
      </c>
      <c r="Y220">
        <f ca="1">IFERROR(IF(0=LEN(ReferenceData!$Y$220),"",ReferenceData!$Y$220),"")</f>
        <v>-62.781999999999996</v>
      </c>
      <c r="Z220">
        <f ca="1">IFERROR(IF(0=LEN(ReferenceData!$Z$220),"",ReferenceData!$Z$220),"")</f>
        <v>-92.004000000000005</v>
      </c>
      <c r="AA220">
        <f ca="1">IFERROR(IF(0=LEN(ReferenceData!$AA$220),"",ReferenceData!$AA$220),"")</f>
        <v>-64.921000000000006</v>
      </c>
      <c r="AB220">
        <f ca="1">IFERROR(IF(0=LEN(ReferenceData!$AB$220),"",ReferenceData!$AB$220),"")</f>
        <v>-62.622999999999998</v>
      </c>
      <c r="AC220">
        <f ca="1">IFERROR(IF(0=LEN(ReferenceData!$AC$220),"",ReferenceData!$AC$220),"")</f>
        <v>-67.278000000000006</v>
      </c>
      <c r="AD220">
        <f ca="1">IFERROR(IF(0=LEN(ReferenceData!$AD$220),"",ReferenceData!$AD$220),"")</f>
        <v>-90.846000000000004</v>
      </c>
      <c r="AE220">
        <f ca="1">IFERROR(IF(0=LEN(ReferenceData!$AE$220),"",ReferenceData!$AE$220),"")</f>
        <v>-65.445999999999998</v>
      </c>
      <c r="AF220">
        <f ca="1">IFERROR(IF(0=LEN(ReferenceData!$AF$220),"",ReferenceData!$AF$220),"")</f>
        <v>-64.293999999999997</v>
      </c>
      <c r="AG220">
        <f ca="1">IFERROR(IF(0=LEN(ReferenceData!$AG$220),"",ReferenceData!$AG$220),"")</f>
        <v>-321.51499999999999</v>
      </c>
      <c r="AH220">
        <f ca="1">IFERROR(IF(0=LEN(ReferenceData!$AH$220),"",ReferenceData!$AH$220),"")</f>
        <v>-37.953000000000003</v>
      </c>
      <c r="AI220">
        <f ca="1">IFERROR(IF(0=LEN(ReferenceData!$AI$220),"",ReferenceData!$AI$220),"")</f>
        <v>-289.59699999999998</v>
      </c>
      <c r="AJ220">
        <f ca="1">IFERROR(IF(0=LEN(ReferenceData!$AJ$220),"",ReferenceData!$AJ$220),"")</f>
        <v>-115.34</v>
      </c>
      <c r="AK220">
        <f ca="1">IFERROR(IF(0=LEN(ReferenceData!$AK$220),"",ReferenceData!$AK$220),"")</f>
        <v>-48.234999999999999</v>
      </c>
      <c r="AL220">
        <f ca="1">IFERROR(IF(0=LEN(ReferenceData!$AL$220),"",ReferenceData!$AL$220),"")</f>
        <v>-45.042000000000002</v>
      </c>
      <c r="AM220">
        <f ca="1">IFERROR(IF(0=LEN(ReferenceData!$AM$220),"",ReferenceData!$AM$220),"")</f>
        <v>-67.045000000000002</v>
      </c>
      <c r="AN220">
        <f ca="1">IFERROR(IF(0=LEN(ReferenceData!$AN$220),"",ReferenceData!$AN$220),"")</f>
        <v>-52.96</v>
      </c>
      <c r="AO220">
        <f ca="1">IFERROR(IF(0=LEN(ReferenceData!$AO$220),"",ReferenceData!$AO$220),"")</f>
        <v>-52.152000000000001</v>
      </c>
      <c r="AP220">
        <f ca="1">IFERROR(IF(0=LEN(ReferenceData!$AP$220),"",ReferenceData!$AP$220),"")</f>
        <v>-64.667000000000002</v>
      </c>
      <c r="AQ220">
        <f ca="1">IFERROR(IF(0=LEN(ReferenceData!$AQ$220),"",ReferenceData!$AQ$220),"")</f>
        <v>-51.042999999999999</v>
      </c>
      <c r="AR220">
        <f ca="1">IFERROR(IF(0=LEN(ReferenceData!$AR$220),"",ReferenceData!$AR$220),"")</f>
        <v>-68.731999999999999</v>
      </c>
      <c r="AS220">
        <f ca="1">IFERROR(IF(0=LEN(ReferenceData!$AS$220),"",ReferenceData!$AS$220),"")</f>
        <v>-83.376000000000005</v>
      </c>
      <c r="AT220">
        <f ca="1">IFERROR(IF(0=LEN(ReferenceData!$AT$220),"",ReferenceData!$AT$220),"")</f>
        <v>-91.387</v>
      </c>
      <c r="AU220">
        <f ca="1">IFERROR(IF(0=LEN(ReferenceData!$AU$220),"",ReferenceData!$AU$220),"")</f>
        <v>-256.45800000000003</v>
      </c>
      <c r="AV220">
        <f ca="1">IFERROR(IF(0=LEN(ReferenceData!$AV$220),"",ReferenceData!$AV$220),"")</f>
        <v>-419.62900000000002</v>
      </c>
      <c r="AW220">
        <f ca="1">IFERROR(IF(0=LEN(ReferenceData!$AW$220),"",ReferenceData!$AW$220),"")</f>
        <v>-95.438999999999993</v>
      </c>
      <c r="AX220">
        <f ca="1">IFERROR(IF(0=LEN(ReferenceData!$AX$220),"",ReferenceData!$AX$220),"")</f>
        <v>-63.999000000000002</v>
      </c>
      <c r="AY220">
        <f ca="1">IFERROR(IF(0=LEN(ReferenceData!$AY$220),"",ReferenceData!$AY$220),"")</f>
        <v>-280.30900000000003</v>
      </c>
      <c r="AZ220">
        <f ca="1">IFERROR(IF(0=LEN(ReferenceData!$AZ$220),"",ReferenceData!$AZ$220),"")</f>
        <v>-403.48899999999998</v>
      </c>
      <c r="BA220">
        <f ca="1">IFERROR(IF(0=LEN(ReferenceData!$BA$220),"",ReferenceData!$BA$220),"")</f>
        <v>-87.319000000000003</v>
      </c>
      <c r="BB220">
        <f ca="1">IFERROR(IF(0=LEN(ReferenceData!$BB$220),"",ReferenceData!$BB$220),"")</f>
        <v>-119.31100000000001</v>
      </c>
      <c r="BC220">
        <f ca="1">IFERROR(IF(0=LEN(ReferenceData!$BC$220),"",ReferenceData!$BC$220),"")</f>
        <v>-114.491</v>
      </c>
      <c r="BD220">
        <f ca="1">IFERROR(IF(0=LEN(ReferenceData!$BD$220),"",ReferenceData!$BD$220),"")</f>
        <v>-41.406999999999996</v>
      </c>
      <c r="BE220">
        <f ca="1">IFERROR(IF(0=LEN(ReferenceData!$BE$220),"",ReferenceData!$BE$220),"")</f>
        <v>-65.058999999999997</v>
      </c>
      <c r="BF220">
        <f ca="1">IFERROR(IF(0=LEN(ReferenceData!$BF$220),"",ReferenceData!$BF$220),"")</f>
        <v>-92.588999999999999</v>
      </c>
      <c r="BG220">
        <f ca="1">IFERROR(IF(0=LEN(ReferenceData!$BG$220),"",ReferenceData!$BG$220),"")</f>
        <v>-220.66499999999999</v>
      </c>
      <c r="BH220">
        <f ca="1">IFERROR(IF(0=LEN(ReferenceData!$BH$220),"",ReferenceData!$BH$220),"")</f>
        <v>-93.313999999999993</v>
      </c>
      <c r="BI220">
        <f ca="1">IFERROR(IF(0=LEN(ReferenceData!$BI$220),"",ReferenceData!$BI$220),"")</f>
        <v>-68.084999999999994</v>
      </c>
      <c r="BJ220">
        <f ca="1">IFERROR(IF(0=LEN(ReferenceData!$BJ$220),"",ReferenceData!$BJ$220),"")</f>
        <v>19.515999999999998</v>
      </c>
      <c r="BK220">
        <f ca="1">IFERROR(IF(0=LEN(ReferenceData!$BK$220),"",ReferenceData!$BK$220),"")</f>
        <v>25.794</v>
      </c>
      <c r="BL220">
        <f ca="1">IFERROR(IF(0=LEN(ReferenceData!$BL$220),"",ReferenceData!$BL$220),"")</f>
        <v>-97.084000000000003</v>
      </c>
      <c r="BM220">
        <f ca="1">IFERROR(IF(0=LEN(ReferenceData!$BM$220),"",ReferenceData!$BM$220),"")</f>
        <v>-3.97</v>
      </c>
    </row>
    <row r="221" spans="1:65">
      <c r="A221" t="str">
        <f>IFERROR(IF(0=LEN(ReferenceData!$A$221),"",ReferenceData!$A$221),"")</f>
        <v xml:space="preserve">    Care Capital Properties Inc</v>
      </c>
      <c r="B221" t="str">
        <f>IFERROR(IF(0=LEN(ReferenceData!$B$221),"",ReferenceData!$B$221),"")</f>
        <v>CCP US Equity</v>
      </c>
      <c r="C221" t="str">
        <f>IFERROR(IF(0=LEN(ReferenceData!$C$221),"",ReferenceData!$C$221),"")</f>
        <v>RR008</v>
      </c>
      <c r="D221" t="str">
        <f>IFERROR(IF(0=LEN(ReferenceData!$D$221),"",ReferenceData!$D$221),"")</f>
        <v>CF_FREE_CASH_FLOW</v>
      </c>
      <c r="E221" t="str">
        <f>IFERROR(IF(0=LEN(ReferenceData!$E$221),"",ReferenceData!$E$221),"")</f>
        <v>动态</v>
      </c>
      <c r="F221" t="str">
        <f ca="1">IFERROR(IF(0=LEN(ReferenceData!$F$221),"",ReferenceData!$F$221),"")</f>
        <v/>
      </c>
      <c r="G221" t="str">
        <f ca="1">IFERROR(IF(0=LEN(ReferenceData!$G$221),"",ReferenceData!$G$221),"")</f>
        <v/>
      </c>
      <c r="H221" t="str">
        <f ca="1">IFERROR(IF(0=LEN(ReferenceData!$H$221),"",ReferenceData!$H$221),"")</f>
        <v/>
      </c>
      <c r="I221">
        <f ca="1">IFERROR(IF(0=LEN(ReferenceData!$I$221),"",ReferenceData!$I$221),"")</f>
        <v>54.375</v>
      </c>
      <c r="J221">
        <f ca="1">IFERROR(IF(0=LEN(ReferenceData!$J$221),"",ReferenceData!$J$221),"")</f>
        <v>38.911999999999999</v>
      </c>
      <c r="K221">
        <f ca="1">IFERROR(IF(0=LEN(ReferenceData!$K$221),"",ReferenceData!$K$221),"")</f>
        <v>50.831000000000003</v>
      </c>
      <c r="L221">
        <f ca="1">IFERROR(IF(0=LEN(ReferenceData!$L$221),"",ReferenceData!$L$221),"")</f>
        <v>57.264000000000003</v>
      </c>
      <c r="M221">
        <f ca="1">IFERROR(IF(0=LEN(ReferenceData!$M$221),"",ReferenceData!$M$221),"")</f>
        <v>59.216000000000001</v>
      </c>
      <c r="N221">
        <f ca="1">IFERROR(IF(0=LEN(ReferenceData!$N$221),"",ReferenceData!$N$221),"")</f>
        <v>39.432000000000002</v>
      </c>
      <c r="O221">
        <f ca="1">IFERROR(IF(0=LEN(ReferenceData!$O$221),"",ReferenceData!$O$221),"")</f>
        <v>48.673999999999999</v>
      </c>
      <c r="P221">
        <f ca="1">IFERROR(IF(0=LEN(ReferenceData!$P$221),"",ReferenceData!$P$221),"")</f>
        <v>61.125</v>
      </c>
      <c r="Q221" t="str">
        <f ca="1">IFERROR(IF(0=LEN(ReferenceData!$Q$221),"",ReferenceData!$Q$221),"")</f>
        <v/>
      </c>
      <c r="R221" t="str">
        <f ca="1">IFERROR(IF(0=LEN(ReferenceData!$R$221),"",ReferenceData!$R$221),"")</f>
        <v/>
      </c>
      <c r="S221" t="str">
        <f ca="1">IFERROR(IF(0=LEN(ReferenceData!$S$221),"",ReferenceData!$S$221),"")</f>
        <v/>
      </c>
      <c r="T221" t="str">
        <f ca="1">IFERROR(IF(0=LEN(ReferenceData!$T$221),"",ReferenceData!$T$221),"")</f>
        <v/>
      </c>
      <c r="U221" t="str">
        <f ca="1">IFERROR(IF(0=LEN(ReferenceData!$U$221),"",ReferenceData!$U$221),"")</f>
        <v/>
      </c>
      <c r="V221" t="str">
        <f ca="1">IFERROR(IF(0=LEN(ReferenceData!$V$221),"",ReferenceData!$V$221),"")</f>
        <v/>
      </c>
      <c r="W221" t="str">
        <f ca="1">IFERROR(IF(0=LEN(ReferenceData!$W$221),"",ReferenceData!$W$221),"")</f>
        <v/>
      </c>
      <c r="X221" t="str">
        <f ca="1">IFERROR(IF(0=LEN(ReferenceData!$X$221),"",ReferenceData!$X$221),"")</f>
        <v/>
      </c>
      <c r="Y221" t="str">
        <f ca="1">IFERROR(IF(0=LEN(ReferenceData!$Y$221),"",ReferenceData!$Y$221),"")</f>
        <v/>
      </c>
      <c r="Z221" t="str">
        <f ca="1">IFERROR(IF(0=LEN(ReferenceData!$Z$221),"",ReferenceData!$Z$221),"")</f>
        <v/>
      </c>
      <c r="AA221" t="str">
        <f ca="1">IFERROR(IF(0=LEN(ReferenceData!$AA$221),"",ReferenceData!$AA$221),"")</f>
        <v/>
      </c>
      <c r="AB221" t="str">
        <f ca="1">IFERROR(IF(0=LEN(ReferenceData!$AB$221),"",ReferenceData!$AB$221),"")</f>
        <v/>
      </c>
      <c r="AC221" t="str">
        <f ca="1">IFERROR(IF(0=LEN(ReferenceData!$AC$221),"",ReferenceData!$AC$221),"")</f>
        <v/>
      </c>
      <c r="AD221" t="str">
        <f ca="1">IFERROR(IF(0=LEN(ReferenceData!$AD$221),"",ReferenceData!$AD$221),"")</f>
        <v/>
      </c>
      <c r="AE221" t="str">
        <f ca="1">IFERROR(IF(0=LEN(ReferenceData!$AE$221),"",ReferenceData!$AE$221),"")</f>
        <v/>
      </c>
      <c r="AF221" t="str">
        <f ca="1">IFERROR(IF(0=LEN(ReferenceData!$AF$221),"",ReferenceData!$AF$221),"")</f>
        <v/>
      </c>
      <c r="AG221" t="str">
        <f ca="1">IFERROR(IF(0=LEN(ReferenceData!$AG$221),"",ReferenceData!$AG$221),"")</f>
        <v/>
      </c>
      <c r="AH221" t="str">
        <f ca="1">IFERROR(IF(0=LEN(ReferenceData!$AH$221),"",ReferenceData!$AH$221),"")</f>
        <v/>
      </c>
      <c r="AI221" t="str">
        <f ca="1">IFERROR(IF(0=LEN(ReferenceData!$AI$221),"",ReferenceData!$AI$221),"")</f>
        <v/>
      </c>
      <c r="AJ221" t="str">
        <f ca="1">IFERROR(IF(0=LEN(ReferenceData!$AJ$221),"",ReferenceData!$AJ$221),"")</f>
        <v/>
      </c>
      <c r="AK221" t="str">
        <f ca="1">IFERROR(IF(0=LEN(ReferenceData!$AK$221),"",ReferenceData!$AK$221),"")</f>
        <v/>
      </c>
      <c r="AL221" t="str">
        <f ca="1">IFERROR(IF(0=LEN(ReferenceData!$AL$221),"",ReferenceData!$AL$221),"")</f>
        <v/>
      </c>
      <c r="AM221" t="str">
        <f ca="1">IFERROR(IF(0=LEN(ReferenceData!$AM$221),"",ReferenceData!$AM$221),"")</f>
        <v/>
      </c>
      <c r="AN221" t="str">
        <f ca="1">IFERROR(IF(0=LEN(ReferenceData!$AN$221),"",ReferenceData!$AN$221),"")</f>
        <v/>
      </c>
      <c r="AO221" t="str">
        <f ca="1">IFERROR(IF(0=LEN(ReferenceData!$AO$221),"",ReferenceData!$AO$221),"")</f>
        <v/>
      </c>
      <c r="AP221" t="str">
        <f ca="1">IFERROR(IF(0=LEN(ReferenceData!$AP$221),"",ReferenceData!$AP$221),"")</f>
        <v/>
      </c>
      <c r="AQ221" t="str">
        <f ca="1">IFERROR(IF(0=LEN(ReferenceData!$AQ$221),"",ReferenceData!$AQ$221),"")</f>
        <v/>
      </c>
      <c r="AR221" t="str">
        <f ca="1">IFERROR(IF(0=LEN(ReferenceData!$AR$221),"",ReferenceData!$AR$221),"")</f>
        <v/>
      </c>
      <c r="AS221" t="str">
        <f ca="1">IFERROR(IF(0=LEN(ReferenceData!$AS$221),"",ReferenceData!$AS$221),"")</f>
        <v/>
      </c>
      <c r="AT221" t="str">
        <f ca="1">IFERROR(IF(0=LEN(ReferenceData!$AT$221),"",ReferenceData!$AT$221),"")</f>
        <v/>
      </c>
      <c r="AU221" t="str">
        <f ca="1">IFERROR(IF(0=LEN(ReferenceData!$AU$221),"",ReferenceData!$AU$221),"")</f>
        <v/>
      </c>
      <c r="AV221" t="str">
        <f ca="1">IFERROR(IF(0=LEN(ReferenceData!$AV$221),"",ReferenceData!$AV$221),"")</f>
        <v/>
      </c>
      <c r="AW221" t="str">
        <f ca="1">IFERROR(IF(0=LEN(ReferenceData!$AW$221),"",ReferenceData!$AW$221),"")</f>
        <v/>
      </c>
      <c r="AX221" t="str">
        <f ca="1">IFERROR(IF(0=LEN(ReferenceData!$AX$221),"",ReferenceData!$AX$221),"")</f>
        <v/>
      </c>
      <c r="AY221" t="str">
        <f ca="1">IFERROR(IF(0=LEN(ReferenceData!$AY$221),"",ReferenceData!$AY$221),"")</f>
        <v/>
      </c>
      <c r="AZ221" t="str">
        <f ca="1">IFERROR(IF(0=LEN(ReferenceData!$AZ$221),"",ReferenceData!$AZ$221),"")</f>
        <v/>
      </c>
      <c r="BA221" t="str">
        <f ca="1">IFERROR(IF(0=LEN(ReferenceData!$BA$221),"",ReferenceData!$BA$221),"")</f>
        <v/>
      </c>
      <c r="BB221" t="str">
        <f ca="1">IFERROR(IF(0=LEN(ReferenceData!$BB$221),"",ReferenceData!$BB$221),"")</f>
        <v/>
      </c>
      <c r="BC221" t="str">
        <f ca="1">IFERROR(IF(0=LEN(ReferenceData!$BC$221),"",ReferenceData!$BC$221),"")</f>
        <v/>
      </c>
      <c r="BD221" t="str">
        <f ca="1">IFERROR(IF(0=LEN(ReferenceData!$BD$221),"",ReferenceData!$BD$221),"")</f>
        <v/>
      </c>
      <c r="BE221" t="str">
        <f ca="1">IFERROR(IF(0=LEN(ReferenceData!$BE$221),"",ReferenceData!$BE$221),"")</f>
        <v/>
      </c>
      <c r="BF221" t="str">
        <f ca="1">IFERROR(IF(0=LEN(ReferenceData!$BF$221),"",ReferenceData!$BF$221),"")</f>
        <v/>
      </c>
      <c r="BG221" t="str">
        <f ca="1">IFERROR(IF(0=LEN(ReferenceData!$BG$221),"",ReferenceData!$BG$221),"")</f>
        <v/>
      </c>
      <c r="BH221" t="str">
        <f ca="1">IFERROR(IF(0=LEN(ReferenceData!$BH$221),"",ReferenceData!$BH$221),"")</f>
        <v/>
      </c>
      <c r="BI221" t="str">
        <f ca="1">IFERROR(IF(0=LEN(ReferenceData!$BI$221),"",ReferenceData!$BI$221),"")</f>
        <v/>
      </c>
      <c r="BJ221" t="str">
        <f ca="1">IFERROR(IF(0=LEN(ReferenceData!$BJ$221),"",ReferenceData!$BJ$221),"")</f>
        <v/>
      </c>
      <c r="BK221" t="str">
        <f ca="1">IFERROR(IF(0=LEN(ReferenceData!$BK$221),"",ReferenceData!$BK$221),"")</f>
        <v/>
      </c>
      <c r="BL221" t="str">
        <f ca="1">IFERROR(IF(0=LEN(ReferenceData!$BL$221),"",ReferenceData!$BL$221),"")</f>
        <v/>
      </c>
      <c r="BM221" t="str">
        <f ca="1">IFERROR(IF(0=LEN(ReferenceData!$BM$221),"",ReferenceData!$BM$221),"")</f>
        <v/>
      </c>
    </row>
    <row r="222" spans="1:65">
      <c r="A222" t="str">
        <f>IFERROR(IF(0=LEN(ReferenceData!$A$222),"",ReferenceData!$A$222),"")</f>
        <v xml:space="preserve">    HCP Inc</v>
      </c>
      <c r="B222" t="str">
        <f>IFERROR(IF(0=LEN(ReferenceData!$B$222),"",ReferenceData!$B$222),"")</f>
        <v>HCP US Equity</v>
      </c>
      <c r="C222" t="str">
        <f>IFERROR(IF(0=LEN(ReferenceData!$C$222),"",ReferenceData!$C$222),"")</f>
        <v>RR008</v>
      </c>
      <c r="D222" t="str">
        <f>IFERROR(IF(0=LEN(ReferenceData!$D$222),"",ReferenceData!$D$222),"")</f>
        <v>CF_FREE_CASH_FLOW</v>
      </c>
      <c r="E222" t="str">
        <f>IFERROR(IF(0=LEN(ReferenceData!$E$222),"",ReferenceData!$E$222),"")</f>
        <v>动态</v>
      </c>
      <c r="F222" t="str">
        <f ca="1">IFERROR(IF(0=LEN(ReferenceData!$F$222),"",ReferenceData!$F$222),"")</f>
        <v/>
      </c>
      <c r="G222">
        <f ca="1">IFERROR(IF(0=LEN(ReferenceData!$G$222),"",ReferenceData!$G$222),"")</f>
        <v>-367.81</v>
      </c>
      <c r="H222">
        <f ca="1">IFERROR(IF(0=LEN(ReferenceData!$H$222),"",ReferenceData!$H$222),"")</f>
        <v>-33.311</v>
      </c>
      <c r="I222">
        <f ca="1">IFERROR(IF(0=LEN(ReferenceData!$I$222),"",ReferenceData!$I$222),"")</f>
        <v>103.4</v>
      </c>
      <c r="J222">
        <f ca="1">IFERROR(IF(0=LEN(ReferenceData!$J$222),"",ReferenceData!$J$222),"")</f>
        <v>95.27</v>
      </c>
      <c r="K222">
        <f ca="1">IFERROR(IF(0=LEN(ReferenceData!$K$222),"",ReferenceData!$K$222),"")</f>
        <v>-137.86600000000001</v>
      </c>
      <c r="L222">
        <f ca="1">IFERROR(IF(0=LEN(ReferenceData!$L$222),"",ReferenceData!$L$222),"")</f>
        <v>45.215000000000003</v>
      </c>
      <c r="M222">
        <f ca="1">IFERROR(IF(0=LEN(ReferenceData!$M$222),"",ReferenceData!$M$222),"")</f>
        <v>271.57</v>
      </c>
      <c r="N222">
        <f ca="1">IFERROR(IF(0=LEN(ReferenceData!$N$222),"",ReferenceData!$N$222),"")</f>
        <v>55.286000000000001</v>
      </c>
      <c r="O222">
        <f ca="1">IFERROR(IF(0=LEN(ReferenceData!$O$222),"",ReferenceData!$O$222),"")</f>
        <v>48.722999999999999</v>
      </c>
      <c r="P222">
        <f ca="1">IFERROR(IF(0=LEN(ReferenceData!$P$222),"",ReferenceData!$P$222),"")</f>
        <v>228.27199999999999</v>
      </c>
      <c r="Q222">
        <f ca="1">IFERROR(IF(0=LEN(ReferenceData!$Q$222),"",ReferenceData!$Q$222),"")</f>
        <v>-889.07600000000002</v>
      </c>
      <c r="R222">
        <f ca="1">IFERROR(IF(0=LEN(ReferenceData!$R$222),"",ReferenceData!$R$222),"")</f>
        <v>85.35</v>
      </c>
      <c r="S222">
        <f ca="1">IFERROR(IF(0=LEN(ReferenceData!$S$222),"",ReferenceData!$S$222),"")</f>
        <v>242.714</v>
      </c>
      <c r="T222">
        <f ca="1">IFERROR(IF(0=LEN(ReferenceData!$T$222),"",ReferenceData!$T$222),"")</f>
        <v>29.706</v>
      </c>
      <c r="U222">
        <f ca="1">IFERROR(IF(0=LEN(ReferenceData!$U$222),"",ReferenceData!$U$222),"")</f>
        <v>27.164000000000001</v>
      </c>
      <c r="V222">
        <f ca="1">IFERROR(IF(0=LEN(ReferenceData!$V$222),"",ReferenceData!$V$222),"")</f>
        <v>195.32</v>
      </c>
      <c r="W222">
        <f ca="1">IFERROR(IF(0=LEN(ReferenceData!$W$222),"",ReferenceData!$W$222),"")</f>
        <v>239.172</v>
      </c>
      <c r="X222">
        <f ca="1">IFERROR(IF(0=LEN(ReferenceData!$X$222),"",ReferenceData!$X$222),"")</f>
        <v>223.261</v>
      </c>
      <c r="Y222">
        <f ca="1">IFERROR(IF(0=LEN(ReferenceData!$Y$222),"",ReferenceData!$Y$222),"")</f>
        <v>282.33999999999997</v>
      </c>
      <c r="Z222">
        <f ca="1">IFERROR(IF(0=LEN(ReferenceData!$Z$222),"",ReferenceData!$Z$222),"")</f>
        <v>140.988</v>
      </c>
      <c r="AA222">
        <f ca="1">IFERROR(IF(0=LEN(ReferenceData!$AA$222),"",ReferenceData!$AA$222),"")</f>
        <v>243.83199999999999</v>
      </c>
      <c r="AB222">
        <f ca="1">IFERROR(IF(0=LEN(ReferenceData!$AB$222),"",ReferenceData!$AB$222),"")</f>
        <v>15.945</v>
      </c>
      <c r="AC222">
        <f ca="1">IFERROR(IF(0=LEN(ReferenceData!$AC$222),"",ReferenceData!$AC$222),"")</f>
        <v>238.38200000000001</v>
      </c>
      <c r="AD222">
        <f ca="1">IFERROR(IF(0=LEN(ReferenceData!$AD$222),"",ReferenceData!$AD$222),"")</f>
        <v>155.197</v>
      </c>
      <c r="AE222">
        <f ca="1">IFERROR(IF(0=LEN(ReferenceData!$AE$222),"",ReferenceData!$AE$222),"")</f>
        <v>88.352999999999994</v>
      </c>
      <c r="AF222">
        <f ca="1">IFERROR(IF(0=LEN(ReferenceData!$AF$222),"",ReferenceData!$AF$222),"")</f>
        <v>128.446</v>
      </c>
      <c r="AG222">
        <f ca="1">IFERROR(IF(0=LEN(ReferenceData!$AG$222),"",ReferenceData!$AG$222),"")</f>
        <v>181.19300000000001</v>
      </c>
      <c r="AH222">
        <f ca="1">IFERROR(IF(0=LEN(ReferenceData!$AH$222),"",ReferenceData!$AH$222),"")</f>
        <v>74.881</v>
      </c>
      <c r="AI222">
        <f ca="1">IFERROR(IF(0=LEN(ReferenceData!$AI$222),"",ReferenceData!$AI$222),"")</f>
        <v>40.472999999999999</v>
      </c>
      <c r="AJ222">
        <f ca="1">IFERROR(IF(0=LEN(ReferenceData!$AJ$222),"",ReferenceData!$AJ$222),"")</f>
        <v>34.872</v>
      </c>
      <c r="AK222">
        <f ca="1">IFERROR(IF(0=LEN(ReferenceData!$AK$222),"",ReferenceData!$AK$222),"")</f>
        <v>28.577999999999999</v>
      </c>
      <c r="AL222">
        <f ca="1">IFERROR(IF(0=LEN(ReferenceData!$AL$222),"",ReferenceData!$AL$222),"")</f>
        <v>73.798000000000002</v>
      </c>
      <c r="AM222">
        <f ca="1">IFERROR(IF(0=LEN(ReferenceData!$AM$222),"",ReferenceData!$AM$222),"")</f>
        <v>87.013999999999996</v>
      </c>
      <c r="AN222">
        <f ca="1">IFERROR(IF(0=LEN(ReferenceData!$AN$222),"",ReferenceData!$AN$222),"")</f>
        <v>99.438000000000002</v>
      </c>
      <c r="AO222">
        <f ca="1">IFERROR(IF(0=LEN(ReferenceData!$AO$222),"",ReferenceData!$AO$222),"")</f>
        <v>104.851</v>
      </c>
      <c r="AP222">
        <f ca="1">IFERROR(IF(0=LEN(ReferenceData!$AP$222),"",ReferenceData!$AP$222),"")</f>
        <v>87.100999999999999</v>
      </c>
      <c r="AQ222">
        <f ca="1">IFERROR(IF(0=LEN(ReferenceData!$AQ$222),"",ReferenceData!$AQ$222),"")</f>
        <v>74.962000000000003</v>
      </c>
      <c r="AR222">
        <f ca="1">IFERROR(IF(0=LEN(ReferenceData!$AR$222),"",ReferenceData!$AR$222),"")</f>
        <v>116.565</v>
      </c>
      <c r="AS222">
        <f ca="1">IFERROR(IF(0=LEN(ReferenceData!$AS$222),"",ReferenceData!$AS$222),"")</f>
        <v>96.844999999999999</v>
      </c>
      <c r="AT222">
        <f ca="1">IFERROR(IF(0=LEN(ReferenceData!$AT$222),"",ReferenceData!$AT$222),"")</f>
        <v>70.605999999999995</v>
      </c>
      <c r="AU222">
        <f ca="1">IFERROR(IF(0=LEN(ReferenceData!$AU$222),"",ReferenceData!$AU$222),"")</f>
        <v>32.945</v>
      </c>
      <c r="AV222">
        <f ca="1">IFERROR(IF(0=LEN(ReferenceData!$AV$222),"",ReferenceData!$AV$222),"")</f>
        <v>15.371</v>
      </c>
      <c r="AW222">
        <f ca="1">IFERROR(IF(0=LEN(ReferenceData!$AW$222),"",ReferenceData!$AW$222),"")</f>
        <v>70.816000000000003</v>
      </c>
      <c r="AX222">
        <f ca="1">IFERROR(IF(0=LEN(ReferenceData!$AX$222),"",ReferenceData!$AX$222),"")</f>
        <v>-143.08699999999999</v>
      </c>
      <c r="AY222">
        <f ca="1">IFERROR(IF(0=LEN(ReferenceData!$AY$222),"",ReferenceData!$AY$222),"")</f>
        <v>-62.765999999999998</v>
      </c>
      <c r="AZ222">
        <f ca="1">IFERROR(IF(0=LEN(ReferenceData!$AZ$222),"",ReferenceData!$AZ$222),"")</f>
        <v>4.1399999999999997</v>
      </c>
      <c r="BA222">
        <f ca="1">IFERROR(IF(0=LEN(ReferenceData!$BA$222),"",ReferenceData!$BA$222),"")</f>
        <v>2.5630000000000002</v>
      </c>
      <c r="BB222">
        <f ca="1">IFERROR(IF(0=LEN(ReferenceData!$BB$222),"",ReferenceData!$BB$222),"")</f>
        <v>-101.813</v>
      </c>
      <c r="BC222">
        <f ca="1">IFERROR(IF(0=LEN(ReferenceData!$BC$222),"",ReferenceData!$BC$222),"")</f>
        <v>-12.054</v>
      </c>
      <c r="BD222">
        <f ca="1">IFERROR(IF(0=LEN(ReferenceData!$BD$222),"",ReferenceData!$BD$222),"")</f>
        <v>-168.21899999999999</v>
      </c>
      <c r="BE222">
        <f ca="1">IFERROR(IF(0=LEN(ReferenceData!$BE$222),"",ReferenceData!$BE$222),"")</f>
        <v>-57.149000000000001</v>
      </c>
      <c r="BF222">
        <f ca="1">IFERROR(IF(0=LEN(ReferenceData!$BF$222),"",ReferenceData!$BF$222),"")</f>
        <v>65.221999999999994</v>
      </c>
      <c r="BG222">
        <f ca="1">IFERROR(IF(0=LEN(ReferenceData!$BG$222),"",ReferenceData!$BG$222),"")</f>
        <v>-38.853000000000002</v>
      </c>
      <c r="BH222">
        <f ca="1">IFERROR(IF(0=LEN(ReferenceData!$BH$222),"",ReferenceData!$BH$222),"")</f>
        <v>12.695</v>
      </c>
      <c r="BI222">
        <f ca="1">IFERROR(IF(0=LEN(ReferenceData!$BI$222),"",ReferenceData!$BI$222),"")</f>
        <v>-52.694000000000003</v>
      </c>
      <c r="BJ222">
        <f ca="1">IFERROR(IF(0=LEN(ReferenceData!$BJ$222),"",ReferenceData!$BJ$222),"")</f>
        <v>10.53</v>
      </c>
      <c r="BK222">
        <f ca="1">IFERROR(IF(0=LEN(ReferenceData!$BK$222),"",ReferenceData!$BK$222),"")</f>
        <v>56.848002000000001</v>
      </c>
      <c r="BL222">
        <f ca="1">IFERROR(IF(0=LEN(ReferenceData!$BL$222),"",ReferenceData!$BL$222),"")</f>
        <v>-100.023</v>
      </c>
      <c r="BM222">
        <f ca="1">IFERROR(IF(0=LEN(ReferenceData!$BM$222),"",ReferenceData!$BM$222),"")</f>
        <v>41.067999999999998</v>
      </c>
    </row>
    <row r="223" spans="1:65">
      <c r="A223" t="str">
        <f>IFERROR(IF(0=LEN(ReferenceData!$A$223),"",ReferenceData!$A$223),"")</f>
        <v xml:space="preserve">    Healthcare Realty Trust Inc</v>
      </c>
      <c r="B223" t="str">
        <f>IFERROR(IF(0=LEN(ReferenceData!$B$223),"",ReferenceData!$B$223),"")</f>
        <v>HR US Equity</v>
      </c>
      <c r="C223" t="str">
        <f>IFERROR(IF(0=LEN(ReferenceData!$C$223),"",ReferenceData!$C$223),"")</f>
        <v>RR008</v>
      </c>
      <c r="D223" t="str">
        <f>IFERROR(IF(0=LEN(ReferenceData!$D$223),"",ReferenceData!$D$223),"")</f>
        <v>CF_FREE_CASH_FLOW</v>
      </c>
      <c r="E223" t="str">
        <f>IFERROR(IF(0=LEN(ReferenceData!$E$223),"",ReferenceData!$E$223),"")</f>
        <v>动态</v>
      </c>
      <c r="F223" t="str">
        <f ca="1">IFERROR(IF(0=LEN(ReferenceData!$F$223),"",ReferenceData!$F$223),"")</f>
        <v/>
      </c>
      <c r="G223">
        <f ca="1">IFERROR(IF(0=LEN(ReferenceData!$G$223),"",ReferenceData!$G$223),"")</f>
        <v>-154.49100000000001</v>
      </c>
      <c r="H223">
        <f ca="1">IFERROR(IF(0=LEN(ReferenceData!$H$223),"",ReferenceData!$H$223),"")</f>
        <v>24.341000000000001</v>
      </c>
      <c r="I223">
        <f ca="1">IFERROR(IF(0=LEN(ReferenceData!$I$223),"",ReferenceData!$I$223),"")</f>
        <v>7.9119999999999999</v>
      </c>
      <c r="J223">
        <f ca="1">IFERROR(IF(0=LEN(ReferenceData!$J$223),"",ReferenceData!$J$223),"")</f>
        <v>12.425000000000001</v>
      </c>
      <c r="K223">
        <f ca="1">IFERROR(IF(0=LEN(ReferenceData!$K$223),"",ReferenceData!$K$223),"")</f>
        <v>-19.600999999999999</v>
      </c>
      <c r="L223">
        <f ca="1">IFERROR(IF(0=LEN(ReferenceData!$L$223),"",ReferenceData!$L$223),"")</f>
        <v>-66.114999999999995</v>
      </c>
      <c r="M223">
        <f ca="1">IFERROR(IF(0=LEN(ReferenceData!$M$223),"",ReferenceData!$M$223),"")</f>
        <v>-0.314</v>
      </c>
      <c r="N223">
        <f ca="1">IFERROR(IF(0=LEN(ReferenceData!$N$223),"",ReferenceData!$N$223),"")</f>
        <v>-22.361000000000001</v>
      </c>
      <c r="O223">
        <f ca="1">IFERROR(IF(0=LEN(ReferenceData!$O$223),"",ReferenceData!$O$223),"")</f>
        <v>-56.1</v>
      </c>
      <c r="P223">
        <f ca="1">IFERROR(IF(0=LEN(ReferenceData!$P$223),"",ReferenceData!$P$223),"")</f>
        <v>17.93</v>
      </c>
      <c r="Q223">
        <f ca="1">IFERROR(IF(0=LEN(ReferenceData!$Q$223),"",ReferenceData!$Q$223),"")</f>
        <v>50.688000000000002</v>
      </c>
      <c r="R223">
        <f ca="1">IFERROR(IF(0=LEN(ReferenceData!$R$223),"",ReferenceData!$R$223),"")</f>
        <v>-24.355</v>
      </c>
      <c r="S223">
        <f ca="1">IFERROR(IF(0=LEN(ReferenceData!$S$223),"",ReferenceData!$S$223),"")</f>
        <v>13.515000000000001</v>
      </c>
      <c r="T223">
        <f ca="1">IFERROR(IF(0=LEN(ReferenceData!$T$223),"",ReferenceData!$T$223),"")</f>
        <v>8.7469999999999999</v>
      </c>
      <c r="U223">
        <f ca="1">IFERROR(IF(0=LEN(ReferenceData!$U$223),"",ReferenceData!$U$223),"")</f>
        <v>38.798000000000002</v>
      </c>
      <c r="V223">
        <f ca="1">IFERROR(IF(0=LEN(ReferenceData!$V$223),"",ReferenceData!$V$223),"")</f>
        <v>-7.3849999999999998</v>
      </c>
      <c r="W223">
        <f ca="1">IFERROR(IF(0=LEN(ReferenceData!$W$223),"",ReferenceData!$W$223),"")</f>
        <v>-97.218999999999994</v>
      </c>
      <c r="X223">
        <f ca="1">IFERROR(IF(0=LEN(ReferenceData!$X$223),"",ReferenceData!$X$223),"")</f>
        <v>-41.475999999999999</v>
      </c>
      <c r="Y223">
        <f ca="1">IFERROR(IF(0=LEN(ReferenceData!$Y$223),"",ReferenceData!$Y$223),"")</f>
        <v>30.798999999999999</v>
      </c>
      <c r="Z223">
        <f ca="1">IFERROR(IF(0=LEN(ReferenceData!$Z$223),"",ReferenceData!$Z$223),"")</f>
        <v>-21.835000000000001</v>
      </c>
      <c r="AA223">
        <f ca="1">IFERROR(IF(0=LEN(ReferenceData!$AA$223),"",ReferenceData!$AA$223),"")</f>
        <v>-72.989999999999995</v>
      </c>
      <c r="AB223">
        <f ca="1">IFERROR(IF(0=LEN(ReferenceData!$AB$223),"",ReferenceData!$AB$223),"")</f>
        <v>4.8630000000000004</v>
      </c>
      <c r="AC223">
        <f ca="1">IFERROR(IF(0=LEN(ReferenceData!$AC$223),"",ReferenceData!$AC$223),"")</f>
        <v>24.8</v>
      </c>
      <c r="AD223">
        <f ca="1">IFERROR(IF(0=LEN(ReferenceData!$AD$223),"",ReferenceData!$AD$223),"")</f>
        <v>-33.524999999999999</v>
      </c>
      <c r="AE223">
        <f ca="1">IFERROR(IF(0=LEN(ReferenceData!$AE$223),"",ReferenceData!$AE$223),"")</f>
        <v>-11.794</v>
      </c>
      <c r="AF223">
        <f ca="1">IFERROR(IF(0=LEN(ReferenceData!$AF$223),"",ReferenceData!$AF$223),"")</f>
        <v>-75.989000000000004</v>
      </c>
      <c r="AG223">
        <f ca="1">IFERROR(IF(0=LEN(ReferenceData!$AG$223),"",ReferenceData!$AG$223),"")</f>
        <v>-13.250999999999999</v>
      </c>
      <c r="AH223">
        <f ca="1">IFERROR(IF(0=LEN(ReferenceData!$AH$223),"",ReferenceData!$AH$223),"")</f>
        <v>-15.863</v>
      </c>
      <c r="AI223">
        <f ca="1">IFERROR(IF(0=LEN(ReferenceData!$AI$223),"",ReferenceData!$AI$223),"")</f>
        <v>-173.52099999999999</v>
      </c>
      <c r="AJ223">
        <f ca="1">IFERROR(IF(0=LEN(ReferenceData!$AJ$223),"",ReferenceData!$AJ$223),"")</f>
        <v>-110.16200000000001</v>
      </c>
      <c r="AK223">
        <f ca="1">IFERROR(IF(0=LEN(ReferenceData!$AK$223),"",ReferenceData!$AK$223),"")</f>
        <v>-7.585</v>
      </c>
      <c r="AL223">
        <f ca="1">IFERROR(IF(0=LEN(ReferenceData!$AL$223),"",ReferenceData!$AL$223),"")</f>
        <v>3.069</v>
      </c>
      <c r="AM223">
        <f ca="1">IFERROR(IF(0=LEN(ReferenceData!$AM$223),"",ReferenceData!$AM$223),"")</f>
        <v>-50.433999999999997</v>
      </c>
      <c r="AN223">
        <f ca="1">IFERROR(IF(0=LEN(ReferenceData!$AN$223),"",ReferenceData!$AN$223),"")</f>
        <v>-0.875</v>
      </c>
      <c r="AO223">
        <f ca="1">IFERROR(IF(0=LEN(ReferenceData!$AO$223),"",ReferenceData!$AO$223),"")</f>
        <v>-10.449</v>
      </c>
      <c r="AP223">
        <f ca="1">IFERROR(IF(0=LEN(ReferenceData!$AP$223),"",ReferenceData!$AP$223),"")</f>
        <v>-5.548</v>
      </c>
      <c r="AQ223">
        <f ca="1">IFERROR(IF(0=LEN(ReferenceData!$AQ$223),"",ReferenceData!$AQ$223),"")</f>
        <v>-218.06100000000001</v>
      </c>
      <c r="AR223">
        <f ca="1">IFERROR(IF(0=LEN(ReferenceData!$AR$223),"",ReferenceData!$AR$223),"")</f>
        <v>-65.421999999999997</v>
      </c>
      <c r="AS223">
        <f ca="1">IFERROR(IF(0=LEN(ReferenceData!$AS$223),"",ReferenceData!$AS$223),"")</f>
        <v>-7.1660000000000004</v>
      </c>
      <c r="AT223">
        <f ca="1">IFERROR(IF(0=LEN(ReferenceData!$AT$223),"",ReferenceData!$AT$223),"")</f>
        <v>12.198</v>
      </c>
      <c r="AU223">
        <f ca="1">IFERROR(IF(0=LEN(ReferenceData!$AU$223),"",ReferenceData!$AU$223),"")</f>
        <v>2.976</v>
      </c>
      <c r="AV223">
        <f ca="1">IFERROR(IF(0=LEN(ReferenceData!$AV$223),"",ReferenceData!$AV$223),"")</f>
        <v>-47.283000000000001</v>
      </c>
      <c r="AW223">
        <f ca="1">IFERROR(IF(0=LEN(ReferenceData!$AW$223),"",ReferenceData!$AW$223),"")</f>
        <v>-6.2450000000000001</v>
      </c>
      <c r="AX223">
        <f ca="1">IFERROR(IF(0=LEN(ReferenceData!$AX$223),"",ReferenceData!$AX$223),"")</f>
        <v>10.673</v>
      </c>
      <c r="AY223">
        <f ca="1">IFERROR(IF(0=LEN(ReferenceData!$AY$223),"",ReferenceData!$AY$223),"")</f>
        <v>-1.752</v>
      </c>
      <c r="AZ223">
        <f ca="1">IFERROR(IF(0=LEN(ReferenceData!$AZ$223),"",ReferenceData!$AZ$223),"")</f>
        <v>13.516</v>
      </c>
      <c r="BA223">
        <f ca="1">IFERROR(IF(0=LEN(ReferenceData!$BA$223),"",ReferenceData!$BA$223),"")</f>
        <v>-55.207999999999998</v>
      </c>
      <c r="BB223">
        <f ca="1">IFERROR(IF(0=LEN(ReferenceData!$BB$223),"",ReferenceData!$BB$223),"")</f>
        <v>25.870999999999999</v>
      </c>
      <c r="BC223">
        <f ca="1">IFERROR(IF(0=LEN(ReferenceData!$BC$223),"",ReferenceData!$BC$223),"")</f>
        <v>3.609</v>
      </c>
      <c r="BD223">
        <f ca="1">IFERROR(IF(0=LEN(ReferenceData!$BD$223),"",ReferenceData!$BD$223),"")</f>
        <v>20.084</v>
      </c>
      <c r="BE223">
        <f ca="1">IFERROR(IF(0=LEN(ReferenceData!$BE$223),"",ReferenceData!$BE$223),"")</f>
        <v>-36.22</v>
      </c>
      <c r="BF223">
        <f ca="1">IFERROR(IF(0=LEN(ReferenceData!$BF$223),"",ReferenceData!$BF$223),"")</f>
        <v>26.733000000000001</v>
      </c>
      <c r="BG223">
        <f ca="1">IFERROR(IF(0=LEN(ReferenceData!$BG$223),"",ReferenceData!$BG$223),"")</f>
        <v>-51.579000000000001</v>
      </c>
      <c r="BH223">
        <f ca="1">IFERROR(IF(0=LEN(ReferenceData!$BH$223),"",ReferenceData!$BH$223),"")</f>
        <v>-98.59</v>
      </c>
      <c r="BI223">
        <f ca="1">IFERROR(IF(0=LEN(ReferenceData!$BI$223),"",ReferenceData!$BI$223),"")</f>
        <v>-96.975999999999999</v>
      </c>
      <c r="BJ223">
        <f ca="1">IFERROR(IF(0=LEN(ReferenceData!$BJ$223),"",ReferenceData!$BJ$223),"")</f>
        <v>-40.469000000000001</v>
      </c>
      <c r="BK223" t="str">
        <f ca="1">IFERROR(IF(0=LEN(ReferenceData!$BK$223),"",ReferenceData!$BK$223),"")</f>
        <v/>
      </c>
      <c r="BL223">
        <f ca="1">IFERROR(IF(0=LEN(ReferenceData!$BL$223),"",ReferenceData!$BL$223),"")</f>
        <v>-27.29799843</v>
      </c>
      <c r="BM223">
        <f ca="1">IFERROR(IF(0=LEN(ReferenceData!$BM$223),"",ReferenceData!$BM$223),"")</f>
        <v>14.453000550000001</v>
      </c>
    </row>
    <row r="224" spans="1:65">
      <c r="A224" t="str">
        <f>IFERROR(IF(0=LEN(ReferenceData!$A$224),"",ReferenceData!$A$224),"")</f>
        <v xml:space="preserve">    Healthcare Trust of America In</v>
      </c>
      <c r="B224" t="str">
        <f>IFERROR(IF(0=LEN(ReferenceData!$B$224),"",ReferenceData!$B$224),"")</f>
        <v>HTA US Equity</v>
      </c>
      <c r="C224" t="str">
        <f>IFERROR(IF(0=LEN(ReferenceData!$C$224),"",ReferenceData!$C$224),"")</f>
        <v>RR008</v>
      </c>
      <c r="D224" t="str">
        <f>IFERROR(IF(0=LEN(ReferenceData!$D$224),"",ReferenceData!$D$224),"")</f>
        <v>CF_FREE_CASH_FLOW</v>
      </c>
      <c r="E224" t="str">
        <f>IFERROR(IF(0=LEN(ReferenceData!$E$224),"",ReferenceData!$E$224),"")</f>
        <v>动态</v>
      </c>
      <c r="F224" t="str">
        <f ca="1">IFERROR(IF(0=LEN(ReferenceData!$F$224),"",ReferenceData!$F$224),"")</f>
        <v/>
      </c>
      <c r="G224">
        <f ca="1">IFERROR(IF(0=LEN(ReferenceData!$G$224),"",ReferenceData!$G$224),"")</f>
        <v>57.158000000000001</v>
      </c>
      <c r="H224">
        <f ca="1">IFERROR(IF(0=LEN(ReferenceData!$H$224),"",ReferenceData!$H$224),"")</f>
        <v>71.052999999999997</v>
      </c>
      <c r="I224">
        <f ca="1">IFERROR(IF(0=LEN(ReferenceData!$I$224),"",ReferenceData!$I$224),"")</f>
        <v>80.38</v>
      </c>
      <c r="J224">
        <f ca="1">IFERROR(IF(0=LEN(ReferenceData!$J$224),"",ReferenceData!$J$224),"")</f>
        <v>34.119</v>
      </c>
      <c r="K224">
        <f ca="1">IFERROR(IF(0=LEN(ReferenceData!$K$224),"",ReferenceData!$K$224),"")</f>
        <v>46.508000000000003</v>
      </c>
      <c r="L224">
        <f ca="1">IFERROR(IF(0=LEN(ReferenceData!$L$224),"",ReferenceData!$L$224),"")</f>
        <v>39.619</v>
      </c>
      <c r="M224">
        <f ca="1">IFERROR(IF(0=LEN(ReferenceData!$M$224),"",ReferenceData!$M$224),"")</f>
        <v>42.945999999999998</v>
      </c>
      <c r="N224">
        <f ca="1">IFERROR(IF(0=LEN(ReferenceData!$N$224),"",ReferenceData!$N$224),"")</f>
        <v>31.628</v>
      </c>
      <c r="O224">
        <f ca="1">IFERROR(IF(0=LEN(ReferenceData!$O$224),"",ReferenceData!$O$224),"")</f>
        <v>40.496000000000002</v>
      </c>
      <c r="P224">
        <f ca="1">IFERROR(IF(0=LEN(ReferenceData!$P$224),"",ReferenceData!$P$224),"")</f>
        <v>47.293999999999997</v>
      </c>
      <c r="Q224">
        <f ca="1">IFERROR(IF(0=LEN(ReferenceData!$Q$224),"",ReferenceData!$Q$224),"")</f>
        <v>43.363999999999997</v>
      </c>
      <c r="R224">
        <f ca="1">IFERROR(IF(0=LEN(ReferenceData!$R$224),"",ReferenceData!$R$224),"")</f>
        <v>30.670999999999999</v>
      </c>
      <c r="S224">
        <f ca="1">IFERROR(IF(0=LEN(ReferenceData!$S$224),"",ReferenceData!$S$224),"")</f>
        <v>34.079000000000001</v>
      </c>
      <c r="T224">
        <f ca="1">IFERROR(IF(0=LEN(ReferenceData!$T$224),"",ReferenceData!$T$224),"")</f>
        <v>42.435000000000002</v>
      </c>
      <c r="U224">
        <f ca="1">IFERROR(IF(0=LEN(ReferenceData!$U$224),"",ReferenceData!$U$224),"")</f>
        <v>35.069000000000003</v>
      </c>
      <c r="V224">
        <f ca="1">IFERROR(IF(0=LEN(ReferenceData!$V$224),"",ReferenceData!$V$224),"")</f>
        <v>27.879000000000001</v>
      </c>
      <c r="W224">
        <f ca="1">IFERROR(IF(0=LEN(ReferenceData!$W$224),"",ReferenceData!$W$224),"")</f>
        <v>20.253</v>
      </c>
      <c r="X224">
        <f ca="1">IFERROR(IF(0=LEN(ReferenceData!$X$224),"",ReferenceData!$X$224),"")</f>
        <v>36.481000000000002</v>
      </c>
      <c r="Y224">
        <f ca="1">IFERROR(IF(0=LEN(ReferenceData!$Y$224),"",ReferenceData!$Y$224),"")</f>
        <v>41.51</v>
      </c>
      <c r="Z224">
        <f ca="1">IFERROR(IF(0=LEN(ReferenceData!$Z$224),"",ReferenceData!$Z$224),"")</f>
        <v>24.198</v>
      </c>
      <c r="AA224">
        <f ca="1">IFERROR(IF(0=LEN(ReferenceData!$AA$224),"",ReferenceData!$AA$224),"")</f>
        <v>28.414000000000001</v>
      </c>
      <c r="AB224">
        <f ca="1">IFERROR(IF(0=LEN(ReferenceData!$AB$224),"",ReferenceData!$AB$224),"")</f>
        <v>29.95</v>
      </c>
      <c r="AC224">
        <f ca="1">IFERROR(IF(0=LEN(ReferenceData!$AC$224),"",ReferenceData!$AC$224),"")</f>
        <v>16.102</v>
      </c>
      <c r="AD224">
        <f ca="1">IFERROR(IF(0=LEN(ReferenceData!$AD$224),"",ReferenceData!$AD$224),"")</f>
        <v>19.41</v>
      </c>
      <c r="AE224">
        <f ca="1">IFERROR(IF(0=LEN(ReferenceData!$AE$224),"",ReferenceData!$AE$224),"")</f>
        <v>18.809000000000001</v>
      </c>
      <c r="AF224">
        <f ca="1">IFERROR(IF(0=LEN(ReferenceData!$AF$224),"",ReferenceData!$AF$224),"")</f>
        <v>22.064</v>
      </c>
      <c r="AG224">
        <f ca="1">IFERROR(IF(0=LEN(ReferenceData!$AG$224),"",ReferenceData!$AG$224),"")</f>
        <v>32.338000000000001</v>
      </c>
      <c r="AH224">
        <f ca="1">IFERROR(IF(0=LEN(ReferenceData!$AH$224),"",ReferenceData!$AH$224),"")</f>
        <v>22.562000000000001</v>
      </c>
      <c r="AI224">
        <f ca="1">IFERROR(IF(0=LEN(ReferenceData!$AI$224),"",ReferenceData!$AI$224),"")</f>
        <v>7.7110000000000003</v>
      </c>
      <c r="AJ224">
        <f ca="1">IFERROR(IF(0=LEN(ReferenceData!$AJ$224),"",ReferenceData!$AJ$224),"")</f>
        <v>15.170999999999999</v>
      </c>
      <c r="AK224">
        <f ca="1">IFERROR(IF(0=LEN(ReferenceData!$AK$224),"",ReferenceData!$AK$224),"")</f>
        <v>13.015000000000001</v>
      </c>
      <c r="AL224">
        <f ca="1">IFERROR(IF(0=LEN(ReferenceData!$AL$224),"",ReferenceData!$AL$224),"")</f>
        <v>7.718</v>
      </c>
      <c r="AM224" t="str">
        <f ca="1">IFERROR(IF(0=LEN(ReferenceData!$AM$224),"",ReferenceData!$AM$224),"")</f>
        <v/>
      </c>
      <c r="AN224" t="str">
        <f ca="1">IFERROR(IF(0=LEN(ReferenceData!$AN$224),"",ReferenceData!$AN$224),"")</f>
        <v/>
      </c>
      <c r="AO224" t="str">
        <f ca="1">IFERROR(IF(0=LEN(ReferenceData!$AO$224),"",ReferenceData!$AO$224),"")</f>
        <v/>
      </c>
      <c r="AP224" t="str">
        <f ca="1">IFERROR(IF(0=LEN(ReferenceData!$AP$224),"",ReferenceData!$AP$224),"")</f>
        <v/>
      </c>
      <c r="AQ224" t="str">
        <f ca="1">IFERROR(IF(0=LEN(ReferenceData!$AQ$224),"",ReferenceData!$AQ$224),"")</f>
        <v/>
      </c>
      <c r="AR224" t="str">
        <f ca="1">IFERROR(IF(0=LEN(ReferenceData!$AR$224),"",ReferenceData!$AR$224),"")</f>
        <v/>
      </c>
      <c r="AS224" t="str">
        <f ca="1">IFERROR(IF(0=LEN(ReferenceData!$AS$224),"",ReferenceData!$AS$224),"")</f>
        <v/>
      </c>
      <c r="AT224" t="str">
        <f ca="1">IFERROR(IF(0=LEN(ReferenceData!$AT$224),"",ReferenceData!$AT$224),"")</f>
        <v/>
      </c>
      <c r="AU224" t="str">
        <f ca="1">IFERROR(IF(0=LEN(ReferenceData!$AU$224),"",ReferenceData!$AU$224),"")</f>
        <v/>
      </c>
      <c r="AV224" t="str">
        <f ca="1">IFERROR(IF(0=LEN(ReferenceData!$AV$224),"",ReferenceData!$AV$224),"")</f>
        <v/>
      </c>
      <c r="AW224" t="str">
        <f ca="1">IFERROR(IF(0=LEN(ReferenceData!$AW$224),"",ReferenceData!$AW$224),"")</f>
        <v/>
      </c>
      <c r="AX224" t="str">
        <f ca="1">IFERROR(IF(0=LEN(ReferenceData!$AX$224),"",ReferenceData!$AX$224),"")</f>
        <v/>
      </c>
      <c r="AY224" t="str">
        <f ca="1">IFERROR(IF(0=LEN(ReferenceData!$AY$224),"",ReferenceData!$AY$224),"")</f>
        <v/>
      </c>
      <c r="AZ224" t="str">
        <f ca="1">IFERROR(IF(0=LEN(ReferenceData!$AZ$224),"",ReferenceData!$AZ$224),"")</f>
        <v/>
      </c>
      <c r="BA224" t="str">
        <f ca="1">IFERROR(IF(0=LEN(ReferenceData!$BA$224),"",ReferenceData!$BA$224),"")</f>
        <v/>
      </c>
      <c r="BB224" t="str">
        <f ca="1">IFERROR(IF(0=LEN(ReferenceData!$BB$224),"",ReferenceData!$BB$224),"")</f>
        <v/>
      </c>
      <c r="BC224" t="str">
        <f ca="1">IFERROR(IF(0=LEN(ReferenceData!$BC$224),"",ReferenceData!$BC$224),"")</f>
        <v/>
      </c>
      <c r="BD224" t="str">
        <f ca="1">IFERROR(IF(0=LEN(ReferenceData!$BD$224),"",ReferenceData!$BD$224),"")</f>
        <v/>
      </c>
      <c r="BE224" t="str">
        <f ca="1">IFERROR(IF(0=LEN(ReferenceData!$BE$224),"",ReferenceData!$BE$224),"")</f>
        <v/>
      </c>
      <c r="BF224" t="str">
        <f ca="1">IFERROR(IF(0=LEN(ReferenceData!$BF$224),"",ReferenceData!$BF$224),"")</f>
        <v/>
      </c>
      <c r="BG224" t="str">
        <f ca="1">IFERROR(IF(0=LEN(ReferenceData!$BG$224),"",ReferenceData!$BG$224),"")</f>
        <v/>
      </c>
      <c r="BH224" t="str">
        <f ca="1">IFERROR(IF(0=LEN(ReferenceData!$BH$224),"",ReferenceData!$BH$224),"")</f>
        <v/>
      </c>
      <c r="BI224" t="str">
        <f ca="1">IFERROR(IF(0=LEN(ReferenceData!$BI$224),"",ReferenceData!$BI$224),"")</f>
        <v/>
      </c>
      <c r="BJ224" t="str">
        <f ca="1">IFERROR(IF(0=LEN(ReferenceData!$BJ$224),"",ReferenceData!$BJ$224),"")</f>
        <v/>
      </c>
      <c r="BK224" t="str">
        <f ca="1">IFERROR(IF(0=LEN(ReferenceData!$BK$224),"",ReferenceData!$BK$224),"")</f>
        <v/>
      </c>
      <c r="BL224" t="str">
        <f ca="1">IFERROR(IF(0=LEN(ReferenceData!$BL$224),"",ReferenceData!$BL$224),"")</f>
        <v/>
      </c>
      <c r="BM224" t="str">
        <f ca="1">IFERROR(IF(0=LEN(ReferenceData!$BM$224),"",ReferenceData!$BM$224),"")</f>
        <v/>
      </c>
    </row>
    <row r="225" spans="1:65">
      <c r="A225" t="str">
        <f>IFERROR(IF(0=LEN(ReferenceData!$A$225),"",ReferenceData!$A$225),"")</f>
        <v xml:space="preserve">    Medical Properties Trust Inc</v>
      </c>
      <c r="B225" t="str">
        <f>IFERROR(IF(0=LEN(ReferenceData!$B$225),"",ReferenceData!$B$225),"")</f>
        <v>MPW US Equity</v>
      </c>
      <c r="C225" t="str">
        <f>IFERROR(IF(0=LEN(ReferenceData!$C$225),"",ReferenceData!$C$225),"")</f>
        <v>RR008</v>
      </c>
      <c r="D225" t="str">
        <f>IFERROR(IF(0=LEN(ReferenceData!$D$225),"",ReferenceData!$D$225),"")</f>
        <v>CF_FREE_CASH_FLOW</v>
      </c>
      <c r="E225" t="str">
        <f>IFERROR(IF(0=LEN(ReferenceData!$E$225),"",ReferenceData!$E$225),"")</f>
        <v>动态</v>
      </c>
      <c r="F225" t="str">
        <f ca="1">IFERROR(IF(0=LEN(ReferenceData!$F$225),"",ReferenceData!$F$225),"")</f>
        <v/>
      </c>
      <c r="G225">
        <f ca="1">IFERROR(IF(0=LEN(ReferenceData!$G$225),"",ReferenceData!$G$225),"")</f>
        <v>27.577000000000002</v>
      </c>
      <c r="H225">
        <f ca="1">IFERROR(IF(0=LEN(ReferenceData!$H$225),"",ReferenceData!$H$225),"")</f>
        <v>-1503.1769999999999</v>
      </c>
      <c r="I225">
        <f ca="1">IFERROR(IF(0=LEN(ReferenceData!$I$225),"",ReferenceData!$I$225),"")</f>
        <v>-506.57299999999998</v>
      </c>
      <c r="J225">
        <f ca="1">IFERROR(IF(0=LEN(ReferenceData!$J$225),"",ReferenceData!$J$225),"")</f>
        <v>24.673999999999999</v>
      </c>
      <c r="K225">
        <f ca="1">IFERROR(IF(0=LEN(ReferenceData!$K$225),"",ReferenceData!$K$225),"")</f>
        <v>-1404.788</v>
      </c>
      <c r="L225">
        <f ca="1">IFERROR(IF(0=LEN(ReferenceData!$L$225),"",ReferenceData!$L$225),"")</f>
        <v>-103.381</v>
      </c>
      <c r="M225">
        <f ca="1">IFERROR(IF(0=LEN(ReferenceData!$M$225),"",ReferenceData!$M$225),"")</f>
        <v>-94.801000000000002</v>
      </c>
      <c r="N225">
        <f ca="1">IFERROR(IF(0=LEN(ReferenceData!$N$225),"",ReferenceData!$N$225),"")</f>
        <v>14.035</v>
      </c>
      <c r="O225">
        <f ca="1">IFERROR(IF(0=LEN(ReferenceData!$O$225),"",ReferenceData!$O$225),"")</f>
        <v>-144.72800000000001</v>
      </c>
      <c r="P225">
        <f ca="1">IFERROR(IF(0=LEN(ReferenceData!$P$225),"",ReferenceData!$P$225),"")</f>
        <v>-1452.2750000000001</v>
      </c>
      <c r="Q225">
        <f ca="1">IFERROR(IF(0=LEN(ReferenceData!$Q$225),"",ReferenceData!$Q$225),"")</f>
        <v>-391.05700000000002</v>
      </c>
      <c r="R225">
        <f ca="1">IFERROR(IF(0=LEN(ReferenceData!$R$225),"",ReferenceData!$R$225),"")</f>
        <v>-170.185</v>
      </c>
      <c r="S225">
        <f ca="1">IFERROR(IF(0=LEN(ReferenceData!$S$225),"",ReferenceData!$S$225),"")</f>
        <v>-535.346</v>
      </c>
      <c r="T225">
        <f ca="1">IFERROR(IF(0=LEN(ReferenceData!$T$225),"",ReferenceData!$T$225),"")</f>
        <v>-64.335999999999999</v>
      </c>
      <c r="U225">
        <f ca="1">IFERROR(IF(0=LEN(ReferenceData!$U$225),"",ReferenceData!$U$225),"")</f>
        <v>4.7389999999999999</v>
      </c>
      <c r="V225">
        <f ca="1">IFERROR(IF(0=LEN(ReferenceData!$V$225),"",ReferenceData!$V$225),"")</f>
        <v>-124.643</v>
      </c>
      <c r="W225">
        <f ca="1">IFERROR(IF(0=LEN(ReferenceData!$W$225),"",ReferenceData!$W$225),"")</f>
        <v>-222.214</v>
      </c>
      <c r="X225">
        <f ca="1">IFERROR(IF(0=LEN(ReferenceData!$X$225),"",ReferenceData!$X$225),"")</f>
        <v>-281.43200000000002</v>
      </c>
      <c r="Y225">
        <f ca="1">IFERROR(IF(0=LEN(ReferenceData!$Y$225),"",ReferenceData!$Y$225),"")</f>
        <v>-65.450999999999993</v>
      </c>
      <c r="Z225">
        <f ca="1">IFERROR(IF(0=LEN(ReferenceData!$Z$225),"",ReferenceData!$Z$225),"")</f>
        <v>13.525</v>
      </c>
      <c r="AA225">
        <f ca="1">IFERROR(IF(0=LEN(ReferenceData!$AA$225),"",ReferenceData!$AA$225),"")</f>
        <v>6.96</v>
      </c>
      <c r="AB225">
        <f ca="1">IFERROR(IF(0=LEN(ReferenceData!$AB$225),"",ReferenceData!$AB$225),"")</f>
        <v>-194.97900000000001</v>
      </c>
      <c r="AC225">
        <f ca="1">IFERROR(IF(0=LEN(ReferenceData!$AC$225),"",ReferenceData!$AC$225),"")</f>
        <v>-389.99099999999999</v>
      </c>
      <c r="AD225">
        <f ca="1">IFERROR(IF(0=LEN(ReferenceData!$AD$225),"",ReferenceData!$AD$225),"")</f>
        <v>17.259</v>
      </c>
      <c r="AE225">
        <f ca="1">IFERROR(IF(0=LEN(ReferenceData!$AE$225),"",ReferenceData!$AE$225),"")</f>
        <v>-30.552</v>
      </c>
      <c r="AF225">
        <f ca="1">IFERROR(IF(0=LEN(ReferenceData!$AF$225),"",ReferenceData!$AF$225),"")</f>
        <v>-7.6120000000000001</v>
      </c>
      <c r="AG225">
        <f ca="1">IFERROR(IF(0=LEN(ReferenceData!$AG$225),"",ReferenceData!$AG$225),"")</f>
        <v>6.7709999999999999</v>
      </c>
      <c r="AH225">
        <f ca="1">IFERROR(IF(0=LEN(ReferenceData!$AH$225),"",ReferenceData!$AH$225),"")</f>
        <v>-158.84700000000001</v>
      </c>
      <c r="AI225">
        <f ca="1">IFERROR(IF(0=LEN(ReferenceData!$AI$225),"",ReferenceData!$AI$225),"")</f>
        <v>-38.591000000000001</v>
      </c>
      <c r="AJ225">
        <f ca="1">IFERROR(IF(0=LEN(ReferenceData!$AJ$225),"",ReferenceData!$AJ$225),"")</f>
        <v>17.945</v>
      </c>
      <c r="AK225">
        <f ca="1">IFERROR(IF(0=LEN(ReferenceData!$AK$225),"",ReferenceData!$AK$225),"")</f>
        <v>-72.784999999999997</v>
      </c>
      <c r="AL225">
        <f ca="1">IFERROR(IF(0=LEN(ReferenceData!$AL$225),"",ReferenceData!$AL$225),"")</f>
        <v>9.6219999999999999</v>
      </c>
      <c r="AM225">
        <f ca="1">IFERROR(IF(0=LEN(ReferenceData!$AM$225),"",ReferenceData!$AM$225),"")</f>
        <v>7.8949999999999996</v>
      </c>
      <c r="AN225">
        <f ca="1">IFERROR(IF(0=LEN(ReferenceData!$AN$225),"",ReferenceData!$AN$225),"")</f>
        <v>22.308</v>
      </c>
      <c r="AO225">
        <f ca="1">IFERROR(IF(0=LEN(ReferenceData!$AO$225),"",ReferenceData!$AO$225),"")</f>
        <v>6.2919999999999998</v>
      </c>
      <c r="AP225">
        <f ca="1">IFERROR(IF(0=LEN(ReferenceData!$AP$225),"",ReferenceData!$AP$225),"")</f>
        <v>16.963000000000001</v>
      </c>
      <c r="AQ225">
        <f ca="1">IFERROR(IF(0=LEN(ReferenceData!$AQ$225),"",ReferenceData!$AQ$225),"")</f>
        <v>-35.807000000000002</v>
      </c>
      <c r="AR225">
        <f ca="1">IFERROR(IF(0=LEN(ReferenceData!$AR$225),"",ReferenceData!$AR$225),"")</f>
        <v>-22.050999999999998</v>
      </c>
      <c r="AS225">
        <f ca="1">IFERROR(IF(0=LEN(ReferenceData!$AS$225),"",ReferenceData!$AS$225),"")</f>
        <v>-316.762</v>
      </c>
      <c r="AT225">
        <f ca="1">IFERROR(IF(0=LEN(ReferenceData!$AT$225),"",ReferenceData!$AT$225),"")</f>
        <v>13.804</v>
      </c>
      <c r="AU225">
        <f ca="1">IFERROR(IF(0=LEN(ReferenceData!$AU$225),"",ReferenceData!$AU$225),"")</f>
        <v>-61.276783999999999</v>
      </c>
      <c r="AV225">
        <f ca="1">IFERROR(IF(0=LEN(ReferenceData!$AV$225),"",ReferenceData!$AV$225),"")</f>
        <v>-82.993587000000005</v>
      </c>
      <c r="AW225">
        <f ca="1">IFERROR(IF(0=LEN(ReferenceData!$AW$225),"",ReferenceData!$AW$225),"")</f>
        <v>-25.614767000000001</v>
      </c>
      <c r="AX225">
        <f ca="1">IFERROR(IF(0=LEN(ReferenceData!$AX$225),"",ReferenceData!$AX$225),"")</f>
        <v>-7.2009749999999997</v>
      </c>
      <c r="AY225">
        <f ca="1">IFERROR(IF(0=LEN(ReferenceData!$AY$225),"",ReferenceData!$AY$225),"")</f>
        <v>-91.911996000000002</v>
      </c>
      <c r="AZ225">
        <f ca="1">IFERROR(IF(0=LEN(ReferenceData!$AZ$225),"",ReferenceData!$AZ$225),"")</f>
        <v>-61.677498</v>
      </c>
      <c r="BA225">
        <f ca="1">IFERROR(IF(0=LEN(ReferenceData!$BA$225),"",ReferenceData!$BA$225),"")</f>
        <v>-20.020489999999999</v>
      </c>
      <c r="BB225">
        <f ca="1">IFERROR(IF(0=LEN(ReferenceData!$BB$225),"",ReferenceData!$BB$225),"")</f>
        <v>-21.213180000000001</v>
      </c>
      <c r="BC225">
        <f ca="1">IFERROR(IF(0=LEN(ReferenceData!$BC$225),"",ReferenceData!$BC$225),"")</f>
        <v>-57.901215999999998</v>
      </c>
      <c r="BD225" t="str">
        <f ca="1">IFERROR(IF(0=LEN(ReferenceData!$BD$225),"",ReferenceData!$BD$225),"")</f>
        <v/>
      </c>
      <c r="BE225">
        <f ca="1">IFERROR(IF(0=LEN(ReferenceData!$BE$225),"",ReferenceData!$BE$225),"")</f>
        <v>-40.777371299999999</v>
      </c>
      <c r="BF225">
        <f ca="1">IFERROR(IF(0=LEN(ReferenceData!$BF$225),"",ReferenceData!$BF$225),"")</f>
        <v>-38.810999119999998</v>
      </c>
      <c r="BG225" t="str">
        <f ca="1">IFERROR(IF(0=LEN(ReferenceData!$BG$225),"",ReferenceData!$BG$225),"")</f>
        <v/>
      </c>
      <c r="BH225" t="str">
        <f ca="1">IFERROR(IF(0=LEN(ReferenceData!$BH$225),"",ReferenceData!$BH$225),"")</f>
        <v/>
      </c>
      <c r="BI225" t="str">
        <f ca="1">IFERROR(IF(0=LEN(ReferenceData!$BI$225),"",ReferenceData!$BI$225),"")</f>
        <v/>
      </c>
      <c r="BJ225" t="str">
        <f ca="1">IFERROR(IF(0=LEN(ReferenceData!$BJ$225),"",ReferenceData!$BJ$225),"")</f>
        <v/>
      </c>
      <c r="BK225" t="str">
        <f ca="1">IFERROR(IF(0=LEN(ReferenceData!$BK$225),"",ReferenceData!$BK$225),"")</f>
        <v/>
      </c>
      <c r="BL225" t="str">
        <f ca="1">IFERROR(IF(0=LEN(ReferenceData!$BL$225),"",ReferenceData!$BL$225),"")</f>
        <v/>
      </c>
      <c r="BM225" t="str">
        <f ca="1">IFERROR(IF(0=LEN(ReferenceData!$BM$225),"",ReferenceData!$BM$225),"")</f>
        <v/>
      </c>
    </row>
    <row r="226" spans="1:65">
      <c r="A226" t="str">
        <f>IFERROR(IF(0=LEN(ReferenceData!$A$226),"",ReferenceData!$A$226),"")</f>
        <v xml:space="preserve">    Omega Healthcare Investors Inc</v>
      </c>
      <c r="B226" t="str">
        <f>IFERROR(IF(0=LEN(ReferenceData!$B$226),"",ReferenceData!$B$226),"")</f>
        <v>OHI US Equity</v>
      </c>
      <c r="C226" t="str">
        <f>IFERROR(IF(0=LEN(ReferenceData!$C$226),"",ReferenceData!$C$226),"")</f>
        <v>RR008</v>
      </c>
      <c r="D226" t="str">
        <f>IFERROR(IF(0=LEN(ReferenceData!$D$226),"",ReferenceData!$D$226),"")</f>
        <v>CF_FREE_CASH_FLOW</v>
      </c>
      <c r="E226" t="str">
        <f>IFERROR(IF(0=LEN(ReferenceData!$E$226),"",ReferenceData!$E$226),"")</f>
        <v>动态</v>
      </c>
      <c r="F226" t="str">
        <f ca="1">IFERROR(IF(0=LEN(ReferenceData!$F$226),"",ReferenceData!$F$226),"")</f>
        <v/>
      </c>
      <c r="G226">
        <f ca="1">IFERROR(IF(0=LEN(ReferenceData!$G$226),"",ReferenceData!$G$226),"")</f>
        <v>94.796000000000006</v>
      </c>
      <c r="H226">
        <f ca="1">IFERROR(IF(0=LEN(ReferenceData!$H$226),"",ReferenceData!$H$226),"")</f>
        <v>-64.998999999999995</v>
      </c>
      <c r="I226">
        <f ca="1">IFERROR(IF(0=LEN(ReferenceData!$I$226),"",ReferenceData!$I$226),"")</f>
        <v>19.582999999999998</v>
      </c>
      <c r="J226">
        <f ca="1">IFERROR(IF(0=LEN(ReferenceData!$J$226),"",ReferenceData!$J$226),"")</f>
        <v>98.165000000000006</v>
      </c>
      <c r="K226">
        <f ca="1">IFERROR(IF(0=LEN(ReferenceData!$K$226),"",ReferenceData!$K$226),"")</f>
        <v>159.49100000000001</v>
      </c>
      <c r="L226">
        <f ca="1">IFERROR(IF(0=LEN(ReferenceData!$L$226),"",ReferenceData!$L$226),"")</f>
        <v>-177.233</v>
      </c>
      <c r="M226">
        <f ca="1">IFERROR(IF(0=LEN(ReferenceData!$M$226),"",ReferenceData!$M$226),"")</f>
        <v>-59.295999999999999</v>
      </c>
      <c r="N226">
        <f ca="1">IFERROR(IF(0=LEN(ReferenceData!$N$226),"",ReferenceData!$N$226),"")</f>
        <v>-298.46899999999999</v>
      </c>
      <c r="O226">
        <f ca="1">IFERROR(IF(0=LEN(ReferenceData!$O$226),"",ReferenceData!$O$226),"")</f>
        <v>132.83799999999999</v>
      </c>
      <c r="P226">
        <f ca="1">IFERROR(IF(0=LEN(ReferenceData!$P$226),"",ReferenceData!$P$226),"")</f>
        <v>11.61</v>
      </c>
      <c r="Q226">
        <f ca="1">IFERROR(IF(0=LEN(ReferenceData!$Q$226),"",ReferenceData!$Q$226),"")</f>
        <v>-93.433000000000007</v>
      </c>
      <c r="R226">
        <f ca="1">IFERROR(IF(0=LEN(ReferenceData!$R$226),"",ReferenceData!$R$226),"")</f>
        <v>91.39</v>
      </c>
      <c r="S226">
        <f ca="1">IFERROR(IF(0=LEN(ReferenceData!$S$226),"",ReferenceData!$S$226),"")</f>
        <v>-11.476000000000001</v>
      </c>
      <c r="T226">
        <f ca="1">IFERROR(IF(0=LEN(ReferenceData!$T$226),"",ReferenceData!$T$226),"")</f>
        <v>63.017000000000003</v>
      </c>
      <c r="U226">
        <f ca="1">IFERROR(IF(0=LEN(ReferenceData!$U$226),"",ReferenceData!$U$226),"")</f>
        <v>66.370999999999995</v>
      </c>
      <c r="V226">
        <f ca="1">IFERROR(IF(0=LEN(ReferenceData!$V$226),"",ReferenceData!$V$226),"")</f>
        <v>70.022000000000006</v>
      </c>
      <c r="W226">
        <f ca="1">IFERROR(IF(0=LEN(ReferenceData!$W$226),"",ReferenceData!$W$226),"")</f>
        <v>42.168999999999997</v>
      </c>
      <c r="X226">
        <f ca="1">IFERROR(IF(0=LEN(ReferenceData!$X$226),"",ReferenceData!$X$226),"")</f>
        <v>69.897000000000006</v>
      </c>
      <c r="Y226">
        <f ca="1">IFERROR(IF(0=LEN(ReferenceData!$Y$226),"",ReferenceData!$Y$226),"")</f>
        <v>54.749000000000002</v>
      </c>
      <c r="Z226">
        <f ca="1">IFERROR(IF(0=LEN(ReferenceData!$Z$226),"",ReferenceData!$Z$226),"")</f>
        <v>49.271999999999998</v>
      </c>
      <c r="AA226">
        <f ca="1">IFERROR(IF(0=LEN(ReferenceData!$AA$226),"",ReferenceData!$AA$226),"")</f>
        <v>-121.988</v>
      </c>
      <c r="AB226">
        <f ca="1">IFERROR(IF(0=LEN(ReferenceData!$AB$226),"",ReferenceData!$AB$226),"")</f>
        <v>-149.095</v>
      </c>
      <c r="AC226">
        <f ca="1">IFERROR(IF(0=LEN(ReferenceData!$AC$226),"",ReferenceData!$AC$226),"")</f>
        <v>13.587999999999999</v>
      </c>
      <c r="AD226">
        <f ca="1">IFERROR(IF(0=LEN(ReferenceData!$AD$226),"",ReferenceData!$AD$226),"")</f>
        <v>39.707000000000001</v>
      </c>
      <c r="AE226">
        <f ca="1">IFERROR(IF(0=LEN(ReferenceData!$AE$226),"",ReferenceData!$AE$226),"")</f>
        <v>-53.438000000000002</v>
      </c>
      <c r="AF226">
        <f ca="1">IFERROR(IF(0=LEN(ReferenceData!$AF$226),"",ReferenceData!$AF$226),"")</f>
        <v>47.972000000000001</v>
      </c>
      <c r="AG226">
        <f ca="1">IFERROR(IF(0=LEN(ReferenceData!$AG$226),"",ReferenceData!$AG$226),"")</f>
        <v>34.555</v>
      </c>
      <c r="AH226">
        <f ca="1">IFERROR(IF(0=LEN(ReferenceData!$AH$226),"",ReferenceData!$AH$226),"")</f>
        <v>34.381</v>
      </c>
      <c r="AI226">
        <f ca="1">IFERROR(IF(0=LEN(ReferenceData!$AI$226),"",ReferenceData!$AI$226),"")</f>
        <v>36.670999999999999</v>
      </c>
      <c r="AJ226">
        <f ca="1">IFERROR(IF(0=LEN(ReferenceData!$AJ$226),"",ReferenceData!$AJ$226),"")</f>
        <v>35.850999999999999</v>
      </c>
      <c r="AK226">
        <f ca="1">IFERROR(IF(0=LEN(ReferenceData!$AK$226),"",ReferenceData!$AK$226),"")</f>
        <v>-323.90300000000002</v>
      </c>
      <c r="AL226">
        <f ca="1">IFERROR(IF(0=LEN(ReferenceData!$AL$226),"",ReferenceData!$AL$226),"")</f>
        <v>29.658000000000001</v>
      </c>
      <c r="AM226">
        <f ca="1">IFERROR(IF(0=LEN(ReferenceData!$AM$226),"",ReferenceData!$AM$226),"")</f>
        <v>-135.36500000000001</v>
      </c>
      <c r="AN226">
        <f ca="1">IFERROR(IF(0=LEN(ReferenceData!$AN$226),"",ReferenceData!$AN$226),"")</f>
        <v>26.382999999999999</v>
      </c>
      <c r="AO226">
        <f ca="1">IFERROR(IF(0=LEN(ReferenceData!$AO$226),"",ReferenceData!$AO$226),"")</f>
        <v>31.135000000000002</v>
      </c>
      <c r="AP226">
        <f ca="1">IFERROR(IF(0=LEN(ReferenceData!$AP$226),"",ReferenceData!$AP$226),"")</f>
        <v>42.277000000000001</v>
      </c>
      <c r="AQ226">
        <f ca="1">IFERROR(IF(0=LEN(ReferenceData!$AQ$226),"",ReferenceData!$AQ$226),"")</f>
        <v>-26.498000000000001</v>
      </c>
      <c r="AR226">
        <f ca="1">IFERROR(IF(0=LEN(ReferenceData!$AR$226),"",ReferenceData!$AR$226),"")</f>
        <v>-38.691000000000003</v>
      </c>
      <c r="AS226">
        <f ca="1">IFERROR(IF(0=LEN(ReferenceData!$AS$226),"",ReferenceData!$AS$226),"")</f>
        <v>-25.536999999999999</v>
      </c>
      <c r="AT226">
        <f ca="1">IFERROR(IF(0=LEN(ReferenceData!$AT$226),"",ReferenceData!$AT$226),"")</f>
        <v>17.943000000000001</v>
      </c>
      <c r="AU226">
        <f ca="1">IFERROR(IF(0=LEN(ReferenceData!$AU$226),"",ReferenceData!$AU$226),"")</f>
        <v>14.481</v>
      </c>
      <c r="AV226">
        <f ca="1">IFERROR(IF(0=LEN(ReferenceData!$AV$226),"",ReferenceData!$AV$226),"")</f>
        <v>-16.702999999999999</v>
      </c>
      <c r="AW226">
        <f ca="1">IFERROR(IF(0=LEN(ReferenceData!$AW$226),"",ReferenceData!$AW$226),"")</f>
        <v>18.933</v>
      </c>
      <c r="AX226">
        <f ca="1">IFERROR(IF(0=LEN(ReferenceData!$AX$226),"",ReferenceData!$AX$226),"")</f>
        <v>19.777999999999999</v>
      </c>
      <c r="AY226">
        <f ca="1">IFERROR(IF(0=LEN(ReferenceData!$AY$226),"",ReferenceData!$AY$226),"")</f>
        <v>15.739000000000001</v>
      </c>
      <c r="AZ226">
        <f ca="1">IFERROR(IF(0=LEN(ReferenceData!$AZ$226),"",ReferenceData!$AZ$226),"")</f>
        <v>-176.69399999999999</v>
      </c>
      <c r="BA226">
        <f ca="1">IFERROR(IF(0=LEN(ReferenceData!$BA$226),"",ReferenceData!$BA$226),"")</f>
        <v>15.683</v>
      </c>
      <c r="BB226">
        <f ca="1">IFERROR(IF(0=LEN(ReferenceData!$BB$226),"",ReferenceData!$BB$226),"")</f>
        <v>22.370999999999999</v>
      </c>
      <c r="BC226">
        <f ca="1">IFERROR(IF(0=LEN(ReferenceData!$BC$226),"",ReferenceData!$BC$226),"")</f>
        <v>-110.273</v>
      </c>
      <c r="BD226">
        <f ca="1">IFERROR(IF(0=LEN(ReferenceData!$BD$226),"",ReferenceData!$BD$226),"")</f>
        <v>19.489999999999998</v>
      </c>
      <c r="BE226">
        <f ca="1">IFERROR(IF(0=LEN(ReferenceData!$BE$226),"",ReferenceData!$BE$226),"")</f>
        <v>-50.835999999999999</v>
      </c>
      <c r="BF226">
        <f ca="1">IFERROR(IF(0=LEN(ReferenceData!$BF$226),"",ReferenceData!$BF$226),"")</f>
        <v>-36.840000000000003</v>
      </c>
      <c r="BG226">
        <f ca="1">IFERROR(IF(0=LEN(ReferenceData!$BG$226),"",ReferenceData!$BG$226),"")</f>
        <v>-63.421999999999997</v>
      </c>
      <c r="BH226">
        <f ca="1">IFERROR(IF(0=LEN(ReferenceData!$BH$226),"",ReferenceData!$BH$226),"")</f>
        <v>9.8229999540000001</v>
      </c>
      <c r="BI226">
        <f ca="1">IFERROR(IF(0=LEN(ReferenceData!$BI$226),"",ReferenceData!$BI$226),"")</f>
        <v>-17.74600053</v>
      </c>
      <c r="BJ226">
        <f ca="1">IFERROR(IF(0=LEN(ReferenceData!$BJ$226),"",ReferenceData!$BJ$226),"")</f>
        <v>5.8020001350000001</v>
      </c>
      <c r="BK226">
        <f ca="1">IFERROR(IF(0=LEN(ReferenceData!$BK$226),"",ReferenceData!$BK$226),"")</f>
        <v>13.02</v>
      </c>
      <c r="BL226">
        <f ca="1">IFERROR(IF(0=LEN(ReferenceData!$BL$226),"",ReferenceData!$BL$226),"")</f>
        <v>41.929000019999997</v>
      </c>
      <c r="BM226">
        <f ca="1">IFERROR(IF(0=LEN(ReferenceData!$BM$226),"",ReferenceData!$BM$226),"")</f>
        <v>15.65800059</v>
      </c>
    </row>
    <row r="227" spans="1:65">
      <c r="A227" t="str">
        <f>IFERROR(IF(0=LEN(ReferenceData!$A$227),"",ReferenceData!$A$227),"")</f>
        <v xml:space="preserve">    Sabra Health Care REIT Inc</v>
      </c>
      <c r="B227" t="str">
        <f>IFERROR(IF(0=LEN(ReferenceData!$B$227),"",ReferenceData!$B$227),"")</f>
        <v>SBRA US Equity</v>
      </c>
      <c r="C227" t="str">
        <f>IFERROR(IF(0=LEN(ReferenceData!$C$227),"",ReferenceData!$C$227),"")</f>
        <v>RR008</v>
      </c>
      <c r="D227" t="str">
        <f>IFERROR(IF(0=LEN(ReferenceData!$D$227),"",ReferenceData!$D$227),"")</f>
        <v>CF_FREE_CASH_FLOW</v>
      </c>
      <c r="E227" t="str">
        <f>IFERROR(IF(0=LEN(ReferenceData!$E$227),"",ReferenceData!$E$227),"")</f>
        <v>动态</v>
      </c>
      <c r="F227" t="str">
        <f ca="1">IFERROR(IF(0=LEN(ReferenceData!$F$227),"",ReferenceData!$F$227),"")</f>
        <v/>
      </c>
      <c r="G227">
        <f ca="1">IFERROR(IF(0=LEN(ReferenceData!$G$227),"",ReferenceData!$G$227),"")</f>
        <v>79.994</v>
      </c>
      <c r="H227">
        <f ca="1">IFERROR(IF(0=LEN(ReferenceData!$H$227),"",ReferenceData!$H$227),"")</f>
        <v>-6.0389999999999997</v>
      </c>
      <c r="I227">
        <f ca="1">IFERROR(IF(0=LEN(ReferenceData!$I$227),"",ReferenceData!$I$227),"")</f>
        <v>21.658999999999999</v>
      </c>
      <c r="J227">
        <f ca="1">IFERROR(IF(0=LEN(ReferenceData!$J$227),"",ReferenceData!$J$227),"")</f>
        <v>30.917999999999999</v>
      </c>
      <c r="K227">
        <f ca="1">IFERROR(IF(0=LEN(ReferenceData!$K$227),"",ReferenceData!$K$227),"")</f>
        <v>42.820999999999998</v>
      </c>
      <c r="L227">
        <f ca="1">IFERROR(IF(0=LEN(ReferenceData!$L$227),"",ReferenceData!$L$227),"")</f>
        <v>39.295000000000002</v>
      </c>
      <c r="M227">
        <f ca="1">IFERROR(IF(0=LEN(ReferenceData!$M$227),"",ReferenceData!$M$227),"")</f>
        <v>69.367999999999995</v>
      </c>
      <c r="N227">
        <f ca="1">IFERROR(IF(0=LEN(ReferenceData!$N$227),"",ReferenceData!$N$227),"")</f>
        <v>24.251999999999999</v>
      </c>
      <c r="O227">
        <f ca="1">IFERROR(IF(0=LEN(ReferenceData!$O$227),"",ReferenceData!$O$227),"")</f>
        <v>39.893000000000001</v>
      </c>
      <c r="P227">
        <f ca="1">IFERROR(IF(0=LEN(ReferenceData!$P$227),"",ReferenceData!$P$227),"")</f>
        <v>27.245000000000001</v>
      </c>
      <c r="Q227">
        <f ca="1">IFERROR(IF(0=LEN(ReferenceData!$Q$227),"",ReferenceData!$Q$227),"")</f>
        <v>26.248000000000001</v>
      </c>
      <c r="R227">
        <f ca="1">IFERROR(IF(0=LEN(ReferenceData!$R$227),"",ReferenceData!$R$227),"")</f>
        <v>24.026</v>
      </c>
      <c r="S227">
        <f ca="1">IFERROR(IF(0=LEN(ReferenceData!$S$227),"",ReferenceData!$S$227),"")</f>
        <v>13.778</v>
      </c>
      <c r="T227">
        <f ca="1">IFERROR(IF(0=LEN(ReferenceData!$T$227),"",ReferenceData!$T$227),"")</f>
        <v>41.95</v>
      </c>
      <c r="U227">
        <f ca="1">IFERROR(IF(0=LEN(ReferenceData!$U$227),"",ReferenceData!$U$227),"")</f>
        <v>26.986999999999998</v>
      </c>
      <c r="V227">
        <f ca="1">IFERROR(IF(0=LEN(ReferenceData!$V$227),"",ReferenceData!$V$227),"")</f>
        <v>1.151</v>
      </c>
      <c r="W227">
        <f ca="1">IFERROR(IF(0=LEN(ReferenceData!$W$227),"",ReferenceData!$W$227),"")</f>
        <v>12.512</v>
      </c>
      <c r="X227">
        <f ca="1">IFERROR(IF(0=LEN(ReferenceData!$X$227),"",ReferenceData!$X$227),"")</f>
        <v>26.062999999999999</v>
      </c>
      <c r="Y227">
        <f ca="1">IFERROR(IF(0=LEN(ReferenceData!$Y$227),"",ReferenceData!$Y$227),"")</f>
        <v>1.157</v>
      </c>
      <c r="Z227">
        <f ca="1">IFERROR(IF(0=LEN(ReferenceData!$Z$227),"",ReferenceData!$Z$227),"")</f>
        <v>21.603000000000002</v>
      </c>
      <c r="AA227">
        <f ca="1">IFERROR(IF(0=LEN(ReferenceData!$AA$227),"",ReferenceData!$AA$227),"")</f>
        <v>8.343</v>
      </c>
      <c r="AB227">
        <f ca="1">IFERROR(IF(0=LEN(ReferenceData!$AB$227),"",ReferenceData!$AB$227),"")</f>
        <v>23.506</v>
      </c>
      <c r="AC227">
        <f ca="1">IFERROR(IF(0=LEN(ReferenceData!$AC$227),"",ReferenceData!$AC$227),"")</f>
        <v>7.149</v>
      </c>
      <c r="AD227">
        <f ca="1">IFERROR(IF(0=LEN(ReferenceData!$AD$227),"",ReferenceData!$AD$227),"")</f>
        <v>16.207999999999998</v>
      </c>
      <c r="AE227">
        <f ca="1">IFERROR(IF(0=LEN(ReferenceData!$AE$227),"",ReferenceData!$AE$227),"")</f>
        <v>10.196</v>
      </c>
      <c r="AF227">
        <f ca="1">IFERROR(IF(0=LEN(ReferenceData!$AF$227),"",ReferenceData!$AF$227),"")</f>
        <v>16.581</v>
      </c>
      <c r="AG227">
        <f ca="1">IFERROR(IF(0=LEN(ReferenceData!$AG$227),"",ReferenceData!$AG$227),"")</f>
        <v>5.47</v>
      </c>
      <c r="AH227">
        <f ca="1">IFERROR(IF(0=LEN(ReferenceData!$AH$227),"",ReferenceData!$AH$227),"")</f>
        <v>12.372</v>
      </c>
      <c r="AI227" t="str">
        <f ca="1">IFERROR(IF(0=LEN(ReferenceData!$AI$227),"",ReferenceData!$AI$227),"")</f>
        <v/>
      </c>
      <c r="AJ227" t="str">
        <f ca="1">IFERROR(IF(0=LEN(ReferenceData!$AJ$227),"",ReferenceData!$AJ$227),"")</f>
        <v/>
      </c>
      <c r="AK227" t="str">
        <f ca="1">IFERROR(IF(0=LEN(ReferenceData!$AK$227),"",ReferenceData!$AK$227),"")</f>
        <v/>
      </c>
      <c r="AL227" t="str">
        <f ca="1">IFERROR(IF(0=LEN(ReferenceData!$AL$227),"",ReferenceData!$AL$227),"")</f>
        <v/>
      </c>
      <c r="AM227" t="str">
        <f ca="1">IFERROR(IF(0=LEN(ReferenceData!$AM$227),"",ReferenceData!$AM$227),"")</f>
        <v/>
      </c>
      <c r="AN227" t="str">
        <f ca="1">IFERROR(IF(0=LEN(ReferenceData!$AN$227),"",ReferenceData!$AN$227),"")</f>
        <v/>
      </c>
      <c r="AO227" t="str">
        <f ca="1">IFERROR(IF(0=LEN(ReferenceData!$AO$227),"",ReferenceData!$AO$227),"")</f>
        <v/>
      </c>
      <c r="AP227" t="str">
        <f ca="1">IFERROR(IF(0=LEN(ReferenceData!$AP$227),"",ReferenceData!$AP$227),"")</f>
        <v/>
      </c>
      <c r="AQ227" t="str">
        <f ca="1">IFERROR(IF(0=LEN(ReferenceData!$AQ$227),"",ReferenceData!$AQ$227),"")</f>
        <v/>
      </c>
      <c r="AR227" t="str">
        <f ca="1">IFERROR(IF(0=LEN(ReferenceData!$AR$227),"",ReferenceData!$AR$227),"")</f>
        <v/>
      </c>
      <c r="AS227" t="str">
        <f ca="1">IFERROR(IF(0=LEN(ReferenceData!$AS$227),"",ReferenceData!$AS$227),"")</f>
        <v/>
      </c>
      <c r="AT227" t="str">
        <f ca="1">IFERROR(IF(0=LEN(ReferenceData!$AT$227),"",ReferenceData!$AT$227),"")</f>
        <v/>
      </c>
      <c r="AU227" t="str">
        <f ca="1">IFERROR(IF(0=LEN(ReferenceData!$AU$227),"",ReferenceData!$AU$227),"")</f>
        <v/>
      </c>
      <c r="AV227" t="str">
        <f ca="1">IFERROR(IF(0=LEN(ReferenceData!$AV$227),"",ReferenceData!$AV$227),"")</f>
        <v/>
      </c>
      <c r="AW227" t="str">
        <f ca="1">IFERROR(IF(0=LEN(ReferenceData!$AW$227),"",ReferenceData!$AW$227),"")</f>
        <v/>
      </c>
      <c r="AX227" t="str">
        <f ca="1">IFERROR(IF(0=LEN(ReferenceData!$AX$227),"",ReferenceData!$AX$227),"")</f>
        <v/>
      </c>
      <c r="AY227" t="str">
        <f ca="1">IFERROR(IF(0=LEN(ReferenceData!$AY$227),"",ReferenceData!$AY$227),"")</f>
        <v/>
      </c>
      <c r="AZ227" t="str">
        <f ca="1">IFERROR(IF(0=LEN(ReferenceData!$AZ$227),"",ReferenceData!$AZ$227),"")</f>
        <v/>
      </c>
      <c r="BA227" t="str">
        <f ca="1">IFERROR(IF(0=LEN(ReferenceData!$BA$227),"",ReferenceData!$BA$227),"")</f>
        <v/>
      </c>
      <c r="BB227" t="str">
        <f ca="1">IFERROR(IF(0=LEN(ReferenceData!$BB$227),"",ReferenceData!$BB$227),"")</f>
        <v/>
      </c>
      <c r="BC227" t="str">
        <f ca="1">IFERROR(IF(0=LEN(ReferenceData!$BC$227),"",ReferenceData!$BC$227),"")</f>
        <v/>
      </c>
      <c r="BD227" t="str">
        <f ca="1">IFERROR(IF(0=LEN(ReferenceData!$BD$227),"",ReferenceData!$BD$227),"")</f>
        <v/>
      </c>
      <c r="BE227" t="str">
        <f ca="1">IFERROR(IF(0=LEN(ReferenceData!$BE$227),"",ReferenceData!$BE$227),"")</f>
        <v/>
      </c>
      <c r="BF227" t="str">
        <f ca="1">IFERROR(IF(0=LEN(ReferenceData!$BF$227),"",ReferenceData!$BF$227),"")</f>
        <v/>
      </c>
      <c r="BG227" t="str">
        <f ca="1">IFERROR(IF(0=LEN(ReferenceData!$BG$227),"",ReferenceData!$BG$227),"")</f>
        <v/>
      </c>
      <c r="BH227" t="str">
        <f ca="1">IFERROR(IF(0=LEN(ReferenceData!$BH$227),"",ReferenceData!$BH$227),"")</f>
        <v/>
      </c>
      <c r="BI227" t="str">
        <f ca="1">IFERROR(IF(0=LEN(ReferenceData!$BI$227),"",ReferenceData!$BI$227),"")</f>
        <v/>
      </c>
      <c r="BJ227" t="str">
        <f ca="1">IFERROR(IF(0=LEN(ReferenceData!$BJ$227),"",ReferenceData!$BJ$227),"")</f>
        <v/>
      </c>
      <c r="BK227" t="str">
        <f ca="1">IFERROR(IF(0=LEN(ReferenceData!$BK$227),"",ReferenceData!$BK$227),"")</f>
        <v/>
      </c>
      <c r="BL227" t="str">
        <f ca="1">IFERROR(IF(0=LEN(ReferenceData!$BL$227),"",ReferenceData!$BL$227),"")</f>
        <v/>
      </c>
      <c r="BM227" t="str">
        <f ca="1">IFERROR(IF(0=LEN(ReferenceData!$BM$227),"",ReferenceData!$BM$227),"")</f>
        <v/>
      </c>
    </row>
    <row r="228" spans="1:65">
      <c r="A228" t="str">
        <f>IFERROR(IF(0=LEN(ReferenceData!$A$228),"",ReferenceData!$A$228),"")</f>
        <v xml:space="preserve">    Senior Housing Properties Trus</v>
      </c>
      <c r="B228" t="str">
        <f>IFERROR(IF(0=LEN(ReferenceData!$B$228),"",ReferenceData!$B$228),"")</f>
        <v>SNH US Equity</v>
      </c>
      <c r="C228" t="str">
        <f>IFERROR(IF(0=LEN(ReferenceData!$C$228),"",ReferenceData!$C$228),"")</f>
        <v>RR008</v>
      </c>
      <c r="D228" t="str">
        <f>IFERROR(IF(0=LEN(ReferenceData!$D$228),"",ReferenceData!$D$228),"")</f>
        <v>CF_FREE_CASH_FLOW</v>
      </c>
      <c r="E228" t="str">
        <f>IFERROR(IF(0=LEN(ReferenceData!$E$228),"",ReferenceData!$E$228),"")</f>
        <v>动态</v>
      </c>
      <c r="F228" t="str">
        <f ca="1">IFERROR(IF(0=LEN(ReferenceData!$F$228),"",ReferenceData!$F$228),"")</f>
        <v/>
      </c>
      <c r="G228">
        <f ca="1">IFERROR(IF(0=LEN(ReferenceData!$G$228),"",ReferenceData!$G$228),"")</f>
        <v>-69.906000000000006</v>
      </c>
      <c r="H228">
        <f ca="1">IFERROR(IF(0=LEN(ReferenceData!$H$228),"",ReferenceData!$H$228),"")</f>
        <v>71.116</v>
      </c>
      <c r="I228">
        <f ca="1">IFERROR(IF(0=LEN(ReferenceData!$I$228),"",ReferenceData!$I$228),"")</f>
        <v>59.055999999999997</v>
      </c>
      <c r="J228">
        <f ca="1">IFERROR(IF(0=LEN(ReferenceData!$J$228),"",ReferenceData!$J$228),"")</f>
        <v>70.281000000000006</v>
      </c>
      <c r="K228">
        <f ca="1">IFERROR(IF(0=LEN(ReferenceData!$K$228),"",ReferenceData!$K$228),"")</f>
        <v>19.297999999999998</v>
      </c>
      <c r="L228">
        <f ca="1">IFERROR(IF(0=LEN(ReferenceData!$L$228),"",ReferenceData!$L$228),"")</f>
        <v>101.054</v>
      </c>
      <c r="M228">
        <f ca="1">IFERROR(IF(0=LEN(ReferenceData!$M$228),"",ReferenceData!$M$228),"")</f>
        <v>-96.266999999999996</v>
      </c>
      <c r="N228">
        <f ca="1">IFERROR(IF(0=LEN(ReferenceData!$N$228),"",ReferenceData!$N$228),"")</f>
        <v>75.986999999999995</v>
      </c>
      <c r="O228">
        <f ca="1">IFERROR(IF(0=LEN(ReferenceData!$O$228),"",ReferenceData!$O$228),"")</f>
        <v>68.260999999999996</v>
      </c>
      <c r="P228">
        <f ca="1">IFERROR(IF(0=LEN(ReferenceData!$P$228),"",ReferenceData!$P$228),"")</f>
        <v>54.616999999999997</v>
      </c>
      <c r="Q228">
        <f ca="1">IFERROR(IF(0=LEN(ReferenceData!$Q$228),"",ReferenceData!$Q$228),"")</f>
        <v>-506.68099999999998</v>
      </c>
      <c r="R228">
        <f ca="1">IFERROR(IF(0=LEN(ReferenceData!$R$228),"",ReferenceData!$R$228),"")</f>
        <v>-415.83800000000002</v>
      </c>
      <c r="S228">
        <f ca="1">IFERROR(IF(0=LEN(ReferenceData!$S$228),"",ReferenceData!$S$228),"")</f>
        <v>-21.109000000000002</v>
      </c>
      <c r="T228">
        <f ca="1">IFERROR(IF(0=LEN(ReferenceData!$T$228),"",ReferenceData!$T$228),"")</f>
        <v>83.158000000000001</v>
      </c>
      <c r="U228">
        <f ca="1">IFERROR(IF(0=LEN(ReferenceData!$U$228),"",ReferenceData!$U$228),"")</f>
        <v>-1024.6379999999999</v>
      </c>
      <c r="V228">
        <f ca="1">IFERROR(IF(0=LEN(ReferenceData!$V$228),"",ReferenceData!$V$228),"")</f>
        <v>22.966000000000001</v>
      </c>
      <c r="W228">
        <f ca="1">IFERROR(IF(0=LEN(ReferenceData!$W$228),"",ReferenceData!$W$228),"")</f>
        <v>-1.4550000000000001</v>
      </c>
      <c r="X228">
        <f ca="1">IFERROR(IF(0=LEN(ReferenceData!$X$228),"",ReferenceData!$X$228),"")</f>
        <v>10.327999999999999</v>
      </c>
      <c r="Y228">
        <f ca="1">IFERROR(IF(0=LEN(ReferenceData!$Y$228),"",ReferenceData!$Y$228),"")</f>
        <v>55.231999999999999</v>
      </c>
      <c r="Z228">
        <f ca="1">IFERROR(IF(0=LEN(ReferenceData!$Z$228),"",ReferenceData!$Z$228),"")</f>
        <v>-2.9750000000000001</v>
      </c>
      <c r="AA228">
        <f ca="1">IFERROR(IF(0=LEN(ReferenceData!$AA$228),"",ReferenceData!$AA$228),"")</f>
        <v>-37.195999999999998</v>
      </c>
      <c r="AB228">
        <f ca="1">IFERROR(IF(0=LEN(ReferenceData!$AB$228),"",ReferenceData!$AB$228),"")</f>
        <v>-49.048999999999999</v>
      </c>
      <c r="AC228">
        <f ca="1">IFERROR(IF(0=LEN(ReferenceData!$AC$228),"",ReferenceData!$AC$228),"")</f>
        <v>-36.877000000000002</v>
      </c>
      <c r="AD228">
        <f ca="1">IFERROR(IF(0=LEN(ReferenceData!$AD$228),"",ReferenceData!$AD$228),"")</f>
        <v>39.524000000000001</v>
      </c>
      <c r="AE228">
        <f ca="1">IFERROR(IF(0=LEN(ReferenceData!$AE$228),"",ReferenceData!$AE$228),"")</f>
        <v>-214.286</v>
      </c>
      <c r="AF228">
        <f ca="1">IFERROR(IF(0=LEN(ReferenceData!$AF$228),"",ReferenceData!$AF$228),"")</f>
        <v>-176.35</v>
      </c>
      <c r="AG228">
        <f ca="1">IFERROR(IF(0=LEN(ReferenceData!$AG$228),"",ReferenceData!$AG$228),"")</f>
        <v>-108.086</v>
      </c>
      <c r="AH228">
        <f ca="1">IFERROR(IF(0=LEN(ReferenceData!$AH$228),"",ReferenceData!$AH$228),"")</f>
        <v>-83.463999999999999</v>
      </c>
      <c r="AI228" t="str">
        <f ca="1">IFERROR(IF(0=LEN(ReferenceData!$AI$228),"",ReferenceData!$AI$228),"")</f>
        <v/>
      </c>
      <c r="AJ228">
        <f ca="1">IFERROR(IF(0=LEN(ReferenceData!$AJ$228),"",ReferenceData!$AJ$228),"")</f>
        <v>17.861999999999998</v>
      </c>
      <c r="AK228">
        <f ca="1">IFERROR(IF(0=LEN(ReferenceData!$AK$228),"",ReferenceData!$AK$228),"")</f>
        <v>29.765999999999998</v>
      </c>
      <c r="AL228">
        <f ca="1">IFERROR(IF(0=LEN(ReferenceData!$AL$228),"",ReferenceData!$AL$228),"")</f>
        <v>45.646999999999998</v>
      </c>
      <c r="AM228">
        <f ca="1">IFERROR(IF(0=LEN(ReferenceData!$AM$228),"",ReferenceData!$AM$228),"")</f>
        <v>-74.884</v>
      </c>
      <c r="AN228">
        <f ca="1">IFERROR(IF(0=LEN(ReferenceData!$AN$228),"",ReferenceData!$AN$228),"")</f>
        <v>-275.99</v>
      </c>
      <c r="AO228">
        <f ca="1">IFERROR(IF(0=LEN(ReferenceData!$AO$228),"",ReferenceData!$AO$228),"")</f>
        <v>-7.726</v>
      </c>
      <c r="AP228">
        <f ca="1">IFERROR(IF(0=LEN(ReferenceData!$AP$228),"",ReferenceData!$AP$228),"")</f>
        <v>20.388999999999999</v>
      </c>
      <c r="AQ228">
        <f ca="1">IFERROR(IF(0=LEN(ReferenceData!$AQ$228),"",ReferenceData!$AQ$228),"")</f>
        <v>-123.352</v>
      </c>
      <c r="AR228">
        <f ca="1">IFERROR(IF(0=LEN(ReferenceData!$AR$228),"",ReferenceData!$AR$228),"")</f>
        <v>-252.09800000000001</v>
      </c>
      <c r="AS228">
        <f ca="1">IFERROR(IF(0=LEN(ReferenceData!$AS$228),"",ReferenceData!$AS$228),"")</f>
        <v>-51.807000000000002</v>
      </c>
      <c r="AT228">
        <f ca="1">IFERROR(IF(0=LEN(ReferenceData!$AT$228),"",ReferenceData!$AT$228),"")</f>
        <v>-251.191</v>
      </c>
      <c r="AU228">
        <f ca="1">IFERROR(IF(0=LEN(ReferenceData!$AU$228),"",ReferenceData!$AU$228),"")</f>
        <v>-39.14</v>
      </c>
      <c r="AV228">
        <f ca="1">IFERROR(IF(0=LEN(ReferenceData!$AV$228),"",ReferenceData!$AV$228),"")</f>
        <v>23.579000000000001</v>
      </c>
      <c r="AW228">
        <f ca="1">IFERROR(IF(0=LEN(ReferenceData!$AW$228),"",ReferenceData!$AW$228),"")</f>
        <v>20.474</v>
      </c>
      <c r="AX228">
        <f ca="1">IFERROR(IF(0=LEN(ReferenceData!$AX$228),"",ReferenceData!$AX$228),"")</f>
        <v>20.747</v>
      </c>
      <c r="AY228">
        <f ca="1">IFERROR(IF(0=LEN(ReferenceData!$AY$228),"",ReferenceData!$AY$228),"")</f>
        <v>-8.2729999999999997</v>
      </c>
      <c r="AZ228">
        <f ca="1">IFERROR(IF(0=LEN(ReferenceData!$AZ$228),"",ReferenceData!$AZ$228),"")</f>
        <v>-38.908999999999999</v>
      </c>
      <c r="BA228">
        <f ca="1">IFERROR(IF(0=LEN(ReferenceData!$BA$228),"",ReferenceData!$BA$228),"")</f>
        <v>22.725000000000001</v>
      </c>
      <c r="BB228">
        <f ca="1">IFERROR(IF(0=LEN(ReferenceData!$BB$228),"",ReferenceData!$BB$228),"")</f>
        <v>20.579000000000001</v>
      </c>
      <c r="BC228">
        <f ca="1">IFERROR(IF(0=LEN(ReferenceData!$BC$228),"",ReferenceData!$BC$228),"")</f>
        <v>-39.981000000000002</v>
      </c>
      <c r="BD228">
        <f ca="1">IFERROR(IF(0=LEN(ReferenceData!$BD$228),"",ReferenceData!$BD$228),"")</f>
        <v>21.582000260000001</v>
      </c>
      <c r="BE228">
        <f ca="1">IFERROR(IF(0=LEN(ReferenceData!$BE$228),"",ReferenceData!$BE$228),"")</f>
        <v>3.5890007019999999</v>
      </c>
      <c r="BF228">
        <f ca="1">IFERROR(IF(0=LEN(ReferenceData!$BF$228),"",ReferenceData!$BF$228),"")</f>
        <v>21.551999330000001</v>
      </c>
      <c r="BG228">
        <f ca="1">IFERROR(IF(0=LEN(ReferenceData!$BG$228),"",ReferenceData!$BG$228),"")</f>
        <v>-79.94</v>
      </c>
      <c r="BH228">
        <f ca="1">IFERROR(IF(0=LEN(ReferenceData!$BH$228),"",ReferenceData!$BH$228),"")</f>
        <v>20.95600057</v>
      </c>
      <c r="BI228">
        <f ca="1">IFERROR(IF(0=LEN(ReferenceData!$BI$228),"",ReferenceData!$BI$228),"")</f>
        <v>15.98599911</v>
      </c>
      <c r="BJ228">
        <f ca="1">IFERROR(IF(0=LEN(ReferenceData!$BJ$228),"",ReferenceData!$BJ$228),"")</f>
        <v>0.43799972500000001</v>
      </c>
      <c r="BK228">
        <f ca="1">IFERROR(IF(0=LEN(ReferenceData!$BK$228),"",ReferenceData!$BK$228),"")</f>
        <v>-66.537996289999995</v>
      </c>
      <c r="BL228" t="str">
        <f ca="1">IFERROR(IF(0=LEN(ReferenceData!$BL$228),"",ReferenceData!$BL$228),"")</f>
        <v/>
      </c>
      <c r="BM228" t="str">
        <f ca="1">IFERROR(IF(0=LEN(ReferenceData!$BM$228),"",ReferenceData!$BM$228),"")</f>
        <v/>
      </c>
    </row>
    <row r="229" spans="1:65">
      <c r="A229" t="str">
        <f>IFERROR(IF(0=LEN(ReferenceData!$A$229),"",ReferenceData!$A$229),"")</f>
        <v xml:space="preserve">    Ventas Inc</v>
      </c>
      <c r="B229" t="str">
        <f>IFERROR(IF(0=LEN(ReferenceData!$B$229),"",ReferenceData!$B$229),"")</f>
        <v>VTR US Equity</v>
      </c>
      <c r="C229" t="str">
        <f>IFERROR(IF(0=LEN(ReferenceData!$C$229),"",ReferenceData!$C$229),"")</f>
        <v>RR008</v>
      </c>
      <c r="D229" t="str">
        <f>IFERROR(IF(0=LEN(ReferenceData!$D$229),"",ReferenceData!$D$229),"")</f>
        <v>CF_FREE_CASH_FLOW</v>
      </c>
      <c r="E229" t="str">
        <f>IFERROR(IF(0=LEN(ReferenceData!$E$229),"",ReferenceData!$E$229),"")</f>
        <v>动态</v>
      </c>
      <c r="F229" t="str">
        <f ca="1">IFERROR(IF(0=LEN(ReferenceData!$F$229),"",ReferenceData!$F$229),"")</f>
        <v/>
      </c>
      <c r="G229">
        <f ca="1">IFERROR(IF(0=LEN(ReferenceData!$G$229),"",ReferenceData!$G$229),"")</f>
        <v>99.998999999999995</v>
      </c>
      <c r="H229">
        <f ca="1">IFERROR(IF(0=LEN(ReferenceData!$H$229),"",ReferenceData!$H$229),"")</f>
        <v>231.76900000000001</v>
      </c>
      <c r="I229">
        <f ca="1">IFERROR(IF(0=LEN(ReferenceData!$I$229),"",ReferenceData!$I$229),"")</f>
        <v>271.93599999999998</v>
      </c>
      <c r="J229">
        <f ca="1">IFERROR(IF(0=LEN(ReferenceData!$J$229),"",ReferenceData!$J$229),"")</f>
        <v>26.600999999999999</v>
      </c>
      <c r="K229">
        <f ca="1">IFERROR(IF(0=LEN(ReferenceData!$K$229),"",ReferenceData!$K$229),"")</f>
        <v>267.26600000000002</v>
      </c>
      <c r="L229">
        <f ca="1">IFERROR(IF(0=LEN(ReferenceData!$L$229),"",ReferenceData!$L$229),"")</f>
        <v>-1094.819</v>
      </c>
      <c r="M229">
        <f ca="1">IFERROR(IF(0=LEN(ReferenceData!$M$229),"",ReferenceData!$M$229),"")</f>
        <v>308.89600000000002</v>
      </c>
      <c r="N229">
        <f ca="1">IFERROR(IF(0=LEN(ReferenceData!$N$229),"",ReferenceData!$N$229),"")</f>
        <v>205.041</v>
      </c>
      <c r="O229">
        <f ca="1">IFERROR(IF(0=LEN(ReferenceData!$O$229),"",ReferenceData!$O$229),"")</f>
        <v>215.03100000000001</v>
      </c>
      <c r="P229">
        <f ca="1">IFERROR(IF(0=LEN(ReferenceData!$P$229),"",ReferenceData!$P$229),"")</f>
        <v>-1058.9680000000001</v>
      </c>
      <c r="Q229">
        <f ca="1">IFERROR(IF(0=LEN(ReferenceData!$Q$229),"",ReferenceData!$Q$229),"")</f>
        <v>140.76300000000001</v>
      </c>
      <c r="R229">
        <f ca="1">IFERROR(IF(0=LEN(ReferenceData!$R$229),"",ReferenceData!$R$229),"")</f>
        <v>-783.00800000000004</v>
      </c>
      <c r="S229">
        <f ca="1">IFERROR(IF(0=LEN(ReferenceData!$S$229),"",ReferenceData!$S$229),"")</f>
        <v>-16.209</v>
      </c>
      <c r="T229">
        <f ca="1">IFERROR(IF(0=LEN(ReferenceData!$T$229),"",ReferenceData!$T$229),"")</f>
        <v>-636.197</v>
      </c>
      <c r="U229">
        <f ca="1">IFERROR(IF(0=LEN(ReferenceData!$U$229),"",ReferenceData!$U$229),"")</f>
        <v>179.15199999999999</v>
      </c>
      <c r="V229">
        <f ca="1">IFERROR(IF(0=LEN(ReferenceData!$V$229),"",ReferenceData!$V$229),"")</f>
        <v>65.075000000000003</v>
      </c>
      <c r="W229">
        <f ca="1">IFERROR(IF(0=LEN(ReferenceData!$W$229),"",ReferenceData!$W$229),"")</f>
        <v>229.07599999999999</v>
      </c>
      <c r="X229">
        <f ca="1">IFERROR(IF(0=LEN(ReferenceData!$X$229),"",ReferenceData!$X$229),"")</f>
        <v>-788.62800000000004</v>
      </c>
      <c r="Y229">
        <f ca="1">IFERROR(IF(0=LEN(ReferenceData!$Y$229),"",ReferenceData!$Y$229),"")</f>
        <v>16.952000000000002</v>
      </c>
      <c r="Z229">
        <f ca="1">IFERROR(IF(0=LEN(ReferenceData!$Z$229),"",ReferenceData!$Z$229),"")</f>
        <v>138.18700000000001</v>
      </c>
      <c r="AA229">
        <f ca="1">IFERROR(IF(0=LEN(ReferenceData!$AA$229),"",ReferenceData!$AA$229),"")</f>
        <v>-93.748999999999995</v>
      </c>
      <c r="AB229">
        <f ca="1">IFERROR(IF(0=LEN(ReferenceData!$AB$229),"",ReferenceData!$AB$229),"")</f>
        <v>-55.012999999999998</v>
      </c>
      <c r="AC229">
        <f ca="1">IFERROR(IF(0=LEN(ReferenceData!$AC$229),"",ReferenceData!$AC$229),"")</f>
        <v>-726.13699999999994</v>
      </c>
      <c r="AD229">
        <f ca="1">IFERROR(IF(0=LEN(ReferenceData!$AD$229),"",ReferenceData!$AD$229),"")</f>
        <v>203.16800000000001</v>
      </c>
      <c r="AE229">
        <f ca="1">IFERROR(IF(0=LEN(ReferenceData!$AE$229),"",ReferenceData!$AE$229),"")</f>
        <v>96.204999999999998</v>
      </c>
      <c r="AF229">
        <f ca="1">IFERROR(IF(0=LEN(ReferenceData!$AF$229),"",ReferenceData!$AF$229),"")</f>
        <v>144.72300000000001</v>
      </c>
      <c r="AG229">
        <f ca="1">IFERROR(IF(0=LEN(ReferenceData!$AG$229),"",ReferenceData!$AG$229),"")</f>
        <v>-220.20599999999999</v>
      </c>
      <c r="AH229">
        <f ca="1">IFERROR(IF(0=LEN(ReferenceData!$AH$229),"",ReferenceData!$AH$229),"")</f>
        <v>122.806</v>
      </c>
      <c r="AI229">
        <f ca="1">IFERROR(IF(0=LEN(ReferenceData!$AI$229),"",ReferenceData!$AI$229),"")</f>
        <v>59.606999999999999</v>
      </c>
      <c r="AJ229">
        <f ca="1">IFERROR(IF(0=LEN(ReferenceData!$AJ$229),"",ReferenceData!$AJ$229),"")</f>
        <v>-84.004999999999995</v>
      </c>
      <c r="AK229">
        <f ca="1">IFERROR(IF(0=LEN(ReferenceData!$AK$229),"",ReferenceData!$AK$229),"")</f>
        <v>78.317999999999998</v>
      </c>
      <c r="AL229">
        <f ca="1">IFERROR(IF(0=LEN(ReferenceData!$AL$229),"",ReferenceData!$AL$229),"")</f>
        <v>99.406000000000006</v>
      </c>
      <c r="AM229">
        <f ca="1">IFERROR(IF(0=LEN(ReferenceData!$AM$229),"",ReferenceData!$AM$229),"")</f>
        <v>70.302999999999997</v>
      </c>
      <c r="AN229">
        <f ca="1">IFERROR(IF(0=LEN(ReferenceData!$AN$229),"",ReferenceData!$AN$229),"")</f>
        <v>120.529</v>
      </c>
      <c r="AO229">
        <f ca="1">IFERROR(IF(0=LEN(ReferenceData!$AO$229),"",ReferenceData!$AO$229),"")</f>
        <v>70.456999999999994</v>
      </c>
      <c r="AP229">
        <f ca="1">IFERROR(IF(0=LEN(ReferenceData!$AP$229),"",ReferenceData!$AP$229),"")</f>
        <v>101.29900000000001</v>
      </c>
      <c r="AQ229">
        <f ca="1">IFERROR(IF(0=LEN(ReferenceData!$AQ$229),"",ReferenceData!$AQ$229),"")</f>
        <v>248.18</v>
      </c>
      <c r="AR229">
        <f ca="1">IFERROR(IF(0=LEN(ReferenceData!$AR$229),"",ReferenceData!$AR$229),"")</f>
        <v>-101.355</v>
      </c>
      <c r="AS229">
        <f ca="1">IFERROR(IF(0=LEN(ReferenceData!$AS$229),"",ReferenceData!$AS$229),"")</f>
        <v>65.198999999999998</v>
      </c>
      <c r="AT229">
        <f ca="1">IFERROR(IF(0=LEN(ReferenceData!$AT$229),"",ReferenceData!$AT$229),"")</f>
        <v>97.722999999999999</v>
      </c>
      <c r="AU229">
        <f ca="1">IFERROR(IF(0=LEN(ReferenceData!$AU$229),"",ReferenceData!$AU$229),"")</f>
        <v>10.741</v>
      </c>
      <c r="AV229">
        <f ca="1">IFERROR(IF(0=LEN(ReferenceData!$AV$229),"",ReferenceData!$AV$229),"")</f>
        <v>90.620999999999995</v>
      </c>
      <c r="AW229">
        <f ca="1">IFERROR(IF(0=LEN(ReferenceData!$AW$229),"",ReferenceData!$AW$229),"")</f>
        <v>-1114.0309999999999</v>
      </c>
      <c r="AX229">
        <f ca="1">IFERROR(IF(0=LEN(ReferenceData!$AX$229),"",ReferenceData!$AX$229),"")</f>
        <v>57.753</v>
      </c>
      <c r="AY229">
        <f ca="1">IFERROR(IF(0=LEN(ReferenceData!$AY$229),"",ReferenceData!$AY$229),"")</f>
        <v>-366.08</v>
      </c>
      <c r="AZ229">
        <f ca="1">IFERROR(IF(0=LEN(ReferenceData!$AZ$229),"",ReferenceData!$AZ$229),"")</f>
        <v>72.957999999999998</v>
      </c>
      <c r="BA229">
        <f ca="1">IFERROR(IF(0=LEN(ReferenceData!$BA$229),"",ReferenceData!$BA$229),"")</f>
        <v>20.173999999999999</v>
      </c>
      <c r="BB229">
        <f ca="1">IFERROR(IF(0=LEN(ReferenceData!$BB$229),"",ReferenceData!$BB$229),"")</f>
        <v>20.802</v>
      </c>
      <c r="BC229">
        <f ca="1">IFERROR(IF(0=LEN(ReferenceData!$BC$229),"",ReferenceData!$BC$229),"")</f>
        <v>42.610999999999997</v>
      </c>
      <c r="BD229">
        <f ca="1">IFERROR(IF(0=LEN(ReferenceData!$BD$229),"",ReferenceData!$BD$229),"")</f>
        <v>-26.800999999999998</v>
      </c>
      <c r="BE229">
        <f ca="1">IFERROR(IF(0=LEN(ReferenceData!$BE$229),"",ReferenceData!$BE$229),"")</f>
        <v>-408.524</v>
      </c>
      <c r="BF229">
        <f ca="1">IFERROR(IF(0=LEN(ReferenceData!$BF$229),"",ReferenceData!$BF$229),"")</f>
        <v>26.925999999999998</v>
      </c>
      <c r="BG229">
        <f ca="1">IFERROR(IF(0=LEN(ReferenceData!$BG$229),"",ReferenceData!$BG$229),"")</f>
        <v>-17.861999999999998</v>
      </c>
      <c r="BH229">
        <f ca="1">IFERROR(IF(0=LEN(ReferenceData!$BH$229),"",ReferenceData!$BH$229),"")</f>
        <v>19.754999999999999</v>
      </c>
      <c r="BI229">
        <f ca="1">IFERROR(IF(0=LEN(ReferenceData!$BI$229),"",ReferenceData!$BI$229),"")</f>
        <v>-38.850999999999999</v>
      </c>
      <c r="BJ229">
        <f ca="1">IFERROR(IF(0=LEN(ReferenceData!$BJ$229),"",ReferenceData!$BJ$229),"")</f>
        <v>-137.01499999999999</v>
      </c>
      <c r="BK229">
        <f ca="1">IFERROR(IF(0=LEN(ReferenceData!$BK$229),"",ReferenceData!$BK$229),"")</f>
        <v>29.51799965</v>
      </c>
      <c r="BL229" t="str">
        <f ca="1">IFERROR(IF(0=LEN(ReferenceData!$BL$229),"",ReferenceData!$BL$229),"")</f>
        <v/>
      </c>
      <c r="BM229">
        <f ca="1">IFERROR(IF(0=LEN(ReferenceData!$BM$229),"",ReferenceData!$BM$229),"")</f>
        <v>38.173000000000002</v>
      </c>
    </row>
    <row r="230" spans="1:65">
      <c r="A230" t="str">
        <f>IFERROR(IF(0=LEN(ReferenceData!$A$230),"",ReferenceData!$A$230),"")</f>
        <v xml:space="preserve">    Welltower Inc</v>
      </c>
      <c r="B230" t="str">
        <f>IFERROR(IF(0=LEN(ReferenceData!$B$230),"",ReferenceData!$B$230),"")</f>
        <v>HCN US Equity</v>
      </c>
      <c r="C230" t="str">
        <f>IFERROR(IF(0=LEN(ReferenceData!$C$230),"",ReferenceData!$C$230),"")</f>
        <v>RR008</v>
      </c>
      <c r="D230" t="str">
        <f>IFERROR(IF(0=LEN(ReferenceData!$D$230),"",ReferenceData!$D$230),"")</f>
        <v>CF_FREE_CASH_FLOW</v>
      </c>
      <c r="E230" t="str">
        <f>IFERROR(IF(0=LEN(ReferenceData!$E$230),"",ReferenceData!$E$230),"")</f>
        <v>动态</v>
      </c>
      <c r="F230" t="str">
        <f ca="1">IFERROR(IF(0=LEN(ReferenceData!$F$230),"",ReferenceData!$F$230),"")</f>
        <v/>
      </c>
      <c r="G230">
        <f ca="1">IFERROR(IF(0=LEN(ReferenceData!$G$230),"",ReferenceData!$G$230),"")</f>
        <v>-83.638000000000005</v>
      </c>
      <c r="H230">
        <f ca="1">IFERROR(IF(0=LEN(ReferenceData!$H$230),"",ReferenceData!$H$230),"")</f>
        <v>-135.23699999999999</v>
      </c>
      <c r="I230">
        <f ca="1">IFERROR(IF(0=LEN(ReferenceData!$I$230),"",ReferenceData!$I$230),"")</f>
        <v>193.07599999999999</v>
      </c>
      <c r="J230">
        <f ca="1">IFERROR(IF(0=LEN(ReferenceData!$J$230),"",ReferenceData!$J$230),"")</f>
        <v>171.721</v>
      </c>
      <c r="K230">
        <f ca="1">IFERROR(IF(0=LEN(ReferenceData!$K$230),"",ReferenceData!$K$230),"")</f>
        <v>-496.82</v>
      </c>
      <c r="L230">
        <f ca="1">IFERROR(IF(0=LEN(ReferenceData!$L$230),"",ReferenceData!$L$230),"")</f>
        <v>-865.33600000000001</v>
      </c>
      <c r="M230">
        <f ca="1">IFERROR(IF(0=LEN(ReferenceData!$M$230),"",ReferenceData!$M$230),"")</f>
        <v>123.443</v>
      </c>
      <c r="N230">
        <f ca="1">IFERROR(IF(0=LEN(ReferenceData!$N$230),"",ReferenceData!$N$230),"")</f>
        <v>107.363</v>
      </c>
      <c r="O230">
        <f ca="1">IFERROR(IF(0=LEN(ReferenceData!$O$230),"",ReferenceData!$O$230),"")</f>
        <v>-682.76400000000001</v>
      </c>
      <c r="P230">
        <f ca="1">IFERROR(IF(0=LEN(ReferenceData!$P$230),"",ReferenceData!$P$230),"")</f>
        <v>-24.783999999999999</v>
      </c>
      <c r="Q230">
        <f ca="1">IFERROR(IF(0=LEN(ReferenceData!$Q$230),"",ReferenceData!$Q$230),"")</f>
        <v>-351.99599999999998</v>
      </c>
      <c r="R230">
        <f ca="1">IFERROR(IF(0=LEN(ReferenceData!$R$230),"",ReferenceData!$R$230),"")</f>
        <v>-1364.192</v>
      </c>
      <c r="S230">
        <f ca="1">IFERROR(IF(0=LEN(ReferenceData!$S$230),"",ReferenceData!$S$230),"")</f>
        <v>-1038.2919999999999</v>
      </c>
      <c r="T230">
        <f ca="1">IFERROR(IF(0=LEN(ReferenceData!$T$230),"",ReferenceData!$T$230),"")</f>
        <v>-321.87799999999999</v>
      </c>
      <c r="U230">
        <f ca="1">IFERROR(IF(0=LEN(ReferenceData!$U$230),"",ReferenceData!$U$230),"")</f>
        <v>-165.91800000000001</v>
      </c>
      <c r="V230">
        <f ca="1">IFERROR(IF(0=LEN(ReferenceData!$V$230),"",ReferenceData!$V$230),"")</f>
        <v>123.497</v>
      </c>
      <c r="W230">
        <f ca="1">IFERROR(IF(0=LEN(ReferenceData!$W$230),"",ReferenceData!$W$230),"")</f>
        <v>-264.041</v>
      </c>
      <c r="X230">
        <f ca="1">IFERROR(IF(0=LEN(ReferenceData!$X$230),"",ReferenceData!$X$230),"")</f>
        <v>-511.22800000000001</v>
      </c>
      <c r="Y230">
        <f ca="1">IFERROR(IF(0=LEN(ReferenceData!$Y$230),"",ReferenceData!$Y$230),"")</f>
        <v>-566.81100000000004</v>
      </c>
      <c r="Z230">
        <f ca="1">IFERROR(IF(0=LEN(ReferenceData!$Z$230),"",ReferenceData!$Z$230),"")</f>
        <v>-1650.77</v>
      </c>
      <c r="AA230">
        <f ca="1">IFERROR(IF(0=LEN(ReferenceData!$AA$230),"",ReferenceData!$AA$230),"")</f>
        <v>-970.65200000000004</v>
      </c>
      <c r="AB230">
        <f ca="1">IFERROR(IF(0=LEN(ReferenceData!$AB$230),"",ReferenceData!$AB$230),"")</f>
        <v>-749.09799999999996</v>
      </c>
      <c r="AC230">
        <f ca="1">IFERROR(IF(0=LEN(ReferenceData!$AC$230),"",ReferenceData!$AC$230),"")</f>
        <v>-411.072</v>
      </c>
      <c r="AD230">
        <f ca="1">IFERROR(IF(0=LEN(ReferenceData!$AD$230),"",ReferenceData!$AD$230),"")</f>
        <v>-396.15600000000001</v>
      </c>
      <c r="AE230">
        <f ca="1">IFERROR(IF(0=LEN(ReferenceData!$AE$230),"",ReferenceData!$AE$230),"")</f>
        <v>-704.08699999999999</v>
      </c>
      <c r="AF230">
        <f ca="1">IFERROR(IF(0=LEN(ReferenceData!$AF$230),"",ReferenceData!$AF$230),"")</f>
        <v>-483.81200000000001</v>
      </c>
      <c r="AG230">
        <f ca="1">IFERROR(IF(0=LEN(ReferenceData!$AG$230),"",ReferenceData!$AG$230),"")</f>
        <v>-2559.4340000000002</v>
      </c>
      <c r="AH230">
        <f ca="1">IFERROR(IF(0=LEN(ReferenceData!$AH$230),"",ReferenceData!$AH$230),"")</f>
        <v>-569.56500000000005</v>
      </c>
      <c r="AI230">
        <f ca="1">IFERROR(IF(0=LEN(ReferenceData!$AI$230),"",ReferenceData!$AI$230),"")</f>
        <v>-1197.075</v>
      </c>
      <c r="AJ230">
        <f ca="1">IFERROR(IF(0=LEN(ReferenceData!$AJ$230),"",ReferenceData!$AJ$230),"")</f>
        <v>-313.99299999999999</v>
      </c>
      <c r="AK230">
        <f ca="1">IFERROR(IF(0=LEN(ReferenceData!$AK$230),"",ReferenceData!$AK$230),"")</f>
        <v>-129.04400000000001</v>
      </c>
      <c r="AL230">
        <f ca="1">IFERROR(IF(0=LEN(ReferenceData!$AL$230),"",ReferenceData!$AL$230),"")</f>
        <v>-69.322999999999993</v>
      </c>
      <c r="AM230">
        <f ca="1">IFERROR(IF(0=LEN(ReferenceData!$AM$230),"",ReferenceData!$AM$230),"")</f>
        <v>-90.771000000000001</v>
      </c>
      <c r="AN230">
        <f ca="1">IFERROR(IF(0=LEN(ReferenceData!$AN$230),"",ReferenceData!$AN$230),"")</f>
        <v>-12.903</v>
      </c>
      <c r="AO230">
        <f ca="1">IFERROR(IF(0=LEN(ReferenceData!$AO$230),"",ReferenceData!$AO$230),"")</f>
        <v>-48.752000000000002</v>
      </c>
      <c r="AP230">
        <f ca="1">IFERROR(IF(0=LEN(ReferenceData!$AP$230),"",ReferenceData!$AP$230),"")</f>
        <v>-65.274000000000001</v>
      </c>
      <c r="AQ230">
        <f ca="1">IFERROR(IF(0=LEN(ReferenceData!$AQ$230),"",ReferenceData!$AQ$230),"")</f>
        <v>-107.492</v>
      </c>
      <c r="AR230">
        <f ca="1">IFERROR(IF(0=LEN(ReferenceData!$AR$230),"",ReferenceData!$AR$230),"")</f>
        <v>-236.124</v>
      </c>
      <c r="AS230">
        <f ca="1">IFERROR(IF(0=LEN(ReferenceData!$AS$230),"",ReferenceData!$AS$230),"")</f>
        <v>-275.33499999999998</v>
      </c>
      <c r="AT230">
        <f ca="1">IFERROR(IF(0=LEN(ReferenceData!$AT$230),"",ReferenceData!$AT$230),"")</f>
        <v>-92.742000000000004</v>
      </c>
      <c r="AU230">
        <f ca="1">IFERROR(IF(0=LEN(ReferenceData!$AU$230),"",ReferenceData!$AU$230),"")</f>
        <v>-114.95699999999999</v>
      </c>
      <c r="AV230">
        <f ca="1">IFERROR(IF(0=LEN(ReferenceData!$AV$230),"",ReferenceData!$AV$230),"")</f>
        <v>-93.602999999999994</v>
      </c>
      <c r="AW230">
        <f ca="1">IFERROR(IF(0=LEN(ReferenceData!$AW$230),"",ReferenceData!$AW$230),"")</f>
        <v>-50.871000000000002</v>
      </c>
      <c r="AX230">
        <f ca="1">IFERROR(IF(0=LEN(ReferenceData!$AX$230),"",ReferenceData!$AX$230),"")</f>
        <v>-100.31699999999999</v>
      </c>
      <c r="AY230">
        <f ca="1">IFERROR(IF(0=LEN(ReferenceData!$AY$230),"",ReferenceData!$AY$230),"")</f>
        <v>-81.125</v>
      </c>
      <c r="AZ230">
        <f ca="1">IFERROR(IF(0=LEN(ReferenceData!$AZ$230),"",ReferenceData!$AZ$230),"")</f>
        <v>-54.991</v>
      </c>
      <c r="BA230">
        <f ca="1">IFERROR(IF(0=LEN(ReferenceData!$BA$230),"",ReferenceData!$BA$230),"")</f>
        <v>-51.18</v>
      </c>
      <c r="BB230">
        <f ca="1">IFERROR(IF(0=LEN(ReferenceData!$BB$230),"",ReferenceData!$BB$230),"")</f>
        <v>-25.440999999999999</v>
      </c>
      <c r="BC230">
        <f ca="1">IFERROR(IF(0=LEN(ReferenceData!$BC$230),"",ReferenceData!$BC$230),"")</f>
        <v>-314.42399999999998</v>
      </c>
      <c r="BD230">
        <f ca="1">IFERROR(IF(0=LEN(ReferenceData!$BD$230),"",ReferenceData!$BD$230),"")</f>
        <v>38.625</v>
      </c>
      <c r="BE230">
        <f ca="1">IFERROR(IF(0=LEN(ReferenceData!$BE$230),"",ReferenceData!$BE$230),"")</f>
        <v>-146.815</v>
      </c>
      <c r="BF230">
        <f ca="1">IFERROR(IF(0=LEN(ReferenceData!$BF$230),"",ReferenceData!$BF$230),"")</f>
        <v>-2.9220000000000002</v>
      </c>
      <c r="BG230">
        <f ca="1">IFERROR(IF(0=LEN(ReferenceData!$BG$230),"",ReferenceData!$BG$230),"")</f>
        <v>-61.896999999999998</v>
      </c>
      <c r="BH230">
        <f ca="1">IFERROR(IF(0=LEN(ReferenceData!$BH$230),"",ReferenceData!$BH$230),"")</f>
        <v>-244.06200000000001</v>
      </c>
      <c r="BI230">
        <f ca="1">IFERROR(IF(0=LEN(ReferenceData!$BI$230),"",ReferenceData!$BI$230),"")</f>
        <v>-30.123000000000001</v>
      </c>
      <c r="BJ230">
        <f ca="1">IFERROR(IF(0=LEN(ReferenceData!$BJ$230),"",ReferenceData!$BJ$230),"")</f>
        <v>-62.44</v>
      </c>
      <c r="BK230">
        <f ca="1">IFERROR(IF(0=LEN(ReferenceData!$BK$230),"",ReferenceData!$BK$230),"")</f>
        <v>11.559998</v>
      </c>
      <c r="BL230">
        <f ca="1">IFERROR(IF(0=LEN(ReferenceData!$BL$230),"",ReferenceData!$BL$230),"")</f>
        <v>-194.47399999999999</v>
      </c>
      <c r="BM230">
        <f ca="1">IFERROR(IF(0=LEN(ReferenceData!$BM$230),"",ReferenceData!$BM$230),"")</f>
        <v>-78.484999999999999</v>
      </c>
    </row>
    <row r="231" spans="1:65">
      <c r="A231" t="str">
        <f>IFERROR(IF(0=LEN(ReferenceData!$A$231),"",ReferenceData!$A$231),"")</f>
        <v>FFO支付比率(%)</v>
      </c>
      <c r="B231" t="str">
        <f>IFERROR(IF(0=LEN(ReferenceData!$B$231),"",ReferenceData!$B$231),"")</f>
        <v/>
      </c>
      <c r="C231" t="str">
        <f>IFERROR(IF(0=LEN(ReferenceData!$C$231),"",ReferenceData!$C$231),"")</f>
        <v/>
      </c>
      <c r="D231" t="str">
        <f>IFERROR(IF(0=LEN(ReferenceData!$D$231),"",ReferenceData!$D$231),"")</f>
        <v/>
      </c>
      <c r="E231" t="str">
        <f>IFERROR(IF(0=LEN(ReferenceData!$E$231),"",ReferenceData!$E$231),"")</f>
        <v>Median</v>
      </c>
      <c r="F231" t="str">
        <f ca="1">IFERROR(IF(0=LEN(ReferenceData!$F$231),"",ReferenceData!$F$231),"")</f>
        <v/>
      </c>
      <c r="G231">
        <f ca="1">IFERROR(IF(0=LEN(ReferenceData!$G$231),"",ReferenceData!$G$231),"")</f>
        <v>81.168449850000002</v>
      </c>
      <c r="H231">
        <f ca="1">IFERROR(IF(0=LEN(ReferenceData!$H$231),"",ReferenceData!$H$231),"")</f>
        <v>80.229395679999996</v>
      </c>
      <c r="I231">
        <f ca="1">IFERROR(IF(0=LEN(ReferenceData!$I$231),"",ReferenceData!$I$231),"")</f>
        <v>82.41528074</v>
      </c>
      <c r="J231">
        <f ca="1">IFERROR(IF(0=LEN(ReferenceData!$J$231),"",ReferenceData!$J$231),"")</f>
        <v>77.631727409999996</v>
      </c>
      <c r="K231">
        <f ca="1">IFERROR(IF(0=LEN(ReferenceData!$K$231),"",ReferenceData!$K$231),"")</f>
        <v>76.79781509</v>
      </c>
      <c r="L231">
        <f ca="1">IFERROR(IF(0=LEN(ReferenceData!$L$231),"",ReferenceData!$L$231),"")</f>
        <v>77.145367300000004</v>
      </c>
      <c r="M231">
        <f ca="1">IFERROR(IF(0=LEN(ReferenceData!$M$231),"",ReferenceData!$M$231),"")</f>
        <v>74.139022870000005</v>
      </c>
      <c r="N231">
        <f ca="1">IFERROR(IF(0=LEN(ReferenceData!$N$231),"",ReferenceData!$N$231),"")</f>
        <v>78.149280279999999</v>
      </c>
      <c r="O231">
        <f ca="1">IFERROR(IF(0=LEN(ReferenceData!$O$231),"",ReferenceData!$O$231),"")</f>
        <v>72.258510954999991</v>
      </c>
      <c r="P231">
        <f ca="1">IFERROR(IF(0=LEN(ReferenceData!$P$231),"",ReferenceData!$P$231),"")</f>
        <v>74.951517510000002</v>
      </c>
      <c r="Q231">
        <f ca="1">IFERROR(IF(0=LEN(ReferenceData!$Q$231),"",ReferenceData!$Q$231),"")</f>
        <v>84.954549189999994</v>
      </c>
      <c r="R231">
        <f ca="1">IFERROR(IF(0=LEN(ReferenceData!$R$231),"",ReferenceData!$R$231),"")</f>
        <v>79.177632529999997</v>
      </c>
      <c r="S231">
        <f ca="1">IFERROR(IF(0=LEN(ReferenceData!$S$231),"",ReferenceData!$S$231),"")</f>
        <v>79.547680670000005</v>
      </c>
      <c r="T231">
        <f ca="1">IFERROR(IF(0=LEN(ReferenceData!$T$231),"",ReferenceData!$T$231),"")</f>
        <v>75.789244074999999</v>
      </c>
      <c r="U231">
        <f ca="1">IFERROR(IF(0=LEN(ReferenceData!$U$231),"",ReferenceData!$U$231),"")</f>
        <v>78.963977569999997</v>
      </c>
      <c r="V231">
        <f ca="1">IFERROR(IF(0=LEN(ReferenceData!$V$231),"",ReferenceData!$V$231),"")</f>
        <v>79.916413610000006</v>
      </c>
      <c r="W231">
        <f ca="1">IFERROR(IF(0=LEN(ReferenceData!$W$231),"",ReferenceData!$W$231),"")</f>
        <v>76.654423719999997</v>
      </c>
      <c r="X231">
        <f ca="1">IFERROR(IF(0=LEN(ReferenceData!$X$231),"",ReferenceData!$X$231),"")</f>
        <v>81.514189590000001</v>
      </c>
      <c r="Y231">
        <f ca="1">IFERROR(IF(0=LEN(ReferenceData!$Y$231),"",ReferenceData!$Y$231),"")</f>
        <v>75.263713080000002</v>
      </c>
      <c r="Z231">
        <f ca="1">IFERROR(IF(0=LEN(ReferenceData!$Z$231),"",ReferenceData!$Z$231),"")</f>
        <v>77.155945674999998</v>
      </c>
      <c r="AA231">
        <f ca="1">IFERROR(IF(0=LEN(ReferenceData!$AA$231),"",ReferenceData!$AA$231),"")</f>
        <v>84.863529139999997</v>
      </c>
      <c r="AB231">
        <f ca="1">IFERROR(IF(0=LEN(ReferenceData!$AB$231),"",ReferenceData!$AB$231),"")</f>
        <v>87.73452322</v>
      </c>
      <c r="AC231">
        <f ca="1">IFERROR(IF(0=LEN(ReferenceData!$AC$231),"",ReferenceData!$AC$231),"")</f>
        <v>88.349439845000006</v>
      </c>
      <c r="AD231">
        <f ca="1">IFERROR(IF(0=LEN(ReferenceData!$AD$231),"",ReferenceData!$AD$231),"")</f>
        <v>87.800196595000003</v>
      </c>
      <c r="AE231">
        <f ca="1">IFERROR(IF(0=LEN(ReferenceData!$AE$231),"",ReferenceData!$AE$231),"")</f>
        <v>86.398044810000002</v>
      </c>
      <c r="AF231">
        <f ca="1">IFERROR(IF(0=LEN(ReferenceData!$AF$231),"",ReferenceData!$AF$231),"")</f>
        <v>95.064143760000007</v>
      </c>
      <c r="AG231">
        <f ca="1">IFERROR(IF(0=LEN(ReferenceData!$AG$231),"",ReferenceData!$AG$231),"")</f>
        <v>94.359438365000003</v>
      </c>
      <c r="AH231">
        <f ca="1">IFERROR(IF(0=LEN(ReferenceData!$AH$231),"",ReferenceData!$AH$231),"")</f>
        <v>93.055314659999993</v>
      </c>
      <c r="AI231">
        <f ca="1">IFERROR(IF(0=LEN(ReferenceData!$AI$231),"",ReferenceData!$AI$231),"")</f>
        <v>77.65679634</v>
      </c>
      <c r="AJ231">
        <f ca="1">IFERROR(IF(0=LEN(ReferenceData!$AJ$231),"",ReferenceData!$AJ$231),"")</f>
        <v>85.80673401</v>
      </c>
      <c r="AK231">
        <f ca="1">IFERROR(IF(0=LEN(ReferenceData!$AK$231),"",ReferenceData!$AK$231),"")</f>
        <v>85.996100190000007</v>
      </c>
      <c r="AL231">
        <f ca="1">IFERROR(IF(0=LEN(ReferenceData!$AL$231),"",ReferenceData!$AL$231),"")</f>
        <v>85.308838069999993</v>
      </c>
      <c r="AM231">
        <f ca="1">IFERROR(IF(0=LEN(ReferenceData!$AM$231),"",ReferenceData!$AM$231),"")</f>
        <v>105.30420094999999</v>
      </c>
      <c r="AN231">
        <f ca="1">IFERROR(IF(0=LEN(ReferenceData!$AN$231),"",ReferenceData!$AN$231),"")</f>
        <v>88.564239465</v>
      </c>
      <c r="AO231">
        <f ca="1">IFERROR(IF(0=LEN(ReferenceData!$AO$231),"",ReferenceData!$AO$231),"")</f>
        <v>84.055578629999999</v>
      </c>
      <c r="AP231">
        <f ca="1">IFERROR(IF(0=LEN(ReferenceData!$AP$231),"",ReferenceData!$AP$231),"")</f>
        <v>84.089084790000001</v>
      </c>
      <c r="AQ231">
        <f ca="1">IFERROR(IF(0=LEN(ReferenceData!$AQ$231),"",ReferenceData!$AQ$231),"")</f>
        <v>88.033171369999991</v>
      </c>
      <c r="AR231">
        <f ca="1">IFERROR(IF(0=LEN(ReferenceData!$AR$231),"",ReferenceData!$AR$231),"")</f>
        <v>82.139251790000003</v>
      </c>
      <c r="AS231">
        <f ca="1">IFERROR(IF(0=LEN(ReferenceData!$AS$231),"",ReferenceData!$AS$231),"")</f>
        <v>87.481548750000002</v>
      </c>
      <c r="AT231">
        <f ca="1">IFERROR(IF(0=LEN(ReferenceData!$AT$231),"",ReferenceData!$AT$231),"")</f>
        <v>83.24508462</v>
      </c>
      <c r="AU231">
        <f ca="1">IFERROR(IF(0=LEN(ReferenceData!$AU$231),"",ReferenceData!$AU$231),"")</f>
        <v>82.911301264999992</v>
      </c>
      <c r="AV231">
        <f ca="1">IFERROR(IF(0=LEN(ReferenceData!$AV$231),"",ReferenceData!$AV$231),"")</f>
        <v>83.812654764999991</v>
      </c>
      <c r="AW231">
        <f ca="1">IFERROR(IF(0=LEN(ReferenceData!$AW$231),"",ReferenceData!$AW$231),"")</f>
        <v>82.327775389999999</v>
      </c>
      <c r="AX231">
        <f ca="1">IFERROR(IF(0=LEN(ReferenceData!$AX$231),"",ReferenceData!$AX$231),"")</f>
        <v>76.630259069999994</v>
      </c>
      <c r="AY231">
        <f ca="1">IFERROR(IF(0=LEN(ReferenceData!$AY$231),"",ReferenceData!$AY$231),"")</f>
        <v>90.607031474999999</v>
      </c>
      <c r="AZ231">
        <f ca="1">IFERROR(IF(0=LEN(ReferenceData!$AZ$231),"",ReferenceData!$AZ$231),"")</f>
        <v>84.662863864999991</v>
      </c>
      <c r="BA231">
        <f ca="1">IFERROR(IF(0=LEN(ReferenceData!$BA$231),"",ReferenceData!$BA$231),"")</f>
        <v>84.233732809999992</v>
      </c>
      <c r="BB231">
        <f ca="1">IFERROR(IF(0=LEN(ReferenceData!$BB$231),"",ReferenceData!$BB$231),"")</f>
        <v>86.598517049999998</v>
      </c>
      <c r="BC231">
        <f ca="1">IFERROR(IF(0=LEN(ReferenceData!$BC$231),"",ReferenceData!$BC$231),"")</f>
        <v>100.864348905</v>
      </c>
      <c r="BD231">
        <f ca="1">IFERROR(IF(0=LEN(ReferenceData!$BD$231),"",ReferenceData!$BD$231),"")</f>
        <v>81.197202619999999</v>
      </c>
      <c r="BE231">
        <f ca="1">IFERROR(IF(0=LEN(ReferenceData!$BE$231),"",ReferenceData!$BE$231),"")</f>
        <v>102.697837725</v>
      </c>
      <c r="BF231">
        <f ca="1">IFERROR(IF(0=LEN(ReferenceData!$BF$231),"",ReferenceData!$BF$231),"")</f>
        <v>83.971279199999998</v>
      </c>
      <c r="BG231">
        <f ca="1">IFERROR(IF(0=LEN(ReferenceData!$BG$231),"",ReferenceData!$BG$231),"")</f>
        <v>84.378843790000005</v>
      </c>
      <c r="BH231">
        <f ca="1">IFERROR(IF(0=LEN(ReferenceData!$BH$231),"",ReferenceData!$BH$231),"")</f>
        <v>83.961254710000006</v>
      </c>
      <c r="BI231">
        <f ca="1">IFERROR(IF(0=LEN(ReferenceData!$BI$231),"",ReferenceData!$BI$231),"")</f>
        <v>84.435484790000004</v>
      </c>
      <c r="BJ231">
        <f ca="1">IFERROR(IF(0=LEN(ReferenceData!$BJ$231),"",ReferenceData!$BJ$231),"")</f>
        <v>79.785094290000004</v>
      </c>
      <c r="BK231">
        <f ca="1">IFERROR(IF(0=LEN(ReferenceData!$BK$231),"",ReferenceData!$BK$231),"")</f>
        <v>66.486888829999998</v>
      </c>
      <c r="BL231">
        <f ca="1">IFERROR(IF(0=LEN(ReferenceData!$BL$231),"",ReferenceData!$BL$231),"")</f>
        <v>52.681790509999999</v>
      </c>
      <c r="BM231">
        <f ca="1">IFERROR(IF(0=LEN(ReferenceData!$BM$231),"",ReferenceData!$BM$231),"")</f>
        <v>65.742301819999994</v>
      </c>
    </row>
    <row r="232" spans="1:65">
      <c r="A232" t="str">
        <f>IFERROR(IF(0=LEN(ReferenceData!$A$232),"",ReferenceData!$A$232),"")</f>
        <v xml:space="preserve">    Alexandria Real Estate Equitie</v>
      </c>
      <c r="B232" t="str">
        <f>IFERROR(IF(0=LEN(ReferenceData!$B$232),"",ReferenceData!$B$232),"")</f>
        <v>ARE US Equity</v>
      </c>
      <c r="C232" t="str">
        <f>IFERROR(IF(0=LEN(ReferenceData!$C$232),"",ReferenceData!$C$232),"")</f>
        <v>RR106</v>
      </c>
      <c r="D232" t="str">
        <f>IFERROR(IF(0=LEN(ReferenceData!$D$232),"",ReferenceData!$D$232),"")</f>
        <v>FFO_PAYOUT_RATIO</v>
      </c>
      <c r="E232" t="str">
        <f>IFERROR(IF(0=LEN(ReferenceData!$E$232),"",ReferenceData!$E$232),"")</f>
        <v>动态</v>
      </c>
      <c r="F232" t="str">
        <f ca="1">IFERROR(IF(0=LEN(ReferenceData!$F$232),"",ReferenceData!$F$232),"")</f>
        <v/>
      </c>
      <c r="G232">
        <f ca="1">IFERROR(IF(0=LEN(ReferenceData!$G$232),"",ReferenceData!$G$232),"")</f>
        <v>60.957242319999999</v>
      </c>
      <c r="H232">
        <f ca="1">IFERROR(IF(0=LEN(ReferenceData!$H$232),"",ReferenceData!$H$232),"")</f>
        <v>58.462915469999999</v>
      </c>
      <c r="I232">
        <f ca="1">IFERROR(IF(0=LEN(ReferenceData!$I$232),"",ReferenceData!$I$232),"")</f>
        <v>58.899145949999998</v>
      </c>
      <c r="J232">
        <f ca="1">IFERROR(IF(0=LEN(ReferenceData!$J$232),"",ReferenceData!$J$232),"")</f>
        <v>62.050125020000003</v>
      </c>
      <c r="K232">
        <f ca="1">IFERROR(IF(0=LEN(ReferenceData!$K$232),"",ReferenceData!$K$232),"")</f>
        <v>98.706268489999999</v>
      </c>
      <c r="L232">
        <f ca="1">IFERROR(IF(0=LEN(ReferenceData!$L$232),"",ReferenceData!$L$232),"")</f>
        <v>71.902654870000006</v>
      </c>
      <c r="M232">
        <f ca="1">IFERROR(IF(0=LEN(ReferenceData!$M$232),"",ReferenceData!$M$232),"")</f>
        <v>202.63522029999999</v>
      </c>
      <c r="N232">
        <f ca="1">IFERROR(IF(0=LEN(ReferenceData!$N$232),"",ReferenceData!$N$232),"")</f>
        <v>86.362941449999994</v>
      </c>
      <c r="O232">
        <f ca="1">IFERROR(IF(0=LEN(ReferenceData!$O$232),"",ReferenceData!$O$232),"")</f>
        <v>53.466288390000003</v>
      </c>
      <c r="P232">
        <f ca="1">IFERROR(IF(0=LEN(ReferenceData!$P$232),"",ReferenceData!$P$232),"")</f>
        <v>55.60039458</v>
      </c>
      <c r="Q232">
        <f ca="1">IFERROR(IF(0=LEN(ReferenceData!$Q$232),"",ReferenceData!$Q$232),"")</f>
        <v>57.054787920000003</v>
      </c>
      <c r="R232">
        <f ca="1">IFERROR(IF(0=LEN(ReferenceData!$R$232),"",ReferenceData!$R$232),"")</f>
        <v>58.353041650000002</v>
      </c>
      <c r="S232">
        <f ca="1">IFERROR(IF(0=LEN(ReferenceData!$S$232),"",ReferenceData!$S$232),"")</f>
        <v>85.84361122</v>
      </c>
      <c r="T232">
        <f ca="1">IFERROR(IF(0=LEN(ReferenceData!$T$232),"",ReferenceData!$T$232),"")</f>
        <v>60.5430171</v>
      </c>
      <c r="U232">
        <f ca="1">IFERROR(IF(0=LEN(ReferenceData!$U$232),"",ReferenceData!$U$232),"")</f>
        <v>62.842402939999999</v>
      </c>
      <c r="V232">
        <f ca="1">IFERROR(IF(0=LEN(ReferenceData!$V$232),"",ReferenceData!$V$232),"")</f>
        <v>58.642109060000003</v>
      </c>
      <c r="W232">
        <f ca="1">IFERROR(IF(0=LEN(ReferenceData!$W$232),"",ReferenceData!$W$232),"")</f>
        <v>60.185993170000003</v>
      </c>
      <c r="X232">
        <f ca="1">IFERROR(IF(0=LEN(ReferenceData!$X$232),"",ReferenceData!$X$232),"")</f>
        <v>66.184743319999995</v>
      </c>
      <c r="Y232">
        <f ca="1">IFERROR(IF(0=LEN(ReferenceData!$Y$232),"",ReferenceData!$Y$232),"")</f>
        <v>61.293454230000002</v>
      </c>
      <c r="Z232">
        <f ca="1">IFERROR(IF(0=LEN(ReferenceData!$Z$232),"",ReferenceData!$Z$232),"")</f>
        <v>50.950858060000002</v>
      </c>
      <c r="AA232">
        <f ca="1">IFERROR(IF(0=LEN(ReferenceData!$AA$232),"",ReferenceData!$AA$232),"")</f>
        <v>49.829377340000001</v>
      </c>
      <c r="AB232">
        <f ca="1">IFERROR(IF(0=LEN(ReferenceData!$AB$232),"",ReferenceData!$AB$232),"")</f>
        <v>49.257727039999999</v>
      </c>
      <c r="AC232">
        <f ca="1">IFERROR(IF(0=LEN(ReferenceData!$AC$232),"",ReferenceData!$AC$232),"")</f>
        <v>44.959298339999997</v>
      </c>
      <c r="AD232">
        <f ca="1">IFERROR(IF(0=LEN(ReferenceData!$AD$232),"",ReferenceData!$AD$232),"")</f>
        <v>50.912836660000004</v>
      </c>
      <c r="AE232">
        <f ca="1">IFERROR(IF(0=LEN(ReferenceData!$AE$232),"",ReferenceData!$AE$232),"")</f>
        <v>44.391883300000003</v>
      </c>
      <c r="AF232">
        <f ca="1">IFERROR(IF(0=LEN(ReferenceData!$AF$232),"",ReferenceData!$AF$232),"")</f>
        <v>44.611824560000002</v>
      </c>
      <c r="AG232">
        <f ca="1">IFERROR(IF(0=LEN(ReferenceData!$AG$232),"",ReferenceData!$AG$232),"")</f>
        <v>39.934201170000001</v>
      </c>
      <c r="AH232">
        <f ca="1">IFERROR(IF(0=LEN(ReferenceData!$AH$232),"",ReferenceData!$AH$232),"")</f>
        <v>41.198298039999997</v>
      </c>
      <c r="AI232">
        <f ca="1">IFERROR(IF(0=LEN(ReferenceData!$AI$232),"",ReferenceData!$AI$232),"")</f>
        <v>42.223115059999998</v>
      </c>
      <c r="AJ232">
        <f ca="1">IFERROR(IF(0=LEN(ReferenceData!$AJ$232),"",ReferenceData!$AJ$232),"")</f>
        <v>32.365182040000001</v>
      </c>
      <c r="AK232">
        <f ca="1">IFERROR(IF(0=LEN(ReferenceData!$AK$232),"",ReferenceData!$AK$232),"")</f>
        <v>159.59908229999999</v>
      </c>
      <c r="AL232">
        <f ca="1">IFERROR(IF(0=LEN(ReferenceData!$AL$232),"",ReferenceData!$AL$232),"")</f>
        <v>28.413519359999999</v>
      </c>
      <c r="AM232">
        <f ca="1">IFERROR(IF(0=LEN(ReferenceData!$AM$232),"",ReferenceData!$AM$232),"")</f>
        <v>28.205083599999998</v>
      </c>
      <c r="AN232">
        <f ca="1">IFERROR(IF(0=LEN(ReferenceData!$AN$232),"",ReferenceData!$AN$232),"")</f>
        <v>27.036507929999999</v>
      </c>
      <c r="AO232">
        <f ca="1">IFERROR(IF(0=LEN(ReferenceData!$AO$232),"",ReferenceData!$AO$232),"")</f>
        <v>20.75819027</v>
      </c>
      <c r="AP232">
        <f ca="1">IFERROR(IF(0=LEN(ReferenceData!$AP$232),"",ReferenceData!$AP$232),"")</f>
        <v>42.366477199999999</v>
      </c>
      <c r="AQ232">
        <f ca="1">IFERROR(IF(0=LEN(ReferenceData!$AQ$232),"",ReferenceData!$AQ$232),"")</f>
        <v>53.836951900000003</v>
      </c>
      <c r="AR232">
        <f ca="1">IFERROR(IF(0=LEN(ReferenceData!$AR$232),"",ReferenceData!$AR$232),"")</f>
        <v>54.796033970000003</v>
      </c>
      <c r="AS232">
        <f ca="1">IFERROR(IF(0=LEN(ReferenceData!$AS$232),"",ReferenceData!$AS$232),"")</f>
        <v>55.25108067</v>
      </c>
      <c r="AT232">
        <f ca="1">IFERROR(IF(0=LEN(ReferenceData!$AT$232),"",ReferenceData!$AT$232),"")</f>
        <v>64.303405060000003</v>
      </c>
      <c r="AU232">
        <f ca="1">IFERROR(IF(0=LEN(ReferenceData!$AU$232),"",ReferenceData!$AU$232),"")</f>
        <v>52.950218499999998</v>
      </c>
      <c r="AV232">
        <f ca="1">IFERROR(IF(0=LEN(ReferenceData!$AV$232),"",ReferenceData!$AV$232),"")</f>
        <v>52.047421389999997</v>
      </c>
      <c r="AW232">
        <f ca="1">IFERROR(IF(0=LEN(ReferenceData!$AW$232),"",ReferenceData!$AW$232),"")</f>
        <v>53.054700029999999</v>
      </c>
      <c r="AX232">
        <f ca="1">IFERROR(IF(0=LEN(ReferenceData!$AX$232),"",ReferenceData!$AX$232),"")</f>
        <v>56.95808933</v>
      </c>
      <c r="AY232">
        <f ca="1">IFERROR(IF(0=LEN(ReferenceData!$AY$232),"",ReferenceData!$AY$232),"")</f>
        <v>68.613004050000001</v>
      </c>
      <c r="AZ232">
        <f ca="1">IFERROR(IF(0=LEN(ReferenceData!$AZ$232),"",ReferenceData!$AZ$232),"")</f>
        <v>53.797355660000001</v>
      </c>
      <c r="BA232">
        <f ca="1">IFERROR(IF(0=LEN(ReferenceData!$BA$232),"",ReferenceData!$BA$232),"")</f>
        <v>54.742074109999997</v>
      </c>
      <c r="BB232">
        <f ca="1">IFERROR(IF(0=LEN(ReferenceData!$BB$232),"",ReferenceData!$BB$232),"")</f>
        <v>55.5004724</v>
      </c>
      <c r="BC232">
        <f ca="1">IFERROR(IF(0=LEN(ReferenceData!$BC$232),"",ReferenceData!$BC$232),"")</f>
        <v>65.519158309999995</v>
      </c>
      <c r="BD232">
        <f ca="1">IFERROR(IF(0=LEN(ReferenceData!$BD$232),"",ReferenceData!$BD$232),"")</f>
        <v>55.227403600000002</v>
      </c>
      <c r="BE232">
        <f ca="1">IFERROR(IF(0=LEN(ReferenceData!$BE$232),"",ReferenceData!$BE$232),"")</f>
        <v>55.827850669999997</v>
      </c>
      <c r="BF232">
        <f ca="1">IFERROR(IF(0=LEN(ReferenceData!$BF$232),"",ReferenceData!$BF$232),"")</f>
        <v>54.427690609999999</v>
      </c>
      <c r="BG232">
        <f ca="1">IFERROR(IF(0=LEN(ReferenceData!$BG$232),"",ReferenceData!$BG$232),"")</f>
        <v>54.783686729999999</v>
      </c>
      <c r="BH232">
        <f ca="1">IFERROR(IF(0=LEN(ReferenceData!$BH$232),"",ReferenceData!$BH$232),"")</f>
        <v>56.442347789999999</v>
      </c>
      <c r="BI232">
        <f ca="1">IFERROR(IF(0=LEN(ReferenceData!$BI$232),"",ReferenceData!$BI$232),"")</f>
        <v>60.343174359999999</v>
      </c>
      <c r="BJ232">
        <f ca="1">IFERROR(IF(0=LEN(ReferenceData!$BJ$232),"",ReferenceData!$BJ$232),"")</f>
        <v>53.677395310000001</v>
      </c>
      <c r="BK232">
        <f ca="1">IFERROR(IF(0=LEN(ReferenceData!$BK$232),"",ReferenceData!$BK$232),"")</f>
        <v>53.128863529999997</v>
      </c>
      <c r="BL232">
        <f ca="1">IFERROR(IF(0=LEN(ReferenceData!$BL$232),"",ReferenceData!$BL$232),"")</f>
        <v>17.657833119999999</v>
      </c>
      <c r="BM232">
        <f ca="1">IFERROR(IF(0=LEN(ReferenceData!$BM$232),"",ReferenceData!$BM$232),"")</f>
        <v>50.013920779999999</v>
      </c>
    </row>
    <row r="233" spans="1:65">
      <c r="A233" t="str">
        <f>IFERROR(IF(0=LEN(ReferenceData!$A$233),"",ReferenceData!$A$233),"")</f>
        <v xml:space="preserve">    Care Capital Properties Inc</v>
      </c>
      <c r="B233" t="str">
        <f>IFERROR(IF(0=LEN(ReferenceData!$B$233),"",ReferenceData!$B$233),"")</f>
        <v>CCP US Equity</v>
      </c>
      <c r="C233" t="str">
        <f>IFERROR(IF(0=LEN(ReferenceData!$C$233),"",ReferenceData!$C$233),"")</f>
        <v>RR106</v>
      </c>
      <c r="D233" t="str">
        <f>IFERROR(IF(0=LEN(ReferenceData!$D$233),"",ReferenceData!$D$233),"")</f>
        <v>FFO_PAYOUT_RATIO</v>
      </c>
      <c r="E233" t="str">
        <f>IFERROR(IF(0=LEN(ReferenceData!$E$233),"",ReferenceData!$E$233),"")</f>
        <v>动态</v>
      </c>
      <c r="F233" t="str">
        <f ca="1">IFERROR(IF(0=LEN(ReferenceData!$F$233),"",ReferenceData!$F$233),"")</f>
        <v/>
      </c>
      <c r="G233" t="str">
        <f ca="1">IFERROR(IF(0=LEN(ReferenceData!$G$233),"",ReferenceData!$G$233),"")</f>
        <v/>
      </c>
      <c r="H233" t="str">
        <f ca="1">IFERROR(IF(0=LEN(ReferenceData!$H$233),"",ReferenceData!$H$233),"")</f>
        <v/>
      </c>
      <c r="I233">
        <f ca="1">IFERROR(IF(0=LEN(ReferenceData!$I$233),"",ReferenceData!$I$233),"")</f>
        <v>60.81336494</v>
      </c>
      <c r="J233">
        <f ca="1">IFERROR(IF(0=LEN(ReferenceData!$J$233),"",ReferenceData!$J$233),"")</f>
        <v>83.184030140000004</v>
      </c>
      <c r="K233">
        <f ca="1">IFERROR(IF(0=LEN(ReferenceData!$K$233),"",ReferenceData!$K$233),"")</f>
        <v>76.79781509</v>
      </c>
      <c r="L233">
        <f ca="1">IFERROR(IF(0=LEN(ReferenceData!$L$233),"",ReferenceData!$L$233),"")</f>
        <v>87.389756849999998</v>
      </c>
      <c r="M233">
        <f ca="1">IFERROR(IF(0=LEN(ReferenceData!$M$233),"",ReferenceData!$M$233),"")</f>
        <v>74.139022870000005</v>
      </c>
      <c r="N233">
        <f ca="1">IFERROR(IF(0=LEN(ReferenceData!$N$233),"",ReferenceData!$N$233),"")</f>
        <v>74.634944520000005</v>
      </c>
      <c r="O233">
        <f ca="1">IFERROR(IF(0=LEN(ReferenceData!$O$233),"",ReferenceData!$O$233),"")</f>
        <v>68.651951870000005</v>
      </c>
      <c r="P233">
        <f ca="1">IFERROR(IF(0=LEN(ReferenceData!$P$233),"",ReferenceData!$P$233),"")</f>
        <v>71.444039090000004</v>
      </c>
      <c r="Q233">
        <f ca="1">IFERROR(IF(0=LEN(ReferenceData!$Q$233),"",ReferenceData!$Q$233),"")</f>
        <v>0</v>
      </c>
      <c r="R233" t="str">
        <f ca="1">IFERROR(IF(0=LEN(ReferenceData!$R$233),"",ReferenceData!$R$233),"")</f>
        <v/>
      </c>
      <c r="S233" t="str">
        <f ca="1">IFERROR(IF(0=LEN(ReferenceData!$S$233),"",ReferenceData!$S$233),"")</f>
        <v/>
      </c>
      <c r="T233" t="str">
        <f ca="1">IFERROR(IF(0=LEN(ReferenceData!$T$233),"",ReferenceData!$T$233),"")</f>
        <v/>
      </c>
      <c r="U233" t="str">
        <f ca="1">IFERROR(IF(0=LEN(ReferenceData!$U$233),"",ReferenceData!$U$233),"")</f>
        <v/>
      </c>
      <c r="V233" t="str">
        <f ca="1">IFERROR(IF(0=LEN(ReferenceData!$V$233),"",ReferenceData!$V$233),"")</f>
        <v/>
      </c>
      <c r="W233" t="str">
        <f ca="1">IFERROR(IF(0=LEN(ReferenceData!$W$233),"",ReferenceData!$W$233),"")</f>
        <v/>
      </c>
      <c r="X233" t="str">
        <f ca="1">IFERROR(IF(0=LEN(ReferenceData!$X$233),"",ReferenceData!$X$233),"")</f>
        <v/>
      </c>
      <c r="Y233" t="str">
        <f ca="1">IFERROR(IF(0=LEN(ReferenceData!$Y$233),"",ReferenceData!$Y$233),"")</f>
        <v/>
      </c>
      <c r="Z233" t="str">
        <f ca="1">IFERROR(IF(0=LEN(ReferenceData!$Z$233),"",ReferenceData!$Z$233),"")</f>
        <v/>
      </c>
      <c r="AA233" t="str">
        <f ca="1">IFERROR(IF(0=LEN(ReferenceData!$AA$233),"",ReferenceData!$AA$233),"")</f>
        <v/>
      </c>
      <c r="AB233" t="str">
        <f ca="1">IFERROR(IF(0=LEN(ReferenceData!$AB$233),"",ReferenceData!$AB$233),"")</f>
        <v/>
      </c>
      <c r="AC233" t="str">
        <f ca="1">IFERROR(IF(0=LEN(ReferenceData!$AC$233),"",ReferenceData!$AC$233),"")</f>
        <v/>
      </c>
      <c r="AD233" t="str">
        <f ca="1">IFERROR(IF(0=LEN(ReferenceData!$AD$233),"",ReferenceData!$AD$233),"")</f>
        <v/>
      </c>
      <c r="AE233" t="str">
        <f ca="1">IFERROR(IF(0=LEN(ReferenceData!$AE$233),"",ReferenceData!$AE$233),"")</f>
        <v/>
      </c>
      <c r="AF233" t="str">
        <f ca="1">IFERROR(IF(0=LEN(ReferenceData!$AF$233),"",ReferenceData!$AF$233),"")</f>
        <v/>
      </c>
      <c r="AG233" t="str">
        <f ca="1">IFERROR(IF(0=LEN(ReferenceData!$AG$233),"",ReferenceData!$AG$233),"")</f>
        <v/>
      </c>
      <c r="AH233" t="str">
        <f ca="1">IFERROR(IF(0=LEN(ReferenceData!$AH$233),"",ReferenceData!$AH$233),"")</f>
        <v/>
      </c>
      <c r="AI233" t="str">
        <f ca="1">IFERROR(IF(0=LEN(ReferenceData!$AI$233),"",ReferenceData!$AI$233),"")</f>
        <v/>
      </c>
      <c r="AJ233" t="str">
        <f ca="1">IFERROR(IF(0=LEN(ReferenceData!$AJ$233),"",ReferenceData!$AJ$233),"")</f>
        <v/>
      </c>
      <c r="AK233" t="str">
        <f ca="1">IFERROR(IF(0=LEN(ReferenceData!$AK$233),"",ReferenceData!$AK$233),"")</f>
        <v/>
      </c>
      <c r="AL233" t="str">
        <f ca="1">IFERROR(IF(0=LEN(ReferenceData!$AL$233),"",ReferenceData!$AL$233),"")</f>
        <v/>
      </c>
      <c r="AM233" t="str">
        <f ca="1">IFERROR(IF(0=LEN(ReferenceData!$AM$233),"",ReferenceData!$AM$233),"")</f>
        <v/>
      </c>
      <c r="AN233" t="str">
        <f ca="1">IFERROR(IF(0=LEN(ReferenceData!$AN$233),"",ReferenceData!$AN$233),"")</f>
        <v/>
      </c>
      <c r="AO233" t="str">
        <f ca="1">IFERROR(IF(0=LEN(ReferenceData!$AO$233),"",ReferenceData!$AO$233),"")</f>
        <v/>
      </c>
      <c r="AP233" t="str">
        <f ca="1">IFERROR(IF(0=LEN(ReferenceData!$AP$233),"",ReferenceData!$AP$233),"")</f>
        <v/>
      </c>
      <c r="AQ233" t="str">
        <f ca="1">IFERROR(IF(0=LEN(ReferenceData!$AQ$233),"",ReferenceData!$AQ$233),"")</f>
        <v/>
      </c>
      <c r="AR233" t="str">
        <f ca="1">IFERROR(IF(0=LEN(ReferenceData!$AR$233),"",ReferenceData!$AR$233),"")</f>
        <v/>
      </c>
      <c r="AS233" t="str">
        <f ca="1">IFERROR(IF(0=LEN(ReferenceData!$AS$233),"",ReferenceData!$AS$233),"")</f>
        <v/>
      </c>
      <c r="AT233" t="str">
        <f ca="1">IFERROR(IF(0=LEN(ReferenceData!$AT$233),"",ReferenceData!$AT$233),"")</f>
        <v/>
      </c>
      <c r="AU233" t="str">
        <f ca="1">IFERROR(IF(0=LEN(ReferenceData!$AU$233),"",ReferenceData!$AU$233),"")</f>
        <v/>
      </c>
      <c r="AV233" t="str">
        <f ca="1">IFERROR(IF(0=LEN(ReferenceData!$AV$233),"",ReferenceData!$AV$233),"")</f>
        <v/>
      </c>
      <c r="AW233" t="str">
        <f ca="1">IFERROR(IF(0=LEN(ReferenceData!$AW$233),"",ReferenceData!$AW$233),"")</f>
        <v/>
      </c>
      <c r="AX233" t="str">
        <f ca="1">IFERROR(IF(0=LEN(ReferenceData!$AX$233),"",ReferenceData!$AX$233),"")</f>
        <v/>
      </c>
      <c r="AY233" t="str">
        <f ca="1">IFERROR(IF(0=LEN(ReferenceData!$AY$233),"",ReferenceData!$AY$233),"")</f>
        <v/>
      </c>
      <c r="AZ233" t="str">
        <f ca="1">IFERROR(IF(0=LEN(ReferenceData!$AZ$233),"",ReferenceData!$AZ$233),"")</f>
        <v/>
      </c>
      <c r="BA233" t="str">
        <f ca="1">IFERROR(IF(0=LEN(ReferenceData!$BA$233),"",ReferenceData!$BA$233),"")</f>
        <v/>
      </c>
      <c r="BB233" t="str">
        <f ca="1">IFERROR(IF(0=LEN(ReferenceData!$BB$233),"",ReferenceData!$BB$233),"")</f>
        <v/>
      </c>
      <c r="BC233" t="str">
        <f ca="1">IFERROR(IF(0=LEN(ReferenceData!$BC$233),"",ReferenceData!$BC$233),"")</f>
        <v/>
      </c>
      <c r="BD233" t="str">
        <f ca="1">IFERROR(IF(0=LEN(ReferenceData!$BD$233),"",ReferenceData!$BD$233),"")</f>
        <v/>
      </c>
      <c r="BE233" t="str">
        <f ca="1">IFERROR(IF(0=LEN(ReferenceData!$BE$233),"",ReferenceData!$BE$233),"")</f>
        <v/>
      </c>
      <c r="BF233" t="str">
        <f ca="1">IFERROR(IF(0=LEN(ReferenceData!$BF$233),"",ReferenceData!$BF$233),"")</f>
        <v/>
      </c>
      <c r="BG233" t="str">
        <f ca="1">IFERROR(IF(0=LEN(ReferenceData!$BG$233),"",ReferenceData!$BG$233),"")</f>
        <v/>
      </c>
      <c r="BH233" t="str">
        <f ca="1">IFERROR(IF(0=LEN(ReferenceData!$BH$233),"",ReferenceData!$BH$233),"")</f>
        <v/>
      </c>
      <c r="BI233" t="str">
        <f ca="1">IFERROR(IF(0=LEN(ReferenceData!$BI$233),"",ReferenceData!$BI$233),"")</f>
        <v/>
      </c>
      <c r="BJ233" t="str">
        <f ca="1">IFERROR(IF(0=LEN(ReferenceData!$BJ$233),"",ReferenceData!$BJ$233),"")</f>
        <v/>
      </c>
      <c r="BK233" t="str">
        <f ca="1">IFERROR(IF(0=LEN(ReferenceData!$BK$233),"",ReferenceData!$BK$233),"")</f>
        <v/>
      </c>
      <c r="BL233" t="str">
        <f ca="1">IFERROR(IF(0=LEN(ReferenceData!$BL$233),"",ReferenceData!$BL$233),"")</f>
        <v/>
      </c>
      <c r="BM233" t="str">
        <f ca="1">IFERROR(IF(0=LEN(ReferenceData!$BM$233),"",ReferenceData!$BM$233),"")</f>
        <v/>
      </c>
    </row>
    <row r="234" spans="1:65">
      <c r="A234" t="str">
        <f>IFERROR(IF(0=LEN(ReferenceData!$A$234),"",ReferenceData!$A$234),"")</f>
        <v xml:space="preserve">    HCP Inc</v>
      </c>
      <c r="B234" t="str">
        <f>IFERROR(IF(0=LEN(ReferenceData!$B$234),"",ReferenceData!$B$234),"")</f>
        <v>HCP US Equity</v>
      </c>
      <c r="C234" t="str">
        <f>IFERROR(IF(0=LEN(ReferenceData!$C$234),"",ReferenceData!$C$234),"")</f>
        <v>RR106</v>
      </c>
      <c r="D234" t="str">
        <f>IFERROR(IF(0=LEN(ReferenceData!$D$234),"",ReferenceData!$D$234),"")</f>
        <v>FFO_PAYOUT_RATIO</v>
      </c>
      <c r="E234" t="str">
        <f>IFERROR(IF(0=LEN(ReferenceData!$E$234),"",ReferenceData!$E$234),"")</f>
        <v>动态</v>
      </c>
      <c r="F234" t="str">
        <f ca="1">IFERROR(IF(0=LEN(ReferenceData!$F$234),"",ReferenceData!$F$234),"")</f>
        <v/>
      </c>
      <c r="G234">
        <f ca="1">IFERROR(IF(0=LEN(ReferenceData!$G$234),"",ReferenceData!$G$234),"")</f>
        <v>328.29349139999999</v>
      </c>
      <c r="H234">
        <f ca="1">IFERROR(IF(0=LEN(ReferenceData!$H$234),"",ReferenceData!$H$234),"")</f>
        <v>111.7700389</v>
      </c>
      <c r="I234">
        <f ca="1">IFERROR(IF(0=LEN(ReferenceData!$I$234),"",ReferenceData!$I$234),"")</f>
        <v>105.3137079</v>
      </c>
      <c r="J234">
        <f ca="1">IFERROR(IF(0=LEN(ReferenceData!$J$234),"",ReferenceData!$J$234),"")</f>
        <v>59.655662909999997</v>
      </c>
      <c r="K234">
        <f ca="1">IFERROR(IF(0=LEN(ReferenceData!$K$234),"",ReferenceData!$K$234),"")</f>
        <v>106.7095369</v>
      </c>
      <c r="L234">
        <f ca="1">IFERROR(IF(0=LEN(ReferenceData!$L$234),"",ReferenceData!$L$234),"")</f>
        <v>87.652715610000001</v>
      </c>
      <c r="M234">
        <f ca="1">IFERROR(IF(0=LEN(ReferenceData!$M$234),"",ReferenceData!$M$234),"")</f>
        <v>79.756164200000001</v>
      </c>
      <c r="N234">
        <f ca="1">IFERROR(IF(0=LEN(ReferenceData!$N$234),"",ReferenceData!$N$234),"")</f>
        <v>83.068555270000004</v>
      </c>
      <c r="O234" t="str">
        <f ca="1">IFERROR(IF(0=LEN(ReferenceData!$O$234),"",ReferenceData!$O$234),"")</f>
        <v/>
      </c>
      <c r="P234">
        <f ca="1">IFERROR(IF(0=LEN(ReferenceData!$P$234),"",ReferenceData!$P$234),"")</f>
        <v>98.513709149999997</v>
      </c>
      <c r="Q234">
        <f ca="1">IFERROR(IF(0=LEN(ReferenceData!$Q$234),"",ReferenceData!$Q$234),"")</f>
        <v>86.429090459999998</v>
      </c>
      <c r="R234" t="str">
        <f ca="1">IFERROR(IF(0=LEN(ReferenceData!$R$234),"",ReferenceData!$R$234),"")</f>
        <v/>
      </c>
      <c r="S234">
        <f ca="1">IFERROR(IF(0=LEN(ReferenceData!$S$234),"",ReferenceData!$S$234),"")</f>
        <v>77.089705730000006</v>
      </c>
      <c r="T234">
        <f ca="1">IFERROR(IF(0=LEN(ReferenceData!$T$234),"",ReferenceData!$T$234),"")</f>
        <v>66.273723000000004</v>
      </c>
      <c r="U234">
        <f ca="1">IFERROR(IF(0=LEN(ReferenceData!$U$234),"",ReferenceData!$U$234),"")</f>
        <v>71.503840019999998</v>
      </c>
      <c r="V234">
        <f ca="1">IFERROR(IF(0=LEN(ReferenceData!$V$234),"",ReferenceData!$V$234),"")</f>
        <v>72.914474889999994</v>
      </c>
      <c r="W234">
        <f ca="1">IFERROR(IF(0=LEN(ReferenceData!$W$234),"",ReferenceData!$W$234),"")</f>
        <v>69.237828669999999</v>
      </c>
      <c r="X234">
        <f ca="1">IFERROR(IF(0=LEN(ReferenceData!$X$234),"",ReferenceData!$X$234),"")</f>
        <v>71.241828119999994</v>
      </c>
      <c r="Y234">
        <f ca="1">IFERROR(IF(0=LEN(ReferenceData!$Y$234),"",ReferenceData!$Y$234),"")</f>
        <v>72.939417059999997</v>
      </c>
      <c r="Z234">
        <f ca="1">IFERROR(IF(0=LEN(ReferenceData!$Z$234),"",ReferenceData!$Z$234),"")</f>
        <v>70.234648590000006</v>
      </c>
      <c r="AA234">
        <f ca="1">IFERROR(IF(0=LEN(ReferenceData!$AA$234),"",ReferenceData!$AA$234),"")</f>
        <v>70.458471110000005</v>
      </c>
      <c r="AB234">
        <f ca="1">IFERROR(IF(0=LEN(ReferenceData!$AB$234),"",ReferenceData!$AB$234),"")</f>
        <v>73.99980017</v>
      </c>
      <c r="AC234">
        <f ca="1">IFERROR(IF(0=LEN(ReferenceData!$AC$234),"",ReferenceData!$AC$234),"")</f>
        <v>71.601439970000001</v>
      </c>
      <c r="AD234">
        <f ca="1">IFERROR(IF(0=LEN(ReferenceData!$AD$234),"",ReferenceData!$AD$234),"")</f>
        <v>77.711230110000002</v>
      </c>
      <c r="AE234">
        <f ca="1">IFERROR(IF(0=LEN(ReferenceData!$AE$234),"",ReferenceData!$AE$234),"")</f>
        <v>130.02919420000001</v>
      </c>
      <c r="AF234">
        <f ca="1">IFERROR(IF(0=LEN(ReferenceData!$AF$234),"",ReferenceData!$AF$234),"")</f>
        <v>75.277623460000001</v>
      </c>
      <c r="AG234">
        <f ca="1">IFERROR(IF(0=LEN(ReferenceData!$AG$234),"",ReferenceData!$AG$234),"")</f>
        <v>61.329315440000002</v>
      </c>
      <c r="AH234">
        <f ca="1">IFERROR(IF(0=LEN(ReferenceData!$AH$234),"",ReferenceData!$AH$234),"")</f>
        <v>119.5318293</v>
      </c>
      <c r="AI234">
        <f ca="1">IFERROR(IF(0=LEN(ReferenceData!$AI$234),"",ReferenceData!$AI$234),"")</f>
        <v>74.442091000000005</v>
      </c>
      <c r="AJ234">
        <f ca="1">IFERROR(IF(0=LEN(ReferenceData!$AJ$234),"",ReferenceData!$AJ$234),"")</f>
        <v>149.76251289999999</v>
      </c>
      <c r="AK234">
        <f ca="1">IFERROR(IF(0=LEN(ReferenceData!$AK$234),"",ReferenceData!$AK$234),"")</f>
        <v>84.706841699999998</v>
      </c>
      <c r="AL234">
        <f ca="1">IFERROR(IF(0=LEN(ReferenceData!$AL$234),"",ReferenceData!$AL$234),"")</f>
        <v>86.533104780000002</v>
      </c>
      <c r="AM234">
        <f ca="1">IFERROR(IF(0=LEN(ReferenceData!$AM$234),"",ReferenceData!$AM$234),"")</f>
        <v>126.9936628</v>
      </c>
      <c r="AN234">
        <f ca="1">IFERROR(IF(0=LEN(ReferenceData!$AN$234),"",ReferenceData!$AN$234),"")</f>
        <v>407.26637449999998</v>
      </c>
      <c r="AO234">
        <f ca="1">IFERROR(IF(0=LEN(ReferenceData!$AO$234),"",ReferenceData!$AO$234),"")</f>
        <v>83.602632139999997</v>
      </c>
      <c r="AP234">
        <f ca="1">IFERROR(IF(0=LEN(ReferenceData!$AP$234),"",ReferenceData!$AP$234),"")</f>
        <v>91.028753539999997</v>
      </c>
      <c r="AQ234">
        <f ca="1">IFERROR(IF(0=LEN(ReferenceData!$AQ$234),"",ReferenceData!$AQ$234),"")</f>
        <v>95.019465210000007</v>
      </c>
      <c r="AR234">
        <f ca="1">IFERROR(IF(0=LEN(ReferenceData!$AR$234),"",ReferenceData!$AR$234),"")</f>
        <v>63.856919060000003</v>
      </c>
      <c r="AS234">
        <f ca="1">IFERROR(IF(0=LEN(ReferenceData!$AS$234),"",ReferenceData!$AS$234),"")</f>
        <v>89.903720419999999</v>
      </c>
      <c r="AT234">
        <f ca="1">IFERROR(IF(0=LEN(ReferenceData!$AT$234),"",ReferenceData!$AT$234),"")</f>
        <v>81.189726129999997</v>
      </c>
      <c r="AU234">
        <f ca="1">IFERROR(IF(0=LEN(ReferenceData!$AU$234),"",ReferenceData!$AU$234),"")</f>
        <v>81.850227309999994</v>
      </c>
      <c r="AV234">
        <f ca="1">IFERROR(IF(0=LEN(ReferenceData!$AV$234),"",ReferenceData!$AV$234),"")</f>
        <v>84.171447709999995</v>
      </c>
      <c r="AW234">
        <f ca="1">IFERROR(IF(0=LEN(ReferenceData!$AW$234),"",ReferenceData!$AW$234),"")</f>
        <v>76.044163449999999</v>
      </c>
      <c r="AX234">
        <f ca="1">IFERROR(IF(0=LEN(ReferenceData!$AX$234),"",ReferenceData!$AX$234),"")</f>
        <v>88.619457620000006</v>
      </c>
      <c r="AY234">
        <f ca="1">IFERROR(IF(0=LEN(ReferenceData!$AY$234),"",ReferenceData!$AY$234),"")</f>
        <v>109.3593533</v>
      </c>
      <c r="AZ234">
        <f ca="1">IFERROR(IF(0=LEN(ReferenceData!$AZ$234),"",ReferenceData!$AZ$234),"")</f>
        <v>83.678838949999999</v>
      </c>
      <c r="BA234">
        <f ca="1">IFERROR(IF(0=LEN(ReferenceData!$BA$234),"",ReferenceData!$BA$234),"")</f>
        <v>89.600698199999997</v>
      </c>
      <c r="BB234">
        <f ca="1">IFERROR(IF(0=LEN(ReferenceData!$BB$234),"",ReferenceData!$BB$234),"")</f>
        <v>79.238275360000003</v>
      </c>
      <c r="BC234">
        <f ca="1">IFERROR(IF(0=LEN(ReferenceData!$BC$234),"",ReferenceData!$BC$234),"")</f>
        <v>115.9642695</v>
      </c>
      <c r="BD234">
        <f ca="1">IFERROR(IF(0=LEN(ReferenceData!$BD$234),"",ReferenceData!$BD$234),"")</f>
        <v>82.589759619999995</v>
      </c>
      <c r="BE234">
        <f ca="1">IFERROR(IF(0=LEN(ReferenceData!$BE$234),"",ReferenceData!$BE$234),"")</f>
        <v>1049.5706319999999</v>
      </c>
      <c r="BF234">
        <f ca="1">IFERROR(IF(0=LEN(ReferenceData!$BF$234),"",ReferenceData!$BF$234),"")</f>
        <v>91.861323200000001</v>
      </c>
      <c r="BG234">
        <f ca="1">IFERROR(IF(0=LEN(ReferenceData!$BG$234),"",ReferenceData!$BG$234),"")</f>
        <v>88.322419339999996</v>
      </c>
      <c r="BH234" t="str">
        <f ca="1">IFERROR(IF(0=LEN(ReferenceData!$BH$234),"",ReferenceData!$BH$234),"")</f>
        <v/>
      </c>
      <c r="BI234" t="str">
        <f ca="1">IFERROR(IF(0=LEN(ReferenceData!$BI$234),"",ReferenceData!$BI$234),"")</f>
        <v/>
      </c>
      <c r="BJ234" t="str">
        <f ca="1">IFERROR(IF(0=LEN(ReferenceData!$BJ$234),"",ReferenceData!$BJ$234),"")</f>
        <v/>
      </c>
      <c r="BK234">
        <f ca="1">IFERROR(IF(0=LEN(ReferenceData!$BK$234),"",ReferenceData!$BK$234),"")</f>
        <v>41.595279920000003</v>
      </c>
      <c r="BL234" t="str">
        <f ca="1">IFERROR(IF(0=LEN(ReferenceData!$BL$234),"",ReferenceData!$BL$234),"")</f>
        <v/>
      </c>
      <c r="BM234">
        <f ca="1">IFERROR(IF(0=LEN(ReferenceData!$BM$234),"",ReferenceData!$BM$234),"")</f>
        <v>114.326438</v>
      </c>
    </row>
    <row r="235" spans="1:65">
      <c r="A235" t="str">
        <f>IFERROR(IF(0=LEN(ReferenceData!$A$235),"",ReferenceData!$A$235),"")</f>
        <v xml:space="preserve">    Healthcare Realty Trust Inc</v>
      </c>
      <c r="B235" t="str">
        <f>IFERROR(IF(0=LEN(ReferenceData!$B$235),"",ReferenceData!$B$235),"")</f>
        <v>HR US Equity</v>
      </c>
      <c r="C235" t="str">
        <f>IFERROR(IF(0=LEN(ReferenceData!$C$235),"",ReferenceData!$C$235),"")</f>
        <v>RR106</v>
      </c>
      <c r="D235" t="str">
        <f>IFERROR(IF(0=LEN(ReferenceData!$D$235),"",ReferenceData!$D$235),"")</f>
        <v>FFO_PAYOUT_RATIO</v>
      </c>
      <c r="E235" t="str">
        <f>IFERROR(IF(0=LEN(ReferenceData!$E$235),"",ReferenceData!$E$235),"")</f>
        <v>动态</v>
      </c>
      <c r="F235" t="str">
        <f ca="1">IFERROR(IF(0=LEN(ReferenceData!$F$235),"",ReferenceData!$F$235),"")</f>
        <v/>
      </c>
      <c r="G235">
        <f ca="1">IFERROR(IF(0=LEN(ReferenceData!$G$235),"",ReferenceData!$G$235),"")</f>
        <v>5158.030726</v>
      </c>
      <c r="H235">
        <f ca="1">IFERROR(IF(0=LEN(ReferenceData!$H$235),"",ReferenceData!$H$235),"")</f>
        <v>79.901156159999999</v>
      </c>
      <c r="I235">
        <f ca="1">IFERROR(IF(0=LEN(ReferenceData!$I$235),"",ReferenceData!$I$235),"")</f>
        <v>77.294838970000001</v>
      </c>
      <c r="J235">
        <f ca="1">IFERROR(IF(0=LEN(ReferenceData!$J$235),"",ReferenceData!$J$235),"")</f>
        <v>77.631727409999996</v>
      </c>
      <c r="K235">
        <f ca="1">IFERROR(IF(0=LEN(ReferenceData!$K$235),"",ReferenceData!$K$235),"")</f>
        <v>74.376244049999997</v>
      </c>
      <c r="L235">
        <f ca="1">IFERROR(IF(0=LEN(ReferenceData!$L$235),"",ReferenceData!$L$235),"")</f>
        <v>77.145367300000004</v>
      </c>
      <c r="M235">
        <f ca="1">IFERROR(IF(0=LEN(ReferenceData!$M$235),"",ReferenceData!$M$235),"")</f>
        <v>71.138576610000001</v>
      </c>
      <c r="N235">
        <f ca="1">IFERROR(IF(0=LEN(ReferenceData!$N$235),"",ReferenceData!$N$235),"")</f>
        <v>76.157773550000002</v>
      </c>
      <c r="O235">
        <f ca="1">IFERROR(IF(0=LEN(ReferenceData!$O$235),"",ReferenceData!$O$235),"")</f>
        <v>74.561749019999993</v>
      </c>
      <c r="P235">
        <f ca="1">IFERROR(IF(0=LEN(ReferenceData!$P$235),"",ReferenceData!$P$235),"")</f>
        <v>73.36377736</v>
      </c>
      <c r="Q235">
        <f ca="1">IFERROR(IF(0=LEN(ReferenceData!$Q$235),"",ReferenceData!$Q$235),"")</f>
        <v>606.67956809999998</v>
      </c>
      <c r="R235">
        <f ca="1">IFERROR(IF(0=LEN(ReferenceData!$R$235),"",ReferenceData!$R$235),"")</f>
        <v>77.4894958</v>
      </c>
      <c r="S235">
        <f ca="1">IFERROR(IF(0=LEN(ReferenceData!$S$235),"",ReferenceData!$S$235),"")</f>
        <v>75.256007269999998</v>
      </c>
      <c r="T235">
        <f ca="1">IFERROR(IF(0=LEN(ReferenceData!$T$235),"",ReferenceData!$T$235),"")</f>
        <v>77.836301629999994</v>
      </c>
      <c r="U235">
        <f ca="1">IFERROR(IF(0=LEN(ReferenceData!$U$235),"",ReferenceData!$U$235),"")</f>
        <v>78.560265999999999</v>
      </c>
      <c r="V235">
        <f ca="1">IFERROR(IF(0=LEN(ReferenceData!$V$235),"",ReferenceData!$V$235),"")</f>
        <v>84.252348990000002</v>
      </c>
      <c r="W235">
        <f ca="1">IFERROR(IF(0=LEN(ReferenceData!$W$235),"",ReferenceData!$W$235),"")</f>
        <v>79.730599799999993</v>
      </c>
      <c r="X235">
        <f ca="1">IFERROR(IF(0=LEN(ReferenceData!$X$235),"",ReferenceData!$X$235),"")</f>
        <v>93.284416489999998</v>
      </c>
      <c r="Y235" t="str">
        <f ca="1">IFERROR(IF(0=LEN(ReferenceData!$Y$235),"",ReferenceData!$Y$235),"")</f>
        <v/>
      </c>
      <c r="Z235">
        <f ca="1">IFERROR(IF(0=LEN(ReferenceData!$Z$235),"",ReferenceData!$Z$235),"")</f>
        <v>98.041295270000006</v>
      </c>
      <c r="AA235">
        <f ca="1">IFERROR(IF(0=LEN(ReferenceData!$AA$235),"",ReferenceData!$AA$235),"")</f>
        <v>102.55532959999999</v>
      </c>
      <c r="AB235">
        <f ca="1">IFERROR(IF(0=LEN(ReferenceData!$AB$235),"",ReferenceData!$AB$235),"")</f>
        <v>89.388254489999994</v>
      </c>
      <c r="AC235">
        <f ca="1">IFERROR(IF(0=LEN(ReferenceData!$AC$235),"",ReferenceData!$AC$235),"")</f>
        <v>86.433550620000005</v>
      </c>
      <c r="AD235">
        <f ca="1">IFERROR(IF(0=LEN(ReferenceData!$AD$235),"",ReferenceData!$AD$235),"")</f>
        <v>85.654116610000003</v>
      </c>
      <c r="AE235">
        <f ca="1">IFERROR(IF(0=LEN(ReferenceData!$AE$235),"",ReferenceData!$AE$235),"")</f>
        <v>90.473308470000006</v>
      </c>
      <c r="AF235">
        <f ca="1">IFERROR(IF(0=LEN(ReferenceData!$AF$235),"",ReferenceData!$AF$235),"")</f>
        <v>103.53880270000001</v>
      </c>
      <c r="AG235">
        <f ca="1">IFERROR(IF(0=LEN(ReferenceData!$AG$235),"",ReferenceData!$AG$235),"")</f>
        <v>99.571829980000004</v>
      </c>
      <c r="AH235">
        <f ca="1">IFERROR(IF(0=LEN(ReferenceData!$AH$235),"",ReferenceData!$AH$235),"")</f>
        <v>140.82498609999999</v>
      </c>
      <c r="AI235">
        <f ca="1">IFERROR(IF(0=LEN(ReferenceData!$AI$235),"",ReferenceData!$AI$235),"")</f>
        <v>97.832135449999996</v>
      </c>
      <c r="AJ235">
        <f ca="1">IFERROR(IF(0=LEN(ReferenceData!$AJ$235),"",ReferenceData!$AJ$235),"")</f>
        <v>178.0251514</v>
      </c>
      <c r="AK235">
        <f ca="1">IFERROR(IF(0=LEN(ReferenceData!$AK$235),"",ReferenceData!$AK$235),"")</f>
        <v>84.672087210000001</v>
      </c>
      <c r="AL235">
        <f ca="1">IFERROR(IF(0=LEN(ReferenceData!$AL$235),"",ReferenceData!$AL$235),"")</f>
        <v>95.767250790000006</v>
      </c>
      <c r="AM235">
        <f ca="1">IFERROR(IF(0=LEN(ReferenceData!$AM$235),"",ReferenceData!$AM$235),"")</f>
        <v>107.453999</v>
      </c>
      <c r="AN235">
        <f ca="1">IFERROR(IF(0=LEN(ReferenceData!$AN$235),"",ReferenceData!$AN$235),"")</f>
        <v>88.501607219999997</v>
      </c>
      <c r="AO235">
        <f ca="1">IFERROR(IF(0=LEN(ReferenceData!$AO$235),"",ReferenceData!$AO$235),"")</f>
        <v>87.840227589999998</v>
      </c>
      <c r="AP235">
        <f ca="1">IFERROR(IF(0=LEN(ReferenceData!$AP$235),"",ReferenceData!$AP$235),"")</f>
        <v>90.811090340000007</v>
      </c>
      <c r="AQ235">
        <f ca="1">IFERROR(IF(0=LEN(ReferenceData!$AQ$235),"",ReferenceData!$AQ$235),"")</f>
        <v>72.727242889999999</v>
      </c>
      <c r="AR235">
        <f ca="1">IFERROR(IF(0=LEN(ReferenceData!$AR$235),"",ReferenceData!$AR$235),"")</f>
        <v>107.1557822</v>
      </c>
      <c r="AS235">
        <f ca="1">IFERROR(IF(0=LEN(ReferenceData!$AS$235),"",ReferenceData!$AS$235),"")</f>
        <v>101.7342847</v>
      </c>
      <c r="AT235">
        <f ca="1">IFERROR(IF(0=LEN(ReferenceData!$AT$235),"",ReferenceData!$AT$235),"")</f>
        <v>100.5042449</v>
      </c>
      <c r="AU235">
        <f ca="1">IFERROR(IF(0=LEN(ReferenceData!$AU$235),"",ReferenceData!$AU$235),"")</f>
        <v>94.30588478</v>
      </c>
      <c r="AV235">
        <f ca="1">IFERROR(IF(0=LEN(ReferenceData!$AV$235),"",ReferenceData!$AV$235),"")</f>
        <v>126.7458628</v>
      </c>
      <c r="AW235">
        <f ca="1">IFERROR(IF(0=LEN(ReferenceData!$AW$235),"",ReferenceData!$AW$235),"")</f>
        <v>1371.9989399999999</v>
      </c>
      <c r="AX235">
        <f ca="1">IFERROR(IF(0=LEN(ReferenceData!$AX$235),"",ReferenceData!$AX$235),"")</f>
        <v>155.28387290000001</v>
      </c>
      <c r="AY235">
        <f ca="1">IFERROR(IF(0=LEN(ReferenceData!$AY$235),"",ReferenceData!$AY$235),"")</f>
        <v>137.21623679999999</v>
      </c>
      <c r="AZ235">
        <f ca="1">IFERROR(IF(0=LEN(ReferenceData!$AZ$235),"",ReferenceData!$AZ$235),"")</f>
        <v>129.1348443</v>
      </c>
      <c r="BA235">
        <f ca="1">IFERROR(IF(0=LEN(ReferenceData!$BA$235),"",ReferenceData!$BA$235),"")</f>
        <v>111.47989130000001</v>
      </c>
      <c r="BB235">
        <f ca="1">IFERROR(IF(0=LEN(ReferenceData!$BB$235),"",ReferenceData!$BB$235),"")</f>
        <v>123.1078418</v>
      </c>
      <c r="BC235">
        <f ca="1">IFERROR(IF(0=LEN(ReferenceData!$BC$235),"",ReferenceData!$BC$235),"")</f>
        <v>127.43587309999999</v>
      </c>
      <c r="BD235">
        <f ca="1">IFERROR(IF(0=LEN(ReferenceData!$BD$235),"",ReferenceData!$BD$235),"")</f>
        <v>115.5109586</v>
      </c>
      <c r="BE235">
        <f ca="1">IFERROR(IF(0=LEN(ReferenceData!$BE$235),"",ReferenceData!$BE$235),"")</f>
        <v>120.5529653</v>
      </c>
      <c r="BF235">
        <f ca="1">IFERROR(IF(0=LEN(ReferenceData!$BF$235),"",ReferenceData!$BF$235),"")</f>
        <v>102.57690030000001</v>
      </c>
      <c r="BG235">
        <f ca="1">IFERROR(IF(0=LEN(ReferenceData!$BG$235),"",ReferenceData!$BG$235),"")</f>
        <v>165.27335840000001</v>
      </c>
      <c r="BH235">
        <f ca="1">IFERROR(IF(0=LEN(ReferenceData!$BH$235),"",ReferenceData!$BH$235),"")</f>
        <v>96.961604579999999</v>
      </c>
      <c r="BI235">
        <f ca="1">IFERROR(IF(0=LEN(ReferenceData!$BI$235),"",ReferenceData!$BI$235),"")</f>
        <v>95.910309490000003</v>
      </c>
      <c r="BJ235">
        <f ca="1">IFERROR(IF(0=LEN(ReferenceData!$BJ$235),"",ReferenceData!$BJ$235),"")</f>
        <v>100.84384489999999</v>
      </c>
      <c r="BK235">
        <f ca="1">IFERROR(IF(0=LEN(ReferenceData!$BK$235),"",ReferenceData!$BK$235),"")</f>
        <v>153.23888049999999</v>
      </c>
      <c r="BL235">
        <f ca="1">IFERROR(IF(0=LEN(ReferenceData!$BL$235),"",ReferenceData!$BL$235),"")</f>
        <v>90.276219470000001</v>
      </c>
      <c r="BM235">
        <f ca="1">IFERROR(IF(0=LEN(ReferenceData!$BM$235),"",ReferenceData!$BM$235),"")</f>
        <v>89.26308856</v>
      </c>
    </row>
    <row r="236" spans="1:65">
      <c r="A236" t="str">
        <f>IFERROR(IF(0=LEN(ReferenceData!$A$236),"",ReferenceData!$A$236),"")</f>
        <v xml:space="preserve">    Healthcare Trust of America In</v>
      </c>
      <c r="B236" t="str">
        <f>IFERROR(IF(0=LEN(ReferenceData!$B$236),"",ReferenceData!$B$236),"")</f>
        <v>HTA US Equity</v>
      </c>
      <c r="C236" t="str">
        <f>IFERROR(IF(0=LEN(ReferenceData!$C$236),"",ReferenceData!$C$236),"")</f>
        <v>RR106</v>
      </c>
      <c r="D236" t="str">
        <f>IFERROR(IF(0=LEN(ReferenceData!$D$236),"",ReferenceData!$D$236),"")</f>
        <v>FFO_PAYOUT_RATIO</v>
      </c>
      <c r="E236" t="str">
        <f>IFERROR(IF(0=LEN(ReferenceData!$E$236),"",ReferenceData!$E$236),"")</f>
        <v>动态</v>
      </c>
      <c r="F236" t="str">
        <f ca="1">IFERROR(IF(0=LEN(ReferenceData!$F$236),"",ReferenceData!$F$236),"")</f>
        <v/>
      </c>
      <c r="G236">
        <f ca="1">IFERROR(IF(0=LEN(ReferenceData!$G$236),"",ReferenceData!$G$236),"")</f>
        <v>72.873904300000007</v>
      </c>
      <c r="H236">
        <f ca="1">IFERROR(IF(0=LEN(ReferenceData!$H$236),"",ReferenceData!$H$236),"")</f>
        <v>72.64928544</v>
      </c>
      <c r="I236">
        <f ca="1">IFERROR(IF(0=LEN(ReferenceData!$I$236),"",ReferenceData!$I$236),"")</f>
        <v>97.700839720000005</v>
      </c>
      <c r="J236">
        <f ca="1">IFERROR(IF(0=LEN(ReferenceData!$J$236),"",ReferenceData!$J$236),"")</f>
        <v>70.618120239999996</v>
      </c>
      <c r="K236">
        <f ca="1">IFERROR(IF(0=LEN(ReferenceData!$K$236),"",ReferenceData!$K$236),"")</f>
        <v>71.964426360000004</v>
      </c>
      <c r="L236">
        <f ca="1">IFERROR(IF(0=LEN(ReferenceData!$L$236),"",ReferenceData!$L$236),"")</f>
        <v>77.155006299999997</v>
      </c>
      <c r="M236">
        <f ca="1">IFERROR(IF(0=LEN(ReferenceData!$M$236),"",ReferenceData!$M$236),"")</f>
        <v>76.211213939999993</v>
      </c>
      <c r="N236">
        <f ca="1">IFERROR(IF(0=LEN(ReferenceData!$N$236),"",ReferenceData!$N$236),"")</f>
        <v>79.1456491</v>
      </c>
      <c r="O236">
        <f ca="1">IFERROR(IF(0=LEN(ReferenceData!$O$236),"",ReferenceData!$O$236),"")</f>
        <v>76.185802420000002</v>
      </c>
      <c r="P236">
        <f ca="1">IFERROR(IF(0=LEN(ReferenceData!$P$236),"",ReferenceData!$P$236),"")</f>
        <v>80.646895630000003</v>
      </c>
      <c r="Q236">
        <f ca="1">IFERROR(IF(0=LEN(ReferenceData!$Q$236),"",ReferenceData!$Q$236),"")</f>
        <v>75.658637749999997</v>
      </c>
      <c r="R236">
        <f ca="1">IFERROR(IF(0=LEN(ReferenceData!$R$236),"",ReferenceData!$R$236),"")</f>
        <v>84.254015409999994</v>
      </c>
      <c r="S236">
        <f ca="1">IFERROR(IF(0=LEN(ReferenceData!$S$236),"",ReferenceData!$S$236),"")</f>
        <v>90.416473519999997</v>
      </c>
      <c r="T236">
        <f ca="1">IFERROR(IF(0=LEN(ReferenceData!$T$236),"",ReferenceData!$T$236),"")</f>
        <v>89.460916440000005</v>
      </c>
      <c r="U236">
        <f ca="1">IFERROR(IF(0=LEN(ReferenceData!$U$236),"",ReferenceData!$U$236),"")</f>
        <v>95.144965299999996</v>
      </c>
      <c r="V236">
        <f ca="1">IFERROR(IF(0=LEN(ReferenceData!$V$236),"",ReferenceData!$V$236),"")</f>
        <v>85.646468159999998</v>
      </c>
      <c r="W236">
        <f ca="1">IFERROR(IF(0=LEN(ReferenceData!$W$236),"",ReferenceData!$W$236),"")</f>
        <v>89.6189514</v>
      </c>
      <c r="X236">
        <f ca="1">IFERROR(IF(0=LEN(ReferenceData!$X$236),"",ReferenceData!$X$236),"")</f>
        <v>99.537844440000001</v>
      </c>
      <c r="Y236">
        <f ca="1">IFERROR(IF(0=LEN(ReferenceData!$Y$236),"",ReferenceData!$Y$236),"")</f>
        <v>75.263713080000002</v>
      </c>
      <c r="Z236">
        <f ca="1">IFERROR(IF(0=LEN(ReferenceData!$Z$236),"",ReferenceData!$Z$236),"")</f>
        <v>108.7122225</v>
      </c>
      <c r="AA236">
        <f ca="1">IFERROR(IF(0=LEN(ReferenceData!$AA$236),"",ReferenceData!$AA$236),"")</f>
        <v>114.99356419999999</v>
      </c>
      <c r="AB236">
        <f ca="1">IFERROR(IF(0=LEN(ReferenceData!$AB$236),"",ReferenceData!$AB$236),"")</f>
        <v>116.6226515</v>
      </c>
      <c r="AC236">
        <f ca="1">IFERROR(IF(0=LEN(ReferenceData!$AC$236),"",ReferenceData!$AC$236),"")</f>
        <v>333.48221949999999</v>
      </c>
      <c r="AD236">
        <f ca="1">IFERROR(IF(0=LEN(ReferenceData!$AD$236),"",ReferenceData!$AD$236),"")</f>
        <v>153.47237630000001</v>
      </c>
      <c r="AE236">
        <f ca="1">IFERROR(IF(0=LEN(ReferenceData!$AE$236),"",ReferenceData!$AE$236),"")</f>
        <v>0</v>
      </c>
      <c r="AF236">
        <f ca="1">IFERROR(IF(0=LEN(ReferenceData!$AF$236),"",ReferenceData!$AF$236),"")</f>
        <v>149.6353555</v>
      </c>
      <c r="AG236">
        <f ca="1">IFERROR(IF(0=LEN(ReferenceData!$AG$236),"",ReferenceData!$AG$236),"")</f>
        <v>147.5122552</v>
      </c>
      <c r="AH236">
        <f ca="1">IFERROR(IF(0=LEN(ReferenceData!$AH$236),"",ReferenceData!$AH$236),"")</f>
        <v>0</v>
      </c>
      <c r="AI236">
        <f ca="1">IFERROR(IF(0=LEN(ReferenceData!$AI$236),"",ReferenceData!$AI$236),"")</f>
        <v>0</v>
      </c>
      <c r="AJ236">
        <f ca="1">IFERROR(IF(0=LEN(ReferenceData!$AJ$236),"",ReferenceData!$AJ$236),"")</f>
        <v>0</v>
      </c>
      <c r="AK236">
        <f ca="1">IFERROR(IF(0=LEN(ReferenceData!$AK$236),"",ReferenceData!$AK$236),"")</f>
        <v>0</v>
      </c>
      <c r="AL236">
        <f ca="1">IFERROR(IF(0=LEN(ReferenceData!$AL$236),"",ReferenceData!$AL$236),"")</f>
        <v>0</v>
      </c>
      <c r="AM236" t="str">
        <f ca="1">IFERROR(IF(0=LEN(ReferenceData!$AM$236),"",ReferenceData!$AM$236),"")</f>
        <v/>
      </c>
      <c r="AN236" t="str">
        <f ca="1">IFERROR(IF(0=LEN(ReferenceData!$AN$236),"",ReferenceData!$AN$236),"")</f>
        <v/>
      </c>
      <c r="AO236" t="str">
        <f ca="1">IFERROR(IF(0=LEN(ReferenceData!$AO$236),"",ReferenceData!$AO$236),"")</f>
        <v/>
      </c>
      <c r="AP236" t="str">
        <f ca="1">IFERROR(IF(0=LEN(ReferenceData!$AP$236),"",ReferenceData!$AP$236),"")</f>
        <v/>
      </c>
      <c r="AQ236" t="str">
        <f ca="1">IFERROR(IF(0=LEN(ReferenceData!$AQ$236),"",ReferenceData!$AQ$236),"")</f>
        <v/>
      </c>
      <c r="AR236" t="str">
        <f ca="1">IFERROR(IF(0=LEN(ReferenceData!$AR$236),"",ReferenceData!$AR$236),"")</f>
        <v/>
      </c>
      <c r="AS236" t="str">
        <f ca="1">IFERROR(IF(0=LEN(ReferenceData!$AS$236),"",ReferenceData!$AS$236),"")</f>
        <v/>
      </c>
      <c r="AT236" t="str">
        <f ca="1">IFERROR(IF(0=LEN(ReferenceData!$AT$236),"",ReferenceData!$AT$236),"")</f>
        <v/>
      </c>
      <c r="AU236" t="str">
        <f ca="1">IFERROR(IF(0=LEN(ReferenceData!$AU$236),"",ReferenceData!$AU$236),"")</f>
        <v/>
      </c>
      <c r="AV236" t="str">
        <f ca="1">IFERROR(IF(0=LEN(ReferenceData!$AV$236),"",ReferenceData!$AV$236),"")</f>
        <v/>
      </c>
      <c r="AW236" t="str">
        <f ca="1">IFERROR(IF(0=LEN(ReferenceData!$AW$236),"",ReferenceData!$AW$236),"")</f>
        <v/>
      </c>
      <c r="AX236" t="str">
        <f ca="1">IFERROR(IF(0=LEN(ReferenceData!$AX$236),"",ReferenceData!$AX$236),"")</f>
        <v/>
      </c>
      <c r="AY236" t="str">
        <f ca="1">IFERROR(IF(0=LEN(ReferenceData!$AY$236),"",ReferenceData!$AY$236),"")</f>
        <v/>
      </c>
      <c r="AZ236" t="str">
        <f ca="1">IFERROR(IF(0=LEN(ReferenceData!$AZ$236),"",ReferenceData!$AZ$236),"")</f>
        <v/>
      </c>
      <c r="BA236" t="str">
        <f ca="1">IFERROR(IF(0=LEN(ReferenceData!$BA$236),"",ReferenceData!$BA$236),"")</f>
        <v/>
      </c>
      <c r="BB236" t="str">
        <f ca="1">IFERROR(IF(0=LEN(ReferenceData!$BB$236),"",ReferenceData!$BB$236),"")</f>
        <v/>
      </c>
      <c r="BC236" t="str">
        <f ca="1">IFERROR(IF(0=LEN(ReferenceData!$BC$236),"",ReferenceData!$BC$236),"")</f>
        <v/>
      </c>
      <c r="BD236" t="str">
        <f ca="1">IFERROR(IF(0=LEN(ReferenceData!$BD$236),"",ReferenceData!$BD$236),"")</f>
        <v/>
      </c>
      <c r="BE236" t="str">
        <f ca="1">IFERROR(IF(0=LEN(ReferenceData!$BE$236),"",ReferenceData!$BE$236),"")</f>
        <v/>
      </c>
      <c r="BF236" t="str">
        <f ca="1">IFERROR(IF(0=LEN(ReferenceData!$BF$236),"",ReferenceData!$BF$236),"")</f>
        <v/>
      </c>
      <c r="BG236" t="str">
        <f ca="1">IFERROR(IF(0=LEN(ReferenceData!$BG$236),"",ReferenceData!$BG$236),"")</f>
        <v/>
      </c>
      <c r="BH236" t="str">
        <f ca="1">IFERROR(IF(0=LEN(ReferenceData!$BH$236),"",ReferenceData!$BH$236),"")</f>
        <v/>
      </c>
      <c r="BI236" t="str">
        <f ca="1">IFERROR(IF(0=LEN(ReferenceData!$BI$236),"",ReferenceData!$BI$236),"")</f>
        <v/>
      </c>
      <c r="BJ236" t="str">
        <f ca="1">IFERROR(IF(0=LEN(ReferenceData!$BJ$236),"",ReferenceData!$BJ$236),"")</f>
        <v/>
      </c>
      <c r="BK236" t="str">
        <f ca="1">IFERROR(IF(0=LEN(ReferenceData!$BK$236),"",ReferenceData!$BK$236),"")</f>
        <v/>
      </c>
      <c r="BL236" t="str">
        <f ca="1">IFERROR(IF(0=LEN(ReferenceData!$BL$236),"",ReferenceData!$BL$236),"")</f>
        <v/>
      </c>
      <c r="BM236" t="str">
        <f ca="1">IFERROR(IF(0=LEN(ReferenceData!$BM$236),"",ReferenceData!$BM$236),"")</f>
        <v/>
      </c>
    </row>
    <row r="237" spans="1:65">
      <c r="A237" t="str">
        <f>IFERROR(IF(0=LEN(ReferenceData!$A$237),"",ReferenceData!$A$237),"")</f>
        <v xml:space="preserve">    Medical Properties Trust Inc</v>
      </c>
      <c r="B237" t="str">
        <f>IFERROR(IF(0=LEN(ReferenceData!$B$237),"",ReferenceData!$B$237),"")</f>
        <v>MPW US Equity</v>
      </c>
      <c r="C237" t="str">
        <f>IFERROR(IF(0=LEN(ReferenceData!$C$237),"",ReferenceData!$C$237),"")</f>
        <v>RR106</v>
      </c>
      <c r="D237" t="str">
        <f>IFERROR(IF(0=LEN(ReferenceData!$D$237),"",ReferenceData!$D$237),"")</f>
        <v>FFO_PAYOUT_RATIO</v>
      </c>
      <c r="E237" t="str">
        <f>IFERROR(IF(0=LEN(ReferenceData!$E$237),"",ReferenceData!$E$237),"")</f>
        <v>动态</v>
      </c>
      <c r="F237" t="str">
        <f ca="1">IFERROR(IF(0=LEN(ReferenceData!$F$237),"",ReferenceData!$F$237),"")</f>
        <v/>
      </c>
      <c r="G237">
        <f ca="1">IFERROR(IF(0=LEN(ReferenceData!$G$237),"",ReferenceData!$G$237),"")</f>
        <v>81.231763839999999</v>
      </c>
      <c r="H237">
        <f ca="1">IFERROR(IF(0=LEN(ReferenceData!$H$237),"",ReferenceData!$H$237),"")</f>
        <v>80.229395679999996</v>
      </c>
      <c r="I237">
        <f ca="1">IFERROR(IF(0=LEN(ReferenceData!$I$237),"",ReferenceData!$I$237),"")</f>
        <v>81.250062900000003</v>
      </c>
      <c r="J237">
        <f ca="1">IFERROR(IF(0=LEN(ReferenceData!$J$237),"",ReferenceData!$J$237),"")</f>
        <v>87.035817960000003</v>
      </c>
      <c r="K237">
        <f ca="1">IFERROR(IF(0=LEN(ReferenceData!$K$237),"",ReferenceData!$K$237),"")</f>
        <v>105.2594082</v>
      </c>
      <c r="L237">
        <f ca="1">IFERROR(IF(0=LEN(ReferenceData!$L$237),"",ReferenceData!$L$237),"")</f>
        <v>113.12326469999999</v>
      </c>
      <c r="M237">
        <f ca="1">IFERROR(IF(0=LEN(ReferenceData!$M$237),"",ReferenceData!$M$237),"")</f>
        <v>100.8190522</v>
      </c>
      <c r="N237">
        <f ca="1">IFERROR(IF(0=LEN(ReferenceData!$N$237),"",ReferenceData!$N$237),"")</f>
        <v>65.962507099999996</v>
      </c>
      <c r="O237">
        <f ca="1">IFERROR(IF(0=LEN(ReferenceData!$O$237),"",ReferenceData!$O$237),"")</f>
        <v>66.73802637</v>
      </c>
      <c r="P237">
        <f ca="1">IFERROR(IF(0=LEN(ReferenceData!$P$237),"",ReferenceData!$P$237),"")</f>
        <v>124.60435</v>
      </c>
      <c r="Q237">
        <f ca="1">IFERROR(IF(0=LEN(ReferenceData!$Q$237),"",ReferenceData!$Q$237),"")</f>
        <v>123.3412012</v>
      </c>
      <c r="R237">
        <f ca="1">IFERROR(IF(0=LEN(ReferenceData!$R$237),"",ReferenceData!$R$237),"")</f>
        <v>88.615634990000004</v>
      </c>
      <c r="S237">
        <f ca="1">IFERROR(IF(0=LEN(ReferenceData!$S$237),"",ReferenceData!$S$237),"")</f>
        <v>138.0236448</v>
      </c>
      <c r="T237">
        <f ca="1">IFERROR(IF(0=LEN(ReferenceData!$T$237),"",ReferenceData!$T$237),"")</f>
        <v>86.539916570000003</v>
      </c>
      <c r="U237">
        <f ca="1">IFERROR(IF(0=LEN(ReferenceData!$U$237),"",ReferenceData!$U$237),"")</f>
        <v>200.14863740000001</v>
      </c>
      <c r="V237">
        <f ca="1">IFERROR(IF(0=LEN(ReferenceData!$V$237),"",ReferenceData!$V$237),"")</f>
        <v>166.17281149999999</v>
      </c>
      <c r="W237">
        <f ca="1">IFERROR(IF(0=LEN(ReferenceData!$W$237),"",ReferenceData!$W$237),"")</f>
        <v>143.54162909999999</v>
      </c>
      <c r="X237">
        <f ca="1">IFERROR(IF(0=LEN(ReferenceData!$X$237),"",ReferenceData!$X$237),"")</f>
        <v>90.314259870000001</v>
      </c>
      <c r="Y237">
        <f ca="1">IFERROR(IF(0=LEN(ReferenceData!$Y$237),"",ReferenceData!$Y$237),"")</f>
        <v>88.380575179999994</v>
      </c>
      <c r="Z237">
        <f ca="1">IFERROR(IF(0=LEN(ReferenceData!$Z$237),"",ReferenceData!$Z$237),"")</f>
        <v>81.101993640000003</v>
      </c>
      <c r="AA237">
        <f ca="1">IFERROR(IF(0=LEN(ReferenceData!$AA$237),"",ReferenceData!$AA$237),"")</f>
        <v>97.283517200000006</v>
      </c>
      <c r="AB237">
        <f ca="1">IFERROR(IF(0=LEN(ReferenceData!$AB$237),"",ReferenceData!$AB$237),"")</f>
        <v>86.080791950000005</v>
      </c>
      <c r="AC237">
        <f ca="1">IFERROR(IF(0=LEN(ReferenceData!$AC$237),"",ReferenceData!$AC$237),"")</f>
        <v>91.680277660000002</v>
      </c>
      <c r="AD237">
        <f ca="1">IFERROR(IF(0=LEN(ReferenceData!$AD$237),"",ReferenceData!$AD$237),"")</f>
        <v>131.07986149999999</v>
      </c>
      <c r="AE237">
        <f ca="1">IFERROR(IF(0=LEN(ReferenceData!$AE$237),"",ReferenceData!$AE$237),"")</f>
        <v>129.82120470000001</v>
      </c>
      <c r="AF237">
        <f ca="1">IFERROR(IF(0=LEN(ReferenceData!$AF$237),"",ReferenceData!$AF$237),"")</f>
        <v>257.75729219999999</v>
      </c>
      <c r="AG237">
        <f ca="1">IFERROR(IF(0=LEN(ReferenceData!$AG$237),"",ReferenceData!$AG$237),"")</f>
        <v>196.1256368</v>
      </c>
      <c r="AH237">
        <f ca="1">IFERROR(IF(0=LEN(ReferenceData!$AH$237),"",ReferenceData!$AH$237),"")</f>
        <v>120.3138622</v>
      </c>
      <c r="AI237">
        <f ca="1">IFERROR(IF(0=LEN(ReferenceData!$AI$237),"",ReferenceData!$AI$237),"")</f>
        <v>157.832425</v>
      </c>
      <c r="AJ237">
        <f ca="1">IFERROR(IF(0=LEN(ReferenceData!$AJ$237),"",ReferenceData!$AJ$237),"")</f>
        <v>163.5426847</v>
      </c>
      <c r="AK237">
        <f ca="1">IFERROR(IF(0=LEN(ReferenceData!$AK$237),"",ReferenceData!$AK$237),"")</f>
        <v>355.05640099999999</v>
      </c>
      <c r="AL237">
        <f ca="1">IFERROR(IF(0=LEN(ReferenceData!$AL$237),"",ReferenceData!$AL$237),"")</f>
        <v>428.9817319</v>
      </c>
      <c r="AM237">
        <f ca="1">IFERROR(IF(0=LEN(ReferenceData!$AM$237),"",ReferenceData!$AM$237),"")</f>
        <v>119.0282995</v>
      </c>
      <c r="AN237">
        <f ca="1">IFERROR(IF(0=LEN(ReferenceData!$AN$237),"",ReferenceData!$AN$237),"")</f>
        <v>95.538243199999997</v>
      </c>
      <c r="AO237">
        <f ca="1">IFERROR(IF(0=LEN(ReferenceData!$AO$237),"",ReferenceData!$AO$237),"")</f>
        <v>110.9234075</v>
      </c>
      <c r="AP237">
        <f ca="1">IFERROR(IF(0=LEN(ReferenceData!$AP$237),"",ReferenceData!$AP$237),"")</f>
        <v>92.278202019999995</v>
      </c>
      <c r="AQ237">
        <f ca="1">IFERROR(IF(0=LEN(ReferenceData!$AQ$237),"",ReferenceData!$AQ$237),"")</f>
        <v>181.26054389999999</v>
      </c>
      <c r="AR237">
        <f ca="1">IFERROR(IF(0=LEN(ReferenceData!$AR$237),"",ReferenceData!$AR$237),"")</f>
        <v>105.1726141</v>
      </c>
      <c r="AS237">
        <f ca="1">IFERROR(IF(0=LEN(ReferenceData!$AS$237),"",ReferenceData!$AS$237),"")</f>
        <v>192.95085850000001</v>
      </c>
      <c r="AT237">
        <f ca="1">IFERROR(IF(0=LEN(ReferenceData!$AT$237),"",ReferenceData!$AT$237),"")</f>
        <v>95.42376951</v>
      </c>
      <c r="AU237">
        <f ca="1">IFERROR(IF(0=LEN(ReferenceData!$AU$237),"",ReferenceData!$AU$237),"")</f>
        <v>112.581744</v>
      </c>
      <c r="AV237">
        <f ca="1">IFERROR(IF(0=LEN(ReferenceData!$AV$237),"",ReferenceData!$AV$237),"")</f>
        <v>88.852729620000005</v>
      </c>
      <c r="AW237">
        <f ca="1">IFERROR(IF(0=LEN(ReferenceData!$AW$237),"",ReferenceData!$AW$237),"")</f>
        <v>92.956988559999999</v>
      </c>
      <c r="AX237">
        <f ca="1">IFERROR(IF(0=LEN(ReferenceData!$AX$237),"",ReferenceData!$AX$237),"")</f>
        <v>132.28056670000001</v>
      </c>
      <c r="AY237">
        <f ca="1">IFERROR(IF(0=LEN(ReferenceData!$AY$237),"",ReferenceData!$AY$237),"")</f>
        <v>103.2563282</v>
      </c>
      <c r="AZ237">
        <f ca="1">IFERROR(IF(0=LEN(ReferenceData!$AZ$237),"",ReferenceData!$AZ$237),"")</f>
        <v>96.523269810000002</v>
      </c>
      <c r="BA237">
        <f ca="1">IFERROR(IF(0=LEN(ReferenceData!$BA$237),"",ReferenceData!$BA$237),"")</f>
        <v>105.6691933</v>
      </c>
      <c r="BB237">
        <f ca="1">IFERROR(IF(0=LEN(ReferenceData!$BB$237),"",ReferenceData!$BB$237),"")</f>
        <v>87.970076509999998</v>
      </c>
      <c r="BC237">
        <f ca="1">IFERROR(IF(0=LEN(ReferenceData!$BC$237),"",ReferenceData!$BC$237),"")</f>
        <v>137.2597595</v>
      </c>
      <c r="BD237">
        <f ca="1">IFERROR(IF(0=LEN(ReferenceData!$BD$237),"",ReferenceData!$BD$237),"")</f>
        <v>99.480642430000003</v>
      </c>
      <c r="BE237">
        <f ca="1">IFERROR(IF(0=LEN(ReferenceData!$BE$237),"",ReferenceData!$BE$237),"")</f>
        <v>77.983716740000006</v>
      </c>
      <c r="BF237">
        <f ca="1">IFERROR(IF(0=LEN(ReferenceData!$BF$237),"",ReferenceData!$BF$237),"")</f>
        <v>0</v>
      </c>
      <c r="BG237" t="str">
        <f ca="1">IFERROR(IF(0=LEN(ReferenceData!$BG$237),"",ReferenceData!$BG$237),"")</f>
        <v/>
      </c>
      <c r="BH237" t="str">
        <f ca="1">IFERROR(IF(0=LEN(ReferenceData!$BH$237),"",ReferenceData!$BH$237),"")</f>
        <v/>
      </c>
      <c r="BI237" t="str">
        <f ca="1">IFERROR(IF(0=LEN(ReferenceData!$BI$237),"",ReferenceData!$BI$237),"")</f>
        <v/>
      </c>
      <c r="BJ237" t="str">
        <f ca="1">IFERROR(IF(0=LEN(ReferenceData!$BJ$237),"",ReferenceData!$BJ$237),"")</f>
        <v/>
      </c>
      <c r="BK237" t="str">
        <f ca="1">IFERROR(IF(0=LEN(ReferenceData!$BK$237),"",ReferenceData!$BK$237),"")</f>
        <v/>
      </c>
      <c r="BL237" t="str">
        <f ca="1">IFERROR(IF(0=LEN(ReferenceData!$BL$237),"",ReferenceData!$BL$237),"")</f>
        <v/>
      </c>
      <c r="BM237" t="str">
        <f ca="1">IFERROR(IF(0=LEN(ReferenceData!$BM$237),"",ReferenceData!$BM$237),"")</f>
        <v/>
      </c>
    </row>
    <row r="238" spans="1:65">
      <c r="A238" t="str">
        <f>IFERROR(IF(0=LEN(ReferenceData!$A$238),"",ReferenceData!$A$238),"")</f>
        <v xml:space="preserve">    Omega Healthcare Investors Inc</v>
      </c>
      <c r="B238" t="str">
        <f>IFERROR(IF(0=LEN(ReferenceData!$B$238),"",ReferenceData!$B$238),"")</f>
        <v>OHI US Equity</v>
      </c>
      <c r="C238" t="str">
        <f>IFERROR(IF(0=LEN(ReferenceData!$C$238),"",ReferenceData!$C$238),"")</f>
        <v>RR106</v>
      </c>
      <c r="D238" t="str">
        <f>IFERROR(IF(0=LEN(ReferenceData!$D$238),"",ReferenceData!$D$238),"")</f>
        <v>FFO_PAYOUT_RATIO</v>
      </c>
      <c r="E238" t="str">
        <f>IFERROR(IF(0=LEN(ReferenceData!$E$238),"",ReferenceData!$E$238),"")</f>
        <v>动态</v>
      </c>
      <c r="F238" t="str">
        <f ca="1">IFERROR(IF(0=LEN(ReferenceData!$F$238),"",ReferenceData!$F$238),"")</f>
        <v/>
      </c>
      <c r="G238">
        <f ca="1">IFERROR(IF(0=LEN(ReferenceData!$G$238),"",ReferenceData!$G$238),"")</f>
        <v>81.105135860000004</v>
      </c>
      <c r="H238" t="str">
        <f ca="1">IFERROR(IF(0=LEN(ReferenceData!$H$238),"",ReferenceData!$H$238),"")</f>
        <v/>
      </c>
      <c r="I238">
        <f ca="1">IFERROR(IF(0=LEN(ReferenceData!$I$238),"",ReferenceData!$I$238),"")</f>
        <v>82.41528074</v>
      </c>
      <c r="J238">
        <f ca="1">IFERROR(IF(0=LEN(ReferenceData!$J$238),"",ReferenceData!$J$238),"")</f>
        <v>67.492200839999995</v>
      </c>
      <c r="K238">
        <f ca="1">IFERROR(IF(0=LEN(ReferenceData!$K$238),"",ReferenceData!$K$238),"")</f>
        <v>69.632132510000005</v>
      </c>
      <c r="L238">
        <f ca="1">IFERROR(IF(0=LEN(ReferenceData!$L$238),"",ReferenceData!$L$238),"")</f>
        <v>71.638271439999997</v>
      </c>
      <c r="M238">
        <f ca="1">IFERROR(IF(0=LEN(ReferenceData!$M$238),"",ReferenceData!$M$238),"")</f>
        <v>63.603750920000003</v>
      </c>
      <c r="N238">
        <f ca="1">IFERROR(IF(0=LEN(ReferenceData!$N$238),"",ReferenceData!$N$238),"")</f>
        <v>69.842959070000006</v>
      </c>
      <c r="O238">
        <f ca="1">IFERROR(IF(0=LEN(ReferenceData!$O$238),"",ReferenceData!$O$238),"")</f>
        <v>82.257841249999998</v>
      </c>
      <c r="P238">
        <f ca="1">IFERROR(IF(0=LEN(ReferenceData!$P$238),"",ReferenceData!$P$238),"")</f>
        <v>68.871254179999994</v>
      </c>
      <c r="Q238">
        <f ca="1">IFERROR(IF(0=LEN(ReferenceData!$Q$238),"",ReferenceData!$Q$238),"")</f>
        <v>32.645191390000001</v>
      </c>
      <c r="R238">
        <f ca="1">IFERROR(IF(0=LEN(ReferenceData!$R$238),"",ReferenceData!$R$238),"")</f>
        <v>150.12799459999999</v>
      </c>
      <c r="S238">
        <f ca="1">IFERROR(IF(0=LEN(ReferenceData!$S$238),"",ReferenceData!$S$238),"")</f>
        <v>76.046824040000004</v>
      </c>
      <c r="T238">
        <f ca="1">IFERROR(IF(0=LEN(ReferenceData!$T$238),"",ReferenceData!$T$238),"")</f>
        <v>69.195750750000002</v>
      </c>
      <c r="U238">
        <f ca="1">IFERROR(IF(0=LEN(ReferenceData!$U$238),"",ReferenceData!$U$238),"")</f>
        <v>79.367689139999996</v>
      </c>
      <c r="V238">
        <f ca="1">IFERROR(IF(0=LEN(ReferenceData!$V$238),"",ReferenceData!$V$238),"")</f>
        <v>72.265564639999994</v>
      </c>
      <c r="W238">
        <f ca="1">IFERROR(IF(0=LEN(ReferenceData!$W$238),"",ReferenceData!$W$238),"")</f>
        <v>73.578247640000001</v>
      </c>
      <c r="X238">
        <f ca="1">IFERROR(IF(0=LEN(ReferenceData!$X$238),"",ReferenceData!$X$238),"")</f>
        <v>78.306487160000003</v>
      </c>
      <c r="Y238">
        <f ca="1">IFERROR(IF(0=LEN(ReferenceData!$Y$238),"",ReferenceData!$Y$238),"")</f>
        <v>61.370308369999997</v>
      </c>
      <c r="Z238">
        <f ca="1">IFERROR(IF(0=LEN(ReferenceData!$Z$238),"",ReferenceData!$Z$238),"")</f>
        <v>72.189957050000004</v>
      </c>
      <c r="AA238">
        <f ca="1">IFERROR(IF(0=LEN(ReferenceData!$AA$238),"",ReferenceData!$AA$238),"")</f>
        <v>80.047925250000006</v>
      </c>
      <c r="AB238">
        <f ca="1">IFERROR(IF(0=LEN(ReferenceData!$AB$238),"",ReferenceData!$AB$238),"")</f>
        <v>80.790869830000005</v>
      </c>
      <c r="AC238">
        <f ca="1">IFERROR(IF(0=LEN(ReferenceData!$AC$238),"",ReferenceData!$AC$238),"")</f>
        <v>79.567657650000001</v>
      </c>
      <c r="AD238">
        <f ca="1">IFERROR(IF(0=LEN(ReferenceData!$AD$238),"",ReferenceData!$AD$238),"")</f>
        <v>88.37860834</v>
      </c>
      <c r="AE238">
        <f ca="1">IFERROR(IF(0=LEN(ReferenceData!$AE$238),"",ReferenceData!$AE$238),"")</f>
        <v>89.276702389999997</v>
      </c>
      <c r="AF238">
        <f ca="1">IFERROR(IF(0=LEN(ReferenceData!$AF$238),"",ReferenceData!$AF$238),"")</f>
        <v>92.737731440000005</v>
      </c>
      <c r="AG238">
        <f ca="1">IFERROR(IF(0=LEN(ReferenceData!$AG$238),"",ReferenceData!$AG$238),"")</f>
        <v>90.982168450000003</v>
      </c>
      <c r="AH238">
        <f ca="1">IFERROR(IF(0=LEN(ReferenceData!$AH$238),"",ReferenceData!$AH$238),"")</f>
        <v>94.771559330000002</v>
      </c>
      <c r="AI238">
        <f ca="1">IFERROR(IF(0=LEN(ReferenceData!$AI$238),"",ReferenceData!$AI$238),"")</f>
        <v>128.34862870000001</v>
      </c>
      <c r="AJ238">
        <f ca="1">IFERROR(IF(0=LEN(ReferenceData!$AJ$238),"",ReferenceData!$AJ$238),"")</f>
        <v>81.096181909999999</v>
      </c>
      <c r="AK238">
        <f ca="1">IFERROR(IF(0=LEN(ReferenceData!$AK$238),"",ReferenceData!$AK$238),"")</f>
        <v>100.27593640000001</v>
      </c>
      <c r="AL238">
        <f ca="1">IFERROR(IF(0=LEN(ReferenceData!$AL$238),"",ReferenceData!$AL$238),"")</f>
        <v>85.308838069999993</v>
      </c>
      <c r="AM238">
        <f ca="1">IFERROR(IF(0=LEN(ReferenceData!$AM$238),"",ReferenceData!$AM$238),"")</f>
        <v>103.15440289999999</v>
      </c>
      <c r="AN238">
        <f ca="1">IFERROR(IF(0=LEN(ReferenceData!$AN$238),"",ReferenceData!$AN$238),"")</f>
        <v>83.695927900000001</v>
      </c>
      <c r="AO238">
        <f ca="1">IFERROR(IF(0=LEN(ReferenceData!$AO$238),"",ReferenceData!$AO$238),"")</f>
        <v>86.724198290000004</v>
      </c>
      <c r="AP238">
        <f ca="1">IFERROR(IF(0=LEN(ReferenceData!$AP$238),"",ReferenceData!$AP$238),"")</f>
        <v>73.629214820000001</v>
      </c>
      <c r="AQ238">
        <f ca="1">IFERROR(IF(0=LEN(ReferenceData!$AQ$238),"",ReferenceData!$AQ$238),"")</f>
        <v>94.010890669999995</v>
      </c>
      <c r="AR238">
        <f ca="1">IFERROR(IF(0=LEN(ReferenceData!$AR$238),"",ReferenceData!$AR$238),"")</f>
        <v>96.291174249999997</v>
      </c>
      <c r="AS238">
        <f ca="1">IFERROR(IF(0=LEN(ReferenceData!$AS$238),"",ReferenceData!$AS$238),"")</f>
        <v>89.852180340000004</v>
      </c>
      <c r="AT238">
        <f ca="1">IFERROR(IF(0=LEN(ReferenceData!$AT$238),"",ReferenceData!$AT$238),"")</f>
        <v>84.138222369999994</v>
      </c>
      <c r="AU238">
        <f ca="1">IFERROR(IF(0=LEN(ReferenceData!$AU$238),"",ReferenceData!$AU$238),"")</f>
        <v>80.427565860000001</v>
      </c>
      <c r="AV238">
        <f ca="1">IFERROR(IF(0=LEN(ReferenceData!$AV$238),"",ReferenceData!$AV$238),"")</f>
        <v>86.452926210000001</v>
      </c>
      <c r="AW238">
        <f ca="1">IFERROR(IF(0=LEN(ReferenceData!$AW$238),"",ReferenceData!$AW$238),"")</f>
        <v>81.040980309999995</v>
      </c>
      <c r="AX238">
        <f ca="1">IFERROR(IF(0=LEN(ReferenceData!$AX$238),"",ReferenceData!$AX$238),"")</f>
        <v>61.562017339999997</v>
      </c>
      <c r="AY238">
        <f ca="1">IFERROR(IF(0=LEN(ReferenceData!$AY$238),"",ReferenceData!$AY$238),"")</f>
        <v>77.95773475</v>
      </c>
      <c r="AZ238">
        <f ca="1">IFERROR(IF(0=LEN(ReferenceData!$AZ$238),"",ReferenceData!$AZ$238),"")</f>
        <v>73.32939897</v>
      </c>
      <c r="BA238">
        <f ca="1">IFERROR(IF(0=LEN(ReferenceData!$BA$238),"",ReferenceData!$BA$238),"")</f>
        <v>61.53200494</v>
      </c>
      <c r="BB238">
        <f ca="1">IFERROR(IF(0=LEN(ReferenceData!$BB$238),"",ReferenceData!$BB$238),"")</f>
        <v>85.362725449999999</v>
      </c>
      <c r="BC238">
        <f ca="1">IFERROR(IF(0=LEN(ReferenceData!$BC$238),"",ReferenceData!$BC$238),"")</f>
        <v>85.76442831</v>
      </c>
      <c r="BD238">
        <f ca="1">IFERROR(IF(0=LEN(ReferenceData!$BD$238),"",ReferenceData!$BD$238),"")</f>
        <v>128.4345347</v>
      </c>
      <c r="BE238">
        <f ca="1">IFERROR(IF(0=LEN(ReferenceData!$BE$238),"",ReferenceData!$BE$238),"")</f>
        <v>132.54805189999999</v>
      </c>
      <c r="BF238">
        <f ca="1">IFERROR(IF(0=LEN(ReferenceData!$BF$238),"",ReferenceData!$BF$238),"")</f>
        <v>84.633153300000004</v>
      </c>
      <c r="BG238">
        <f ca="1">IFERROR(IF(0=LEN(ReferenceData!$BG$238),"",ReferenceData!$BG$238),"")</f>
        <v>84.219404530000006</v>
      </c>
      <c r="BH238">
        <f ca="1">IFERROR(IF(0=LEN(ReferenceData!$BH$238),"",ReferenceData!$BH$238),"")</f>
        <v>155.17333429999999</v>
      </c>
      <c r="BI238">
        <f ca="1">IFERROR(IF(0=LEN(ReferenceData!$BI$238),"",ReferenceData!$BI$238),"")</f>
        <v>163.6411847</v>
      </c>
      <c r="BJ238" t="str">
        <f ca="1">IFERROR(IF(0=LEN(ReferenceData!$BJ$238),"",ReferenceData!$BJ$238),"")</f>
        <v/>
      </c>
      <c r="BK238">
        <f ca="1">IFERROR(IF(0=LEN(ReferenceData!$BK$238),"",ReferenceData!$BK$238),"")</f>
        <v>50.672116260000003</v>
      </c>
      <c r="BL238" t="str">
        <f ca="1">IFERROR(IF(0=LEN(ReferenceData!$BL$238),"",ReferenceData!$BL$238),"")</f>
        <v/>
      </c>
      <c r="BM238">
        <f ca="1">IFERROR(IF(0=LEN(ReferenceData!$BM$238),"",ReferenceData!$BM$238),"")</f>
        <v>0</v>
      </c>
    </row>
    <row r="239" spans="1:65">
      <c r="A239" t="str">
        <f>IFERROR(IF(0=LEN(ReferenceData!$A$239),"",ReferenceData!$A$239),"")</f>
        <v xml:space="preserve">    Sabra Health Care REIT Inc</v>
      </c>
      <c r="B239" t="str">
        <f>IFERROR(IF(0=LEN(ReferenceData!$B$239),"",ReferenceData!$B$239),"")</f>
        <v>SBRA US Equity</v>
      </c>
      <c r="C239" t="str">
        <f>IFERROR(IF(0=LEN(ReferenceData!$C$239),"",ReferenceData!$C$239),"")</f>
        <v>RR106</v>
      </c>
      <c r="D239" t="str">
        <f>IFERROR(IF(0=LEN(ReferenceData!$D$239),"",ReferenceData!$D$239),"")</f>
        <v>FFO_PAYOUT_RATIO</v>
      </c>
      <c r="E239" t="str">
        <f>IFERROR(IF(0=LEN(ReferenceData!$E$239),"",ReferenceData!$E$239),"")</f>
        <v>动态</v>
      </c>
      <c r="F239" t="str">
        <f ca="1">IFERROR(IF(0=LEN(ReferenceData!$F$239),"",ReferenceData!$F$239),"")</f>
        <v/>
      </c>
      <c r="G239">
        <f ca="1">IFERROR(IF(0=LEN(ReferenceData!$G$239),"",ReferenceData!$G$239),"")</f>
        <v>75.068573939999993</v>
      </c>
      <c r="H239">
        <f ca="1">IFERROR(IF(0=LEN(ReferenceData!$H$239),"",ReferenceData!$H$239),"")</f>
        <v>133.2119232</v>
      </c>
      <c r="I239">
        <f ca="1">IFERROR(IF(0=LEN(ReferenceData!$I$239),"",ReferenceData!$I$239),"")</f>
        <v>90.338569960000001</v>
      </c>
      <c r="J239">
        <f ca="1">IFERROR(IF(0=LEN(ReferenceData!$J$239),"",ReferenceData!$J$239),"")</f>
        <v>78.256447919999999</v>
      </c>
      <c r="K239">
        <f ca="1">IFERROR(IF(0=LEN(ReferenceData!$K$239),"",ReferenceData!$K$239),"")</f>
        <v>68.364716569999999</v>
      </c>
      <c r="L239">
        <f ca="1">IFERROR(IF(0=LEN(ReferenceData!$L$239),"",ReferenceData!$L$239),"")</f>
        <v>71.385122339999995</v>
      </c>
      <c r="M239">
        <f ca="1">IFERROR(IF(0=LEN(ReferenceData!$M$239),"",ReferenceData!$M$239),"")</f>
        <v>53.389558399999999</v>
      </c>
      <c r="N239">
        <f ca="1">IFERROR(IF(0=LEN(ReferenceData!$N$239),"",ReferenceData!$N$239),"")</f>
        <v>79.213731679999995</v>
      </c>
      <c r="O239">
        <f ca="1">IFERROR(IF(0=LEN(ReferenceData!$O$239),"",ReferenceData!$O$239),"")</f>
        <v>69.955272890000003</v>
      </c>
      <c r="P239">
        <f ca="1">IFERROR(IF(0=LEN(ReferenceData!$P$239),"",ReferenceData!$P$239),"")</f>
        <v>74.951517510000002</v>
      </c>
      <c r="Q239">
        <f ca="1">IFERROR(IF(0=LEN(ReferenceData!$Q$239),"",ReferenceData!$Q$239),"")</f>
        <v>89.921097230000001</v>
      </c>
      <c r="R239">
        <f ca="1">IFERROR(IF(0=LEN(ReferenceData!$R$239),"",ReferenceData!$R$239),"")</f>
        <v>74.796224109999997</v>
      </c>
      <c r="S239">
        <f ca="1">IFERROR(IF(0=LEN(ReferenceData!$S$239),"",ReferenceData!$S$239),"")</f>
        <v>71.230320390000003</v>
      </c>
      <c r="T239">
        <f ca="1">IFERROR(IF(0=LEN(ReferenceData!$T$239),"",ReferenceData!$T$239),"")</f>
        <v>73.742186520000004</v>
      </c>
      <c r="U239">
        <f ca="1">IFERROR(IF(0=LEN(ReferenceData!$U$239),"",ReferenceData!$U$239),"")</f>
        <v>75.418307690000006</v>
      </c>
      <c r="V239" t="str">
        <f ca="1">IFERROR(IF(0=LEN(ReferenceData!$V$239),"",ReferenceData!$V$239),"")</f>
        <v/>
      </c>
      <c r="W239">
        <f ca="1">IFERROR(IF(0=LEN(ReferenceData!$W$239),"",ReferenceData!$W$239),"")</f>
        <v>70.111614189999997</v>
      </c>
      <c r="X239">
        <f ca="1">IFERROR(IF(0=LEN(ReferenceData!$X$239),"",ReferenceData!$X$239),"")</f>
        <v>73.954285709999994</v>
      </c>
      <c r="Y239">
        <f ca="1">IFERROR(IF(0=LEN(ReferenceData!$Y$239),"",ReferenceData!$Y$239),"")</f>
        <v>255.23128850000001</v>
      </c>
      <c r="Z239">
        <f ca="1">IFERROR(IF(0=LEN(ReferenceData!$Z$239),"",ReferenceData!$Z$239),"")</f>
        <v>73.209897710000007</v>
      </c>
      <c r="AA239">
        <f ca="1">IFERROR(IF(0=LEN(ReferenceData!$AA$239),"",ReferenceData!$AA$239),"")</f>
        <v>85.349801979999995</v>
      </c>
      <c r="AB239">
        <f ca="1">IFERROR(IF(0=LEN(ReferenceData!$AB$239),"",ReferenceData!$AB$239),"")</f>
        <v>95.629617980000006</v>
      </c>
      <c r="AC239">
        <f ca="1">IFERROR(IF(0=LEN(ReferenceData!$AC$239),"",ReferenceData!$AC$239),"")</f>
        <v>90.940807570000004</v>
      </c>
      <c r="AD239">
        <f ca="1">IFERROR(IF(0=LEN(ReferenceData!$AD$239),"",ReferenceData!$AD$239),"")</f>
        <v>104.3132901</v>
      </c>
      <c r="AE239">
        <f ca="1">IFERROR(IF(0=LEN(ReferenceData!$AE$239),"",ReferenceData!$AE$239),"")</f>
        <v>81.421654189999998</v>
      </c>
      <c r="AF239">
        <f ca="1">IFERROR(IF(0=LEN(ReferenceData!$AF$239),"",ReferenceData!$AF$239),"")</f>
        <v>114.811075</v>
      </c>
      <c r="AG239">
        <f ca="1">IFERROR(IF(0=LEN(ReferenceData!$AG$239),"",ReferenceData!$AG$239),"")</f>
        <v>96.088944490000003</v>
      </c>
      <c r="AH239">
        <f ca="1">IFERROR(IF(0=LEN(ReferenceData!$AH$239),"",ReferenceData!$AH$239),"")</f>
        <v>0</v>
      </c>
      <c r="AI239" t="str">
        <f ca="1">IFERROR(IF(0=LEN(ReferenceData!$AI$239),"",ReferenceData!$AI$239),"")</f>
        <v/>
      </c>
      <c r="AJ239" t="str">
        <f ca="1">IFERROR(IF(0=LEN(ReferenceData!$AJ$239),"",ReferenceData!$AJ$239),"")</f>
        <v/>
      </c>
      <c r="AK239" t="str">
        <f ca="1">IFERROR(IF(0=LEN(ReferenceData!$AK$239),"",ReferenceData!$AK$239),"")</f>
        <v/>
      </c>
      <c r="AL239" t="str">
        <f ca="1">IFERROR(IF(0=LEN(ReferenceData!$AL$239),"",ReferenceData!$AL$239),"")</f>
        <v/>
      </c>
      <c r="AM239" t="str">
        <f ca="1">IFERROR(IF(0=LEN(ReferenceData!$AM$239),"",ReferenceData!$AM$239),"")</f>
        <v/>
      </c>
      <c r="AN239" t="str">
        <f ca="1">IFERROR(IF(0=LEN(ReferenceData!$AN$239),"",ReferenceData!$AN$239),"")</f>
        <v/>
      </c>
      <c r="AO239" t="str">
        <f ca="1">IFERROR(IF(0=LEN(ReferenceData!$AO$239),"",ReferenceData!$AO$239),"")</f>
        <v/>
      </c>
      <c r="AP239" t="str">
        <f ca="1">IFERROR(IF(0=LEN(ReferenceData!$AP$239),"",ReferenceData!$AP$239),"")</f>
        <v/>
      </c>
      <c r="AQ239" t="str">
        <f ca="1">IFERROR(IF(0=LEN(ReferenceData!$AQ$239),"",ReferenceData!$AQ$239),"")</f>
        <v/>
      </c>
      <c r="AR239" t="str">
        <f ca="1">IFERROR(IF(0=LEN(ReferenceData!$AR$239),"",ReferenceData!$AR$239),"")</f>
        <v/>
      </c>
      <c r="AS239" t="str">
        <f ca="1">IFERROR(IF(0=LEN(ReferenceData!$AS$239),"",ReferenceData!$AS$239),"")</f>
        <v/>
      </c>
      <c r="AT239" t="str">
        <f ca="1">IFERROR(IF(0=LEN(ReferenceData!$AT$239),"",ReferenceData!$AT$239),"")</f>
        <v/>
      </c>
      <c r="AU239" t="str">
        <f ca="1">IFERROR(IF(0=LEN(ReferenceData!$AU$239),"",ReferenceData!$AU$239),"")</f>
        <v/>
      </c>
      <c r="AV239" t="str">
        <f ca="1">IFERROR(IF(0=LEN(ReferenceData!$AV$239),"",ReferenceData!$AV$239),"")</f>
        <v/>
      </c>
      <c r="AW239" t="str">
        <f ca="1">IFERROR(IF(0=LEN(ReferenceData!$AW$239),"",ReferenceData!$AW$239),"")</f>
        <v/>
      </c>
      <c r="AX239" t="str">
        <f ca="1">IFERROR(IF(0=LEN(ReferenceData!$AX$239),"",ReferenceData!$AX$239),"")</f>
        <v/>
      </c>
      <c r="AY239" t="str">
        <f ca="1">IFERROR(IF(0=LEN(ReferenceData!$AY$239),"",ReferenceData!$AY$239),"")</f>
        <v/>
      </c>
      <c r="AZ239" t="str">
        <f ca="1">IFERROR(IF(0=LEN(ReferenceData!$AZ$239),"",ReferenceData!$AZ$239),"")</f>
        <v/>
      </c>
      <c r="BA239" t="str">
        <f ca="1">IFERROR(IF(0=LEN(ReferenceData!$BA$239),"",ReferenceData!$BA$239),"")</f>
        <v/>
      </c>
      <c r="BB239" t="str">
        <f ca="1">IFERROR(IF(0=LEN(ReferenceData!$BB$239),"",ReferenceData!$BB$239),"")</f>
        <v/>
      </c>
      <c r="BC239" t="str">
        <f ca="1">IFERROR(IF(0=LEN(ReferenceData!$BC$239),"",ReferenceData!$BC$239),"")</f>
        <v/>
      </c>
      <c r="BD239" t="str">
        <f ca="1">IFERROR(IF(0=LEN(ReferenceData!$BD$239),"",ReferenceData!$BD$239),"")</f>
        <v/>
      </c>
      <c r="BE239" t="str">
        <f ca="1">IFERROR(IF(0=LEN(ReferenceData!$BE$239),"",ReferenceData!$BE$239),"")</f>
        <v/>
      </c>
      <c r="BF239" t="str">
        <f ca="1">IFERROR(IF(0=LEN(ReferenceData!$BF$239),"",ReferenceData!$BF$239),"")</f>
        <v/>
      </c>
      <c r="BG239" t="str">
        <f ca="1">IFERROR(IF(0=LEN(ReferenceData!$BG$239),"",ReferenceData!$BG$239),"")</f>
        <v/>
      </c>
      <c r="BH239" t="str">
        <f ca="1">IFERROR(IF(0=LEN(ReferenceData!$BH$239),"",ReferenceData!$BH$239),"")</f>
        <v/>
      </c>
      <c r="BI239" t="str">
        <f ca="1">IFERROR(IF(0=LEN(ReferenceData!$BI$239),"",ReferenceData!$BI$239),"")</f>
        <v/>
      </c>
      <c r="BJ239" t="str">
        <f ca="1">IFERROR(IF(0=LEN(ReferenceData!$BJ$239),"",ReferenceData!$BJ$239),"")</f>
        <v/>
      </c>
      <c r="BK239" t="str">
        <f ca="1">IFERROR(IF(0=LEN(ReferenceData!$BK$239),"",ReferenceData!$BK$239),"")</f>
        <v/>
      </c>
      <c r="BL239" t="str">
        <f ca="1">IFERROR(IF(0=LEN(ReferenceData!$BL$239),"",ReferenceData!$BL$239),"")</f>
        <v/>
      </c>
      <c r="BM239" t="str">
        <f ca="1">IFERROR(IF(0=LEN(ReferenceData!$BM$239),"",ReferenceData!$BM$239),"")</f>
        <v/>
      </c>
    </row>
    <row r="240" spans="1:65">
      <c r="A240" t="str">
        <f>IFERROR(IF(0=LEN(ReferenceData!$A$240),"",ReferenceData!$A$240),"")</f>
        <v xml:space="preserve">    Senior Housing Properties Trus</v>
      </c>
      <c r="B240" t="str">
        <f>IFERROR(IF(0=LEN(ReferenceData!$B$240),"",ReferenceData!$B$240),"")</f>
        <v>SNH US Equity</v>
      </c>
      <c r="C240" t="str">
        <f>IFERROR(IF(0=LEN(ReferenceData!$C$240),"",ReferenceData!$C$240),"")</f>
        <v>RR106</v>
      </c>
      <c r="D240" t="str">
        <f>IFERROR(IF(0=LEN(ReferenceData!$D$240),"",ReferenceData!$D$240),"")</f>
        <v>FFO_PAYOUT_RATIO</v>
      </c>
      <c r="E240" t="str">
        <f>IFERROR(IF(0=LEN(ReferenceData!$E$240),"",ReferenceData!$E$240),"")</f>
        <v>动态</v>
      </c>
      <c r="F240" t="str">
        <f ca="1">IFERROR(IF(0=LEN(ReferenceData!$F$240),"",ReferenceData!$F$240),"")</f>
        <v/>
      </c>
      <c r="G240">
        <f ca="1">IFERROR(IF(0=LEN(ReferenceData!$G$240),"",ReferenceData!$G$240),"")</f>
        <v>114.2809388</v>
      </c>
      <c r="H240">
        <f ca="1">IFERROR(IF(0=LEN(ReferenceData!$H$240),"",ReferenceData!$H$240),"")</f>
        <v>96.726339210000006</v>
      </c>
      <c r="I240">
        <f ca="1">IFERROR(IF(0=LEN(ReferenceData!$I$240),"",ReferenceData!$I$240),"")</f>
        <v>108.3024635</v>
      </c>
      <c r="J240">
        <f ca="1">IFERROR(IF(0=LEN(ReferenceData!$J$240),"",ReferenceData!$J$240),"")</f>
        <v>88.279735680000002</v>
      </c>
      <c r="K240">
        <f ca="1">IFERROR(IF(0=LEN(ReferenceData!$K$240),"",ReferenceData!$K$240),"")</f>
        <v>78.778188099999994</v>
      </c>
      <c r="L240">
        <f ca="1">IFERROR(IF(0=LEN(ReferenceData!$L$240),"",ReferenceData!$L$240),"")</f>
        <v>88.303789140000006</v>
      </c>
      <c r="M240">
        <f ca="1">IFERROR(IF(0=LEN(ReferenceData!$M$240),"",ReferenceData!$M$240),"")</f>
        <v>83.006815840000002</v>
      </c>
      <c r="N240">
        <f ca="1">IFERROR(IF(0=LEN(ReferenceData!$N$240),"",ReferenceData!$N$240),"")</f>
        <v>84.227010059999998</v>
      </c>
      <c r="O240">
        <f ca="1">IFERROR(IF(0=LEN(ReferenceData!$O$240),"",ReferenceData!$O$240),"")</f>
        <v>113.7212877</v>
      </c>
      <c r="P240">
        <f ca="1">IFERROR(IF(0=LEN(ReferenceData!$P$240),"",ReferenceData!$P$240),"")</f>
        <v>85.546026049999995</v>
      </c>
      <c r="Q240">
        <f ca="1">IFERROR(IF(0=LEN(ReferenceData!$Q$240),"",ReferenceData!$Q$240),"")</f>
        <v>92.325738689999994</v>
      </c>
      <c r="R240">
        <f ca="1">IFERROR(IF(0=LEN(ReferenceData!$R$240),"",ReferenceData!$R$240),"")</f>
        <v>92.342185760000007</v>
      </c>
      <c r="S240">
        <f ca="1">IFERROR(IF(0=LEN(ReferenceData!$S$240),"",ReferenceData!$S$240),"")</f>
        <v>82.005655610000005</v>
      </c>
      <c r="T240">
        <f ca="1">IFERROR(IF(0=LEN(ReferenceData!$T$240),"",ReferenceData!$T$240),"")</f>
        <v>91.388648700000005</v>
      </c>
      <c r="U240">
        <f ca="1">IFERROR(IF(0=LEN(ReferenceData!$U$240),"",ReferenceData!$U$240),"")</f>
        <v>95.522009339999997</v>
      </c>
      <c r="V240">
        <f ca="1">IFERROR(IF(0=LEN(ReferenceData!$V$240),"",ReferenceData!$V$240),"")</f>
        <v>94.695019349999995</v>
      </c>
      <c r="W240">
        <f ca="1">IFERROR(IF(0=LEN(ReferenceData!$W$240),"",ReferenceData!$W$240),"")</f>
        <v>84.802477550000006</v>
      </c>
      <c r="X240">
        <f ca="1">IFERROR(IF(0=LEN(ReferenceData!$X$240),"",ReferenceData!$X$240),"")</f>
        <v>97.220642220000002</v>
      </c>
      <c r="Y240">
        <f ca="1">IFERROR(IF(0=LEN(ReferenceData!$Y$240),"",ReferenceData!$Y$240),"")</f>
        <v>96.060227870000006</v>
      </c>
      <c r="Z240">
        <f ca="1">IFERROR(IF(0=LEN(ReferenceData!$Z$240),"",ReferenceData!$Z$240),"")</f>
        <v>96.198540910000006</v>
      </c>
      <c r="AA240">
        <f ca="1">IFERROR(IF(0=LEN(ReferenceData!$AA$240),"",ReferenceData!$AA$240),"")</f>
        <v>84.377256299999999</v>
      </c>
      <c r="AB240">
        <f ca="1">IFERROR(IF(0=LEN(ReferenceData!$AB$240),"",ReferenceData!$AB$240),"")</f>
        <v>110.5507326</v>
      </c>
      <c r="AC240">
        <f ca="1">IFERROR(IF(0=LEN(ReferenceData!$AC$240),"",ReferenceData!$AC$240),"")</f>
        <v>90.265329070000007</v>
      </c>
      <c r="AD240">
        <f ca="1">IFERROR(IF(0=LEN(ReferenceData!$AD$240),"",ReferenceData!$AD$240),"")</f>
        <v>89.834098839999996</v>
      </c>
      <c r="AE240">
        <f ca="1">IFERROR(IF(0=LEN(ReferenceData!$AE$240),"",ReferenceData!$AE$240),"")</f>
        <v>86.701842929999998</v>
      </c>
      <c r="AF240">
        <f ca="1">IFERROR(IF(0=LEN(ReferenceData!$AF$240),"",ReferenceData!$AF$240),"")</f>
        <v>97.390556079999996</v>
      </c>
      <c r="AG240">
        <f ca="1">IFERROR(IF(0=LEN(ReferenceData!$AG$240),"",ReferenceData!$AG$240),"")</f>
        <v>92.629932240000002</v>
      </c>
      <c r="AH240">
        <f ca="1">IFERROR(IF(0=LEN(ReferenceData!$AH$240),"",ReferenceData!$AH$240),"")</f>
        <v>90.024956259999996</v>
      </c>
      <c r="AI240">
        <f ca="1">IFERROR(IF(0=LEN(ReferenceData!$AI$240),"",ReferenceData!$AI$240),"")</f>
        <v>77.65679634</v>
      </c>
      <c r="AJ240">
        <f ca="1">IFERROR(IF(0=LEN(ReferenceData!$AJ$240),"",ReferenceData!$AJ$240),"")</f>
        <v>85.80673401</v>
      </c>
      <c r="AK240">
        <f ca="1">IFERROR(IF(0=LEN(ReferenceData!$AK$240),"",ReferenceData!$AK$240),"")</f>
        <v>85.996100190000007</v>
      </c>
      <c r="AL240">
        <f ca="1">IFERROR(IF(0=LEN(ReferenceData!$AL$240),"",ReferenceData!$AL$240),"")</f>
        <v>83.668077650000001</v>
      </c>
      <c r="AM240">
        <f ca="1">IFERROR(IF(0=LEN(ReferenceData!$AM$240),"",ReferenceData!$AM$240),"")</f>
        <v>87.551703070000002</v>
      </c>
      <c r="AN240">
        <f ca="1">IFERROR(IF(0=LEN(ReferenceData!$AN$240),"",ReferenceData!$AN$240),"")</f>
        <v>88.626871710000003</v>
      </c>
      <c r="AO240">
        <f ca="1">IFERROR(IF(0=LEN(ReferenceData!$AO$240),"",ReferenceData!$AO$240),"")</f>
        <v>79.804743700000003</v>
      </c>
      <c r="AP240">
        <f ca="1">IFERROR(IF(0=LEN(ReferenceData!$AP$240),"",ReferenceData!$AP$240),"")</f>
        <v>79.120247820000003</v>
      </c>
      <c r="AQ240">
        <f ca="1">IFERROR(IF(0=LEN(ReferenceData!$AQ$240),"",ReferenceData!$AQ$240),"")</f>
        <v>82.055452070000001</v>
      </c>
      <c r="AR240">
        <f ca="1">IFERROR(IF(0=LEN(ReferenceData!$AR$240),"",ReferenceData!$AR$240),"")</f>
        <v>85.188244049999994</v>
      </c>
      <c r="AS240">
        <f ca="1">IFERROR(IF(0=LEN(ReferenceData!$AS$240),"",ReferenceData!$AS$240),"")</f>
        <v>85.11091716</v>
      </c>
      <c r="AT240">
        <f ca="1">IFERROR(IF(0=LEN(ReferenceData!$AT$240),"",ReferenceData!$AT$240),"")</f>
        <v>83.256287709999995</v>
      </c>
      <c r="AU240">
        <f ca="1">IFERROR(IF(0=LEN(ReferenceData!$AU$240),"",ReferenceData!$AU$240),"")</f>
        <v>83.972375220000004</v>
      </c>
      <c r="AV240">
        <f ca="1">IFERROR(IF(0=LEN(ReferenceData!$AV$240),"",ReferenceData!$AV$240),"")</f>
        <v>83.330579479999997</v>
      </c>
      <c r="AW240">
        <f ca="1">IFERROR(IF(0=LEN(ReferenceData!$AW$240),"",ReferenceData!$AW$240),"")</f>
        <v>83.614570470000004</v>
      </c>
      <c r="AX240">
        <f ca="1">IFERROR(IF(0=LEN(ReferenceData!$AX$240),"",ReferenceData!$AX$240),"")</f>
        <v>88.65582551</v>
      </c>
      <c r="AY240">
        <f ca="1">IFERROR(IF(0=LEN(ReferenceData!$AY$240),"",ReferenceData!$AY$240),"")</f>
        <v>72.539488349999999</v>
      </c>
      <c r="AZ240">
        <f ca="1">IFERROR(IF(0=LEN(ReferenceData!$AZ$240),"",ReferenceData!$AZ$240),"")</f>
        <v>85.646888779999998</v>
      </c>
      <c r="BA240">
        <f ca="1">IFERROR(IF(0=LEN(ReferenceData!$BA$240),"",ReferenceData!$BA$240),"")</f>
        <v>82.592776279999995</v>
      </c>
      <c r="BB240">
        <f ca="1">IFERROR(IF(0=LEN(ReferenceData!$BB$240),"",ReferenceData!$BB$240),"")</f>
        <v>97.690940780000005</v>
      </c>
      <c r="BC240">
        <f ca="1">IFERROR(IF(0=LEN(ReferenceData!$BC$240),"",ReferenceData!$BC$240),"")</f>
        <v>83.397376919999999</v>
      </c>
      <c r="BD240">
        <f ca="1">IFERROR(IF(0=LEN(ReferenceData!$BD$240),"",ReferenceData!$BD$240),"")</f>
        <v>61.164973000000003</v>
      </c>
      <c r="BE240">
        <f ca="1">IFERROR(IF(0=LEN(ReferenceData!$BE$240),"",ReferenceData!$BE$240),"")</f>
        <v>84.842710150000002</v>
      </c>
      <c r="BF240">
        <f ca="1">IFERROR(IF(0=LEN(ReferenceData!$BF$240),"",ReferenceData!$BF$240),"")</f>
        <v>86.205929879999999</v>
      </c>
      <c r="BG240">
        <f ca="1">IFERROR(IF(0=LEN(ReferenceData!$BG$240),"",ReferenceData!$BG$240),"")</f>
        <v>84.378843790000005</v>
      </c>
      <c r="BH240">
        <f ca="1">IFERROR(IF(0=LEN(ReferenceData!$BH$240),"",ReferenceData!$BH$240),"")</f>
        <v>83.961254710000006</v>
      </c>
      <c r="BI240">
        <f ca="1">IFERROR(IF(0=LEN(ReferenceData!$BI$240),"",ReferenceData!$BI$240),"")</f>
        <v>84.435484790000004</v>
      </c>
      <c r="BJ240">
        <f ca="1">IFERROR(IF(0=LEN(ReferenceData!$BJ$240),"",ReferenceData!$BJ$240),"")</f>
        <v>81.581833900000007</v>
      </c>
      <c r="BK240">
        <f ca="1">IFERROR(IF(0=LEN(ReferenceData!$BK$240),"",ReferenceData!$BK$240),"")</f>
        <v>88.304095689999997</v>
      </c>
      <c r="BL240" t="str">
        <f ca="1">IFERROR(IF(0=LEN(ReferenceData!$BL$240),"",ReferenceData!$BL$240),"")</f>
        <v/>
      </c>
      <c r="BM240" t="str">
        <f ca="1">IFERROR(IF(0=LEN(ReferenceData!$BM$240),"",ReferenceData!$BM$240),"")</f>
        <v/>
      </c>
    </row>
    <row r="241" spans="1:65">
      <c r="A241" t="str">
        <f>IFERROR(IF(0=LEN(ReferenceData!$A$241),"",ReferenceData!$A$241),"")</f>
        <v xml:space="preserve">    Ventas Inc</v>
      </c>
      <c r="B241" t="str">
        <f>IFERROR(IF(0=LEN(ReferenceData!$B$241),"",ReferenceData!$B$241),"")</f>
        <v>VTR US Equity</v>
      </c>
      <c r="C241" t="str">
        <f>IFERROR(IF(0=LEN(ReferenceData!$C$241),"",ReferenceData!$C$241),"")</f>
        <v>RR106</v>
      </c>
      <c r="D241" t="str">
        <f>IFERROR(IF(0=LEN(ReferenceData!$D$241),"",ReferenceData!$D$241),"")</f>
        <v>FFO_PAYOUT_RATIO</v>
      </c>
      <c r="E241" t="str">
        <f>IFERROR(IF(0=LEN(ReferenceData!$E$241),"",ReferenceData!$E$241),"")</f>
        <v>动态</v>
      </c>
      <c r="F241" t="str">
        <f ca="1">IFERROR(IF(0=LEN(ReferenceData!$F$241),"",ReferenceData!$F$241),"")</f>
        <v/>
      </c>
      <c r="G241">
        <f ca="1">IFERROR(IF(0=LEN(ReferenceData!$G$241),"",ReferenceData!$G$241),"")</f>
        <v>69.168617859999998</v>
      </c>
      <c r="H241">
        <f ca="1">IFERROR(IF(0=LEN(ReferenceData!$H$241),"",ReferenceData!$H$241),"")</f>
        <v>75.646758140000003</v>
      </c>
      <c r="I241">
        <f ca="1">IFERROR(IF(0=LEN(ReferenceData!$I$241),"",ReferenceData!$I$241),"")</f>
        <v>73.948442170000007</v>
      </c>
      <c r="J241">
        <f ca="1">IFERROR(IF(0=LEN(ReferenceData!$J$241),"",ReferenceData!$J$241),"")</f>
        <v>75.034810500000006</v>
      </c>
      <c r="K241">
        <f ca="1">IFERROR(IF(0=LEN(ReferenceData!$K$241),"",ReferenceData!$K$241),"")</f>
        <v>74.00242034</v>
      </c>
      <c r="L241">
        <f ca="1">IFERROR(IF(0=LEN(ReferenceData!$L$241),"",ReferenceData!$L$241),"")</f>
        <v>71.946297729999998</v>
      </c>
      <c r="M241">
        <f ca="1">IFERROR(IF(0=LEN(ReferenceData!$M$241),"",ReferenceData!$M$241),"")</f>
        <v>69.418588700000001</v>
      </c>
      <c r="N241">
        <f ca="1">IFERROR(IF(0=LEN(ReferenceData!$N$241),"",ReferenceData!$N$241),"")</f>
        <v>68.78565424</v>
      </c>
      <c r="O241">
        <f ca="1">IFERROR(IF(0=LEN(ReferenceData!$O$241),"",ReferenceData!$O$241),"")</f>
        <v>68.090491369999995</v>
      </c>
      <c r="P241">
        <f ca="1">IFERROR(IF(0=LEN(ReferenceData!$P$241),"",ReferenceData!$P$241),"")</f>
        <v>93.109010209999994</v>
      </c>
      <c r="Q241">
        <f ca="1">IFERROR(IF(0=LEN(ReferenceData!$Q$241),"",ReferenceData!$Q$241),"")</f>
        <v>67.225737120000005</v>
      </c>
      <c r="R241">
        <f ca="1">IFERROR(IF(0=LEN(ReferenceData!$R$241),"",ReferenceData!$R$241),"")</f>
        <v>71.039408739999999</v>
      </c>
      <c r="S241">
        <f ca="1">IFERROR(IF(0=LEN(ReferenceData!$S$241),"",ReferenceData!$S$241),"")</f>
        <v>67.705821130000004</v>
      </c>
      <c r="T241">
        <f ca="1">IFERROR(IF(0=LEN(ReferenceData!$T$241),"",ReferenceData!$T$241),"")</f>
        <v>70.088855640000006</v>
      </c>
      <c r="U241">
        <f ca="1">IFERROR(IF(0=LEN(ReferenceData!$U$241),"",ReferenceData!$U$241),"")</f>
        <v>67.500190020000005</v>
      </c>
      <c r="V241">
        <f ca="1">IFERROR(IF(0=LEN(ReferenceData!$V$241),"",ReferenceData!$V$241),"")</f>
        <v>68.776974530000004</v>
      </c>
      <c r="W241">
        <f ca="1">IFERROR(IF(0=LEN(ReferenceData!$W$241),"",ReferenceData!$W$241),"")</f>
        <v>69.792880210000007</v>
      </c>
      <c r="X241">
        <f ca="1">IFERROR(IF(0=LEN(ReferenceData!$X$241),"",ReferenceData!$X$241),"")</f>
        <v>64.606102719999996</v>
      </c>
      <c r="Y241">
        <f ca="1">IFERROR(IF(0=LEN(ReferenceData!$Y$241),"",ReferenceData!$Y$241),"")</f>
        <v>64.401788850000003</v>
      </c>
      <c r="Z241">
        <f ca="1">IFERROR(IF(0=LEN(ReferenceData!$Z$241),"",ReferenceData!$Z$241),"")</f>
        <v>66.131199120000005</v>
      </c>
      <c r="AA241">
        <f ca="1">IFERROR(IF(0=LEN(ReferenceData!$AA$241),"",ReferenceData!$AA$241),"")</f>
        <v>64.332937819999998</v>
      </c>
      <c r="AB241">
        <f ca="1">IFERROR(IF(0=LEN(ReferenceData!$AB$241),"",ReferenceData!$AB$241),"")</f>
        <v>63.112549999999999</v>
      </c>
      <c r="AC241">
        <f ca="1">IFERROR(IF(0=LEN(ReferenceData!$AC$241),"",ReferenceData!$AC$241),"")</f>
        <v>76.221412529999995</v>
      </c>
      <c r="AD241">
        <f ca="1">IFERROR(IF(0=LEN(ReferenceData!$AD$241),"",ReferenceData!$AD$241),"")</f>
        <v>83.24021956</v>
      </c>
      <c r="AE241">
        <f ca="1">IFERROR(IF(0=LEN(ReferenceData!$AE$241),"",ReferenceData!$AE$241),"")</f>
        <v>46.08573629</v>
      </c>
      <c r="AF241">
        <f ca="1">IFERROR(IF(0=LEN(ReferenceData!$AF$241),"",ReferenceData!$AF$241),"")</f>
        <v>48.789252599999998</v>
      </c>
      <c r="AG241">
        <f ca="1">IFERROR(IF(0=LEN(ReferenceData!$AG$241),"",ReferenceData!$AG$241),"")</f>
        <v>122.9306912</v>
      </c>
      <c r="AH241">
        <f ca="1">IFERROR(IF(0=LEN(ReferenceData!$AH$241),"",ReferenceData!$AH$241),"")</f>
        <v>91.339069989999999</v>
      </c>
      <c r="AI241">
        <f ca="1">IFERROR(IF(0=LEN(ReferenceData!$AI$241),"",ReferenceData!$AI$241),"")</f>
        <v>77.434886599999999</v>
      </c>
      <c r="AJ241">
        <f ca="1">IFERROR(IF(0=LEN(ReferenceData!$AJ$241),"",ReferenceData!$AJ$241),"")</f>
        <v>76.932865419999999</v>
      </c>
      <c r="AK241">
        <f ca="1">IFERROR(IF(0=LEN(ReferenceData!$AK$241),"",ReferenceData!$AK$241),"")</f>
        <v>82.729600700000006</v>
      </c>
      <c r="AL241">
        <f ca="1">IFERROR(IF(0=LEN(ReferenceData!$AL$241),"",ReferenceData!$AL$241),"")</f>
        <v>81.251011969999993</v>
      </c>
      <c r="AM241">
        <f ca="1">IFERROR(IF(0=LEN(ReferenceData!$AM$241),"",ReferenceData!$AM$241),"")</f>
        <v>76.989773360000001</v>
      </c>
      <c r="AN241">
        <f ca="1">IFERROR(IF(0=LEN(ReferenceData!$AN$241),"",ReferenceData!$AN$241),"")</f>
        <v>81.472112850000002</v>
      </c>
      <c r="AO241">
        <f ca="1">IFERROR(IF(0=LEN(ReferenceData!$AO$241),"",ReferenceData!$AO$241),"")</f>
        <v>81.934321400000002</v>
      </c>
      <c r="AP241">
        <f ca="1">IFERROR(IF(0=LEN(ReferenceData!$AP$241),"",ReferenceData!$AP$241),"")</f>
        <v>77.622797039999995</v>
      </c>
      <c r="AQ241">
        <f ca="1">IFERROR(IF(0=LEN(ReferenceData!$AQ$241),"",ReferenceData!$AQ$241),"")</f>
        <v>75.07637665</v>
      </c>
      <c r="AR241">
        <f ca="1">IFERROR(IF(0=LEN(ReferenceData!$AR$241),"",ReferenceData!$AR$241),"")</f>
        <v>63.862983470000003</v>
      </c>
      <c r="AS241">
        <f ca="1">IFERROR(IF(0=LEN(ReferenceData!$AS$241),"",ReferenceData!$AS$241),"")</f>
        <v>70.443060489999993</v>
      </c>
      <c r="AT241">
        <f ca="1">IFERROR(IF(0=LEN(ReferenceData!$AT$241),"",ReferenceData!$AT$241),"")</f>
        <v>68.992155190000005</v>
      </c>
      <c r="AU241">
        <f ca="1">IFERROR(IF(0=LEN(ReferenceData!$AU$241),"",ReferenceData!$AU$241),"")</f>
        <v>71.103639279999996</v>
      </c>
      <c r="AV241">
        <f ca="1">IFERROR(IF(0=LEN(ReferenceData!$AV$241),"",ReferenceData!$AV$241),"")</f>
        <v>65.133231420000001</v>
      </c>
      <c r="AW241">
        <f ca="1">IFERROR(IF(0=LEN(ReferenceData!$AW$241),"",ReferenceData!$AW$241),"")</f>
        <v>51.925803690000002</v>
      </c>
      <c r="AX241">
        <f ca="1">IFERROR(IF(0=LEN(ReferenceData!$AX$241),"",ReferenceData!$AX$241),"")</f>
        <v>64.641060519999996</v>
      </c>
      <c r="AY241">
        <f ca="1">IFERROR(IF(0=LEN(ReferenceData!$AY$241),"",ReferenceData!$AY$241),"")</f>
        <v>62.845959780000001</v>
      </c>
      <c r="AZ241">
        <f ca="1">IFERROR(IF(0=LEN(ReferenceData!$AZ$241),"",ReferenceData!$AZ$241),"")</f>
        <v>66.922317050000004</v>
      </c>
      <c r="BA241">
        <f ca="1">IFERROR(IF(0=LEN(ReferenceData!$BA$241),"",ReferenceData!$BA$241),"")</f>
        <v>70.472770359999998</v>
      </c>
      <c r="BB241">
        <f ca="1">IFERROR(IF(0=LEN(ReferenceData!$BB$241),"",ReferenceData!$BB$241),"")</f>
        <v>71.318317870000001</v>
      </c>
      <c r="BC241">
        <f ca="1">IFERROR(IF(0=LEN(ReferenceData!$BC$241),"",ReferenceData!$BC$241),"")</f>
        <v>51.239660999999998</v>
      </c>
      <c r="BD241">
        <f ca="1">IFERROR(IF(0=LEN(ReferenceData!$BD$241),"",ReferenceData!$BD$241),"")</f>
        <v>65.862946590000007</v>
      </c>
      <c r="BE241">
        <f ca="1">IFERROR(IF(0=LEN(ReferenceData!$BE$241),"",ReferenceData!$BE$241),"")</f>
        <v>70.183875159999999</v>
      </c>
      <c r="BF241">
        <f ca="1">IFERROR(IF(0=LEN(ReferenceData!$BF$241),"",ReferenceData!$BF$241),"")</f>
        <v>74.792676940000007</v>
      </c>
      <c r="BG241">
        <f ca="1">IFERROR(IF(0=LEN(ReferenceData!$BG$241),"",ReferenceData!$BG$241),"")</f>
        <v>68.463417070000006</v>
      </c>
      <c r="BH241">
        <f ca="1">IFERROR(IF(0=LEN(ReferenceData!$BH$241),"",ReferenceData!$BH$241),"")</f>
        <v>71.063003899999998</v>
      </c>
      <c r="BI241">
        <f ca="1">IFERROR(IF(0=LEN(ReferenceData!$BI$241),"",ReferenceData!$BI$241),"")</f>
        <v>72.266288200000005</v>
      </c>
      <c r="BJ241">
        <f ca="1">IFERROR(IF(0=LEN(ReferenceData!$BJ$241),"",ReferenceData!$BJ$241),"")</f>
        <v>77.98835468</v>
      </c>
      <c r="BK241">
        <f ca="1">IFERROR(IF(0=LEN(ReferenceData!$BK$241),"",ReferenceData!$BK$241),"")</f>
        <v>66.486888829999998</v>
      </c>
      <c r="BL241">
        <f ca="1">IFERROR(IF(0=LEN(ReferenceData!$BL$241),"",ReferenceData!$BL$241),"")</f>
        <v>52.681790509999999</v>
      </c>
      <c r="BM241">
        <f ca="1">IFERROR(IF(0=LEN(ReferenceData!$BM$241),"",ReferenceData!$BM$241),"")</f>
        <v>65.742301819999994</v>
      </c>
    </row>
    <row r="242" spans="1:65">
      <c r="A242" t="str">
        <f>IFERROR(IF(0=LEN(ReferenceData!$A$242),"",ReferenceData!$A$242),"")</f>
        <v xml:space="preserve">    Welltower Inc</v>
      </c>
      <c r="B242" t="str">
        <f>IFERROR(IF(0=LEN(ReferenceData!$B$242),"",ReferenceData!$B$242),"")</f>
        <v>HCN US Equity</v>
      </c>
      <c r="C242" t="str">
        <f>IFERROR(IF(0=LEN(ReferenceData!$C$242),"",ReferenceData!$C$242),"")</f>
        <v>RR106</v>
      </c>
      <c r="D242" t="str">
        <f>IFERROR(IF(0=LEN(ReferenceData!$D$242),"",ReferenceData!$D$242),"")</f>
        <v>FFO_PAYOUT_RATIO</v>
      </c>
      <c r="E242" t="str">
        <f>IFERROR(IF(0=LEN(ReferenceData!$E$242),"",ReferenceData!$E$242),"")</f>
        <v>动态</v>
      </c>
      <c r="F242" t="str">
        <f ca="1">IFERROR(IF(0=LEN(ReferenceData!$F$242),"",ReferenceData!$F$242),"")</f>
        <v/>
      </c>
      <c r="G242">
        <f ca="1">IFERROR(IF(0=LEN(ReferenceData!$G$242),"",ReferenceData!$G$242),"")</f>
        <v>179.8430735</v>
      </c>
      <c r="H242">
        <f ca="1">IFERROR(IF(0=LEN(ReferenceData!$H$242),"",ReferenceData!$H$242),"")</f>
        <v>108.584221</v>
      </c>
      <c r="I242">
        <f ca="1">IFERROR(IF(0=LEN(ReferenceData!$I$242),"",ReferenceData!$I$242),"")</f>
        <v>82.956341219999999</v>
      </c>
      <c r="J242">
        <f ca="1">IFERROR(IF(0=LEN(ReferenceData!$J$242),"",ReferenceData!$J$242),"")</f>
        <v>102.9990432</v>
      </c>
      <c r="K242">
        <f ca="1">IFERROR(IF(0=LEN(ReferenceData!$K$242),"",ReferenceData!$K$242),"")</f>
        <v>83.522386940000004</v>
      </c>
      <c r="L242">
        <f ca="1">IFERROR(IF(0=LEN(ReferenceData!$L$242),"",ReferenceData!$L$242),"")</f>
        <v>76.811287230000005</v>
      </c>
      <c r="M242">
        <f ca="1">IFERROR(IF(0=LEN(ReferenceData!$M$242),"",ReferenceData!$M$242),"")</f>
        <v>73.557478399999994</v>
      </c>
      <c r="N242">
        <f ca="1">IFERROR(IF(0=LEN(ReferenceData!$N$242),"",ReferenceData!$N$242),"")</f>
        <v>78.149280279999999</v>
      </c>
      <c r="O242">
        <f ca="1">IFERROR(IF(0=LEN(ReferenceData!$O$242),"",ReferenceData!$O$242),"")</f>
        <v>87.733956070000005</v>
      </c>
      <c r="P242">
        <f ca="1">IFERROR(IF(0=LEN(ReferenceData!$P$242),"",ReferenceData!$P$242),"")</f>
        <v>73.976503649999998</v>
      </c>
      <c r="Q242">
        <f ca="1">IFERROR(IF(0=LEN(ReferenceData!$Q$242),"",ReferenceData!$Q$242),"")</f>
        <v>84.954549189999994</v>
      </c>
      <c r="R242">
        <f ca="1">IFERROR(IF(0=LEN(ReferenceData!$R$242),"",ReferenceData!$R$242),"")</f>
        <v>79.177632529999997</v>
      </c>
      <c r="S242">
        <f ca="1">IFERROR(IF(0=LEN(ReferenceData!$S$242),"",ReferenceData!$S$242),"")</f>
        <v>91.508435379999995</v>
      </c>
      <c r="T242">
        <f ca="1">IFERROR(IF(0=LEN(ReferenceData!$T$242),"",ReferenceData!$T$242),"")</f>
        <v>78.144909200000001</v>
      </c>
      <c r="U242">
        <f ca="1">IFERROR(IF(0=LEN(ReferenceData!$U$242),"",ReferenceData!$U$242),"")</f>
        <v>82.859336139999996</v>
      </c>
      <c r="V242">
        <f ca="1">IFERROR(IF(0=LEN(ReferenceData!$V$242),"",ReferenceData!$V$242),"")</f>
        <v>79.916413610000006</v>
      </c>
      <c r="W242">
        <f ca="1">IFERROR(IF(0=LEN(ReferenceData!$W$242),"",ReferenceData!$W$242),"")</f>
        <v>83.352950500000006</v>
      </c>
      <c r="X242">
        <f ca="1">IFERROR(IF(0=LEN(ReferenceData!$X$242),"",ReferenceData!$X$242),"")</f>
        <v>84.721892019999999</v>
      </c>
      <c r="Y242">
        <f ca="1">IFERROR(IF(0=LEN(ReferenceData!$Y$242),"",ReferenceData!$Y$242),"")</f>
        <v>86.822071739999998</v>
      </c>
      <c r="Z242">
        <f ca="1">IFERROR(IF(0=LEN(ReferenceData!$Z$242),"",ReferenceData!$Z$242),"")</f>
        <v>116.7768818</v>
      </c>
      <c r="AA242">
        <f ca="1">IFERROR(IF(0=LEN(ReferenceData!$AA$242),"",ReferenceData!$AA$242),"")</f>
        <v>93.575911860000005</v>
      </c>
      <c r="AB242">
        <f ca="1">IFERROR(IF(0=LEN(ReferenceData!$AB$242),"",ReferenceData!$AB$242),"")</f>
        <v>93.385854440000003</v>
      </c>
      <c r="AC242">
        <f ca="1">IFERROR(IF(0=LEN(ReferenceData!$AC$242),"",ReferenceData!$AC$242),"")</f>
        <v>100.4134717</v>
      </c>
      <c r="AD242">
        <f ca="1">IFERROR(IF(0=LEN(ReferenceData!$AD$242),"",ReferenceData!$AD$242),"")</f>
        <v>87.221784850000006</v>
      </c>
      <c r="AE242">
        <f ca="1">IFERROR(IF(0=LEN(ReferenceData!$AE$242),"",ReferenceData!$AE$242),"")</f>
        <v>86.094246690000006</v>
      </c>
      <c r="AF242">
        <f ca="1">IFERROR(IF(0=LEN(ReferenceData!$AF$242),"",ReferenceData!$AF$242),"")</f>
        <v>84.512156200000007</v>
      </c>
      <c r="AG242">
        <f ca="1">IFERROR(IF(0=LEN(ReferenceData!$AG$242),"",ReferenceData!$AG$242),"")</f>
        <v>84.602114299999997</v>
      </c>
      <c r="AH242">
        <f ca="1">IFERROR(IF(0=LEN(ReferenceData!$AH$242),"",ReferenceData!$AH$242),"")</f>
        <v>143.61110719999999</v>
      </c>
      <c r="AI242">
        <f ca="1">IFERROR(IF(0=LEN(ReferenceData!$AI$242),"",ReferenceData!$AI$242),"")</f>
        <v>112.03354880000001</v>
      </c>
      <c r="AJ242">
        <f ca="1">IFERROR(IF(0=LEN(ReferenceData!$AJ$242),"",ReferenceData!$AJ$242),"")</f>
        <v>222.5586442</v>
      </c>
      <c r="AK242">
        <f ca="1">IFERROR(IF(0=LEN(ReferenceData!$AK$242),"",ReferenceData!$AK$242),"")</f>
        <v>91.684559829999998</v>
      </c>
      <c r="AL242">
        <f ca="1">IFERROR(IF(0=LEN(ReferenceData!$AL$242),"",ReferenceData!$AL$242),"")</f>
        <v>133.97847419999999</v>
      </c>
      <c r="AM242">
        <f ca="1">IFERROR(IF(0=LEN(ReferenceData!$AM$242),"",ReferenceData!$AM$242),"")</f>
        <v>148.22526199999999</v>
      </c>
      <c r="AN242">
        <f ca="1">IFERROR(IF(0=LEN(ReferenceData!$AN$242),"",ReferenceData!$AN$242),"")</f>
        <v>128.1970689</v>
      </c>
      <c r="AO242">
        <f ca="1">IFERROR(IF(0=LEN(ReferenceData!$AO$242),"",ReferenceData!$AO$242),"")</f>
        <v>84.508525120000002</v>
      </c>
      <c r="AP242">
        <f ca="1">IFERROR(IF(0=LEN(ReferenceData!$AP$242),"",ReferenceData!$AP$242),"")</f>
        <v>89.057921759999999</v>
      </c>
      <c r="AQ242">
        <f ca="1">IFERROR(IF(0=LEN(ReferenceData!$AQ$242),"",ReferenceData!$AQ$242),"")</f>
        <v>226.81584419999999</v>
      </c>
      <c r="AR242">
        <f ca="1">IFERROR(IF(0=LEN(ReferenceData!$AR$242),"",ReferenceData!$AR$242),"")</f>
        <v>79.090259529999997</v>
      </c>
      <c r="AS242">
        <f ca="1">IFERROR(IF(0=LEN(ReferenceData!$AS$242),"",ReferenceData!$AS$242),"")</f>
        <v>79.077840719999998</v>
      </c>
      <c r="AT242">
        <f ca="1">IFERROR(IF(0=LEN(ReferenceData!$AT$242),"",ReferenceData!$AT$242),"")</f>
        <v>83.233881530000005</v>
      </c>
      <c r="AU242">
        <f ca="1">IFERROR(IF(0=LEN(ReferenceData!$AU$242),"",ReferenceData!$AU$242),"")</f>
        <v>177.11332089999999</v>
      </c>
      <c r="AV242">
        <f ca="1">IFERROR(IF(0=LEN(ReferenceData!$AV$242),"",ReferenceData!$AV$242),"")</f>
        <v>83.45386182</v>
      </c>
      <c r="AW242">
        <f ca="1">IFERROR(IF(0=LEN(ReferenceData!$AW$242),"",ReferenceData!$AW$242),"")</f>
        <v>86.996448760000007</v>
      </c>
      <c r="AX242">
        <f ca="1">IFERROR(IF(0=LEN(ReferenceData!$AX$242),"",ReferenceData!$AX$242),"")</f>
        <v>39.648086540000001</v>
      </c>
      <c r="AY242">
        <f ca="1">IFERROR(IF(0=LEN(ReferenceData!$AY$242),"",ReferenceData!$AY$242),"")</f>
        <v>141.81450169999999</v>
      </c>
      <c r="AZ242">
        <f ca="1">IFERROR(IF(0=LEN(ReferenceData!$AZ$242),"",ReferenceData!$AZ$242),"")</f>
        <v>87.257375870000004</v>
      </c>
      <c r="BA242">
        <f ca="1">IFERROR(IF(0=LEN(ReferenceData!$BA$242),"",ReferenceData!$BA$242),"")</f>
        <v>85.874689340000003</v>
      </c>
      <c r="BB242">
        <f ca="1">IFERROR(IF(0=LEN(ReferenceData!$BB$242),"",ReferenceData!$BB$242),"")</f>
        <v>87.834308649999997</v>
      </c>
      <c r="BC242">
        <f ca="1">IFERROR(IF(0=LEN(ReferenceData!$BC$242),"",ReferenceData!$BC$242),"")</f>
        <v>174.790401</v>
      </c>
      <c r="BD242">
        <f ca="1">IFERROR(IF(0=LEN(ReferenceData!$BD$242),"",ReferenceData!$BD$242),"")</f>
        <v>79.804645620000002</v>
      </c>
      <c r="BE242">
        <f ca="1">IFERROR(IF(0=LEN(ReferenceData!$BE$242),"",ReferenceData!$BE$242),"")</f>
        <v>170.75719359999999</v>
      </c>
      <c r="BF242">
        <f ca="1">IFERROR(IF(0=LEN(ReferenceData!$BF$242),"",ReferenceData!$BF$242),"")</f>
        <v>83.309405100000006</v>
      </c>
      <c r="BG242">
        <f ca="1">IFERROR(IF(0=LEN(ReferenceData!$BG$242),"",ReferenceData!$BG$242),"")</f>
        <v>85.083109919999998</v>
      </c>
      <c r="BH242" t="str">
        <f ca="1">IFERROR(IF(0=LEN(ReferenceData!$BH$242),"",ReferenceData!$BH$242),"")</f>
        <v/>
      </c>
      <c r="BI242" t="str">
        <f ca="1">IFERROR(IF(0=LEN(ReferenceData!$BI$242),"",ReferenceData!$BI$242),"")</f>
        <v/>
      </c>
      <c r="BJ242" t="str">
        <f ca="1">IFERROR(IF(0=LEN(ReferenceData!$BJ$242),"",ReferenceData!$BJ$242),"")</f>
        <v/>
      </c>
      <c r="BK242">
        <f ca="1">IFERROR(IF(0=LEN(ReferenceData!$BK$242),"",ReferenceData!$BK$242),"")</f>
        <v>80.343352949999996</v>
      </c>
      <c r="BL242" t="str">
        <f ca="1">IFERROR(IF(0=LEN(ReferenceData!$BL$242),"",ReferenceData!$BL$242),"")</f>
        <v/>
      </c>
      <c r="BM242" t="str">
        <f ca="1">IFERROR(IF(0=LEN(ReferenceData!$BM$242),"",ReferenceData!$BM$242),"")</f>
        <v/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508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ReferenceData!$C$499</f>
        <v>2018 Q1</v>
      </c>
      <c r="G2" s="1" t="str">
        <f>ReferenceData!$D$499</f>
        <v>2017 Q4</v>
      </c>
      <c r="H2" s="1" t="str">
        <f>ReferenceData!$E$499</f>
        <v>2017 Q3</v>
      </c>
      <c r="I2" s="1" t="str">
        <f>ReferenceData!$F$499</f>
        <v>2017 Q2</v>
      </c>
      <c r="J2" s="1" t="str">
        <f>ReferenceData!$G$499</f>
        <v>2017 Q1</v>
      </c>
      <c r="K2" s="1" t="str">
        <f>ReferenceData!$H$499</f>
        <v>2016 Q4</v>
      </c>
      <c r="L2" s="1" t="str">
        <f>ReferenceData!$I$499</f>
        <v>2016 Q3</v>
      </c>
      <c r="M2" s="1" t="str">
        <f>ReferenceData!$J$499</f>
        <v>2016 Q2</v>
      </c>
      <c r="N2" s="1" t="str">
        <f>ReferenceData!$K$499</f>
        <v>2016 Q1</v>
      </c>
      <c r="O2" s="1" t="str">
        <f>ReferenceData!$L$499</f>
        <v>2015 Q4</v>
      </c>
      <c r="P2" s="1" t="str">
        <f>ReferenceData!$M$499</f>
        <v>2015 Q3</v>
      </c>
      <c r="Q2" s="1" t="str">
        <f>ReferenceData!$N$499</f>
        <v>2015 Q2</v>
      </c>
      <c r="R2" s="1" t="str">
        <f>ReferenceData!$O$499</f>
        <v>2015 Q1</v>
      </c>
      <c r="S2" s="1" t="str">
        <f>ReferenceData!$P$499</f>
        <v>2014 Q4</v>
      </c>
      <c r="T2" s="1" t="str">
        <f>ReferenceData!$Q$499</f>
        <v>2014 Q3</v>
      </c>
      <c r="U2" s="1" t="str">
        <f>ReferenceData!$R$499</f>
        <v>2014 Q2</v>
      </c>
      <c r="V2" s="1" t="str">
        <f>ReferenceData!$S$499</f>
        <v>2014 Q1</v>
      </c>
      <c r="W2" s="1" t="str">
        <f>ReferenceData!$T$499</f>
        <v>2013 Q4</v>
      </c>
      <c r="X2" s="1" t="str">
        <f>ReferenceData!$U$499</f>
        <v>2013 Q3</v>
      </c>
      <c r="Y2" s="1" t="str">
        <f>ReferenceData!$V$499</f>
        <v>2013 Q2</v>
      </c>
      <c r="Z2" s="1" t="str">
        <f>ReferenceData!$W$499</f>
        <v>2013 Q1</v>
      </c>
      <c r="AA2" s="1" t="str">
        <f>ReferenceData!$X$499</f>
        <v>2012 Q4</v>
      </c>
      <c r="AB2" s="1" t="str">
        <f>ReferenceData!$Y$499</f>
        <v>2012 Q3</v>
      </c>
      <c r="AC2" s="1" t="str">
        <f>ReferenceData!$Z$499</f>
        <v>2012 Q2</v>
      </c>
      <c r="AD2" s="1" t="str">
        <f>ReferenceData!$AA$499</f>
        <v>2012 Q1</v>
      </c>
      <c r="AE2" s="1" t="str">
        <f>ReferenceData!$AB$499</f>
        <v>2011 Q4</v>
      </c>
      <c r="AF2" s="1" t="str">
        <f>ReferenceData!$AC$499</f>
        <v>2011 Q3</v>
      </c>
      <c r="AG2" s="1" t="str">
        <f>ReferenceData!$AD$499</f>
        <v>2011 Q2</v>
      </c>
      <c r="AH2" s="1" t="str">
        <f>ReferenceData!$AE$499</f>
        <v>2011 Q1</v>
      </c>
      <c r="AI2" s="1" t="str">
        <f>ReferenceData!$AF$499</f>
        <v>2010 Q4</v>
      </c>
      <c r="AJ2" s="1" t="str">
        <f>ReferenceData!$AG$499</f>
        <v>2010 Q3</v>
      </c>
      <c r="AK2" s="1" t="str">
        <f>ReferenceData!$AH$499</f>
        <v>2010 Q2</v>
      </c>
      <c r="AL2" s="1" t="str">
        <f>ReferenceData!$AI$499</f>
        <v>2010 Q1</v>
      </c>
      <c r="AM2" s="1" t="str">
        <f>ReferenceData!$AJ$499</f>
        <v>2009 Q4</v>
      </c>
      <c r="AN2" s="1" t="str">
        <f>ReferenceData!$AK$499</f>
        <v>2009 Q3</v>
      </c>
      <c r="AO2" s="1" t="str">
        <f>ReferenceData!$AL$499</f>
        <v>2009 Q2</v>
      </c>
      <c r="AP2" s="1" t="str">
        <f>ReferenceData!$AM$499</f>
        <v>2009 Q1</v>
      </c>
      <c r="AQ2" s="1" t="str">
        <f>ReferenceData!$AN$499</f>
        <v>2008 Q4</v>
      </c>
      <c r="AR2" s="1" t="str">
        <f>ReferenceData!$AO$499</f>
        <v>2008 Q3</v>
      </c>
      <c r="AS2" s="1" t="str">
        <f>ReferenceData!$AP$499</f>
        <v>2008 Q2</v>
      </c>
      <c r="AT2" s="1" t="str">
        <f>ReferenceData!$AQ$499</f>
        <v>2008 Q1</v>
      </c>
      <c r="AU2" s="1" t="str">
        <f>ReferenceData!$AR$499</f>
        <v>2007 Q4</v>
      </c>
      <c r="AV2" s="1" t="str">
        <f>ReferenceData!$AS$499</f>
        <v>2007 Q3</v>
      </c>
      <c r="AW2" s="1" t="str">
        <f>ReferenceData!$AT$499</f>
        <v>2007 Q2</v>
      </c>
      <c r="AX2" s="1" t="str">
        <f>ReferenceData!$AU$499</f>
        <v>2007 Q1</v>
      </c>
      <c r="AY2" s="1" t="str">
        <f>ReferenceData!$AV$499</f>
        <v>2006 Q4</v>
      </c>
      <c r="AZ2" s="1" t="str">
        <f>ReferenceData!$AW$499</f>
        <v>2006 Q3</v>
      </c>
      <c r="BA2" s="1" t="str">
        <f>ReferenceData!$AX$499</f>
        <v>2006 Q2</v>
      </c>
      <c r="BB2" s="1" t="str">
        <f>ReferenceData!$AY$499</f>
        <v>2006 Q1</v>
      </c>
      <c r="BC2" s="1" t="str">
        <f>ReferenceData!$AZ$499</f>
        <v>2005 Q4</v>
      </c>
      <c r="BD2" s="1" t="str">
        <f>ReferenceData!$BA$499</f>
        <v>2005 Q3</v>
      </c>
      <c r="BE2" s="1" t="str">
        <f>ReferenceData!$BB$499</f>
        <v>2005 Q2</v>
      </c>
      <c r="BF2" s="1" t="str">
        <f>ReferenceData!$BC$499</f>
        <v>2005 Q1</v>
      </c>
      <c r="BG2" s="1" t="str">
        <f>ReferenceData!$BD$499</f>
        <v>2004 Q4</v>
      </c>
      <c r="BH2" s="1" t="str">
        <f>ReferenceData!$BE$499</f>
        <v>2004 Q3</v>
      </c>
      <c r="BI2" s="1" t="str">
        <f>ReferenceData!$BF$499</f>
        <v>2004 Q2</v>
      </c>
      <c r="BJ2" s="1" t="str">
        <f>ReferenceData!$BG$499</f>
        <v>2004 Q1</v>
      </c>
      <c r="BK2" s="1" t="str">
        <f>ReferenceData!$BH$499</f>
        <v>2003 Q4</v>
      </c>
      <c r="BL2" s="1" t="str">
        <f>ReferenceData!$BI$499</f>
        <v>2003 Q3</v>
      </c>
      <c r="BM2" s="1" t="str">
        <f>ReferenceData!$BJ$499</f>
        <v>2003 Q2</v>
      </c>
      <c r="BN2" t="str">
        <f>$C$499</f>
        <v>2018 Q1</v>
      </c>
      <c r="BO2" t="str">
        <f>$D$499</f>
        <v>2017 Q4</v>
      </c>
      <c r="BP2" t="str">
        <f>$E$499</f>
        <v>2017 Q3</v>
      </c>
      <c r="BQ2" t="str">
        <f>$F$499</f>
        <v>2017 Q2</v>
      </c>
      <c r="BR2" t="str">
        <f>$G$499</f>
        <v>2017 Q1</v>
      </c>
      <c r="BS2" t="str">
        <f>$H$499</f>
        <v>2016 Q4</v>
      </c>
      <c r="BT2" t="str">
        <f>$I$499</f>
        <v>2016 Q3</v>
      </c>
      <c r="BU2" t="str">
        <f>$J$499</f>
        <v>2016 Q2</v>
      </c>
      <c r="BV2" t="str">
        <f>$K$499</f>
        <v>2016 Q1</v>
      </c>
      <c r="BW2" t="str">
        <f>$L$499</f>
        <v>2015 Q4</v>
      </c>
      <c r="BX2" t="str">
        <f>$M$499</f>
        <v>2015 Q3</v>
      </c>
      <c r="BY2" t="str">
        <f>$N$499</f>
        <v>2015 Q2</v>
      </c>
      <c r="BZ2" t="str">
        <f>$O$499</f>
        <v>2015 Q1</v>
      </c>
      <c r="CA2" t="str">
        <f>$P$499</f>
        <v>2014 Q4</v>
      </c>
      <c r="CB2" t="str">
        <f>$Q$499</f>
        <v>2014 Q3</v>
      </c>
      <c r="CC2" t="str">
        <f>$R$499</f>
        <v>2014 Q2</v>
      </c>
      <c r="CD2" t="str">
        <f>$S$499</f>
        <v>2014 Q1</v>
      </c>
      <c r="CE2" t="str">
        <f>$T$499</f>
        <v>2013 Q4</v>
      </c>
      <c r="CF2" t="str">
        <f>$U$499</f>
        <v>2013 Q3</v>
      </c>
      <c r="CG2" t="str">
        <f>$V$499</f>
        <v>2013 Q2</v>
      </c>
      <c r="CH2" t="str">
        <f>$W$499</f>
        <v>2013 Q1</v>
      </c>
      <c r="CI2" t="str">
        <f>$X$499</f>
        <v>2012 Q4</v>
      </c>
      <c r="CJ2" t="str">
        <f>$Y$499</f>
        <v>2012 Q3</v>
      </c>
      <c r="CK2" t="str">
        <f>$Z$499</f>
        <v>2012 Q2</v>
      </c>
      <c r="CL2" t="str">
        <f>$AA$499</f>
        <v>2012 Q1</v>
      </c>
      <c r="CM2" t="str">
        <f>$AB$499</f>
        <v>2011 Q4</v>
      </c>
      <c r="CN2" t="str">
        <f>$AC$499</f>
        <v>2011 Q3</v>
      </c>
      <c r="CO2" t="str">
        <f>$AD$499</f>
        <v>2011 Q2</v>
      </c>
      <c r="CP2" t="str">
        <f>$AE$499</f>
        <v>2011 Q1</v>
      </c>
      <c r="CQ2" t="str">
        <f>$AF$499</f>
        <v>2010 Q4</v>
      </c>
      <c r="CR2" t="str">
        <f>$AG$499</f>
        <v>2010 Q3</v>
      </c>
      <c r="CS2" t="str">
        <f>$AH$499</f>
        <v>2010 Q2</v>
      </c>
      <c r="CT2" t="str">
        <f>$AI$499</f>
        <v>2010 Q1</v>
      </c>
      <c r="CU2" t="str">
        <f>$AJ$499</f>
        <v>2009 Q4</v>
      </c>
      <c r="CV2" t="str">
        <f>$AK$499</f>
        <v>2009 Q3</v>
      </c>
      <c r="CW2" t="str">
        <f>$AL$499</f>
        <v>2009 Q2</v>
      </c>
      <c r="CX2" t="str">
        <f>$AM$499</f>
        <v>2009 Q1</v>
      </c>
      <c r="CY2" t="str">
        <f>$AN$499</f>
        <v>2008 Q4</v>
      </c>
      <c r="CZ2" t="str">
        <f>$AO$499</f>
        <v>2008 Q3</v>
      </c>
      <c r="DA2" t="str">
        <f>$AP$499</f>
        <v>2008 Q2</v>
      </c>
      <c r="DB2" t="str">
        <f>$AQ$499</f>
        <v>2008 Q1</v>
      </c>
      <c r="DC2" t="str">
        <f>$AR$499</f>
        <v>2007 Q4</v>
      </c>
      <c r="DD2" t="str">
        <f>$AS$499</f>
        <v>2007 Q3</v>
      </c>
      <c r="DE2" t="str">
        <f>$AT$499</f>
        <v>2007 Q2</v>
      </c>
      <c r="DF2" t="str">
        <f>$AU$499</f>
        <v>2007 Q1</v>
      </c>
      <c r="DG2" t="str">
        <f>$AV$499</f>
        <v>2006 Q4</v>
      </c>
      <c r="DH2" t="str">
        <f>$AW$499</f>
        <v>2006 Q3</v>
      </c>
      <c r="DI2" t="str">
        <f>$AX$499</f>
        <v>2006 Q2</v>
      </c>
      <c r="DJ2" t="str">
        <f>$AY$499</f>
        <v>2006 Q1</v>
      </c>
      <c r="DK2" t="str">
        <f>$AZ$499</f>
        <v>2005 Q4</v>
      </c>
      <c r="DL2" t="str">
        <f>$BA$499</f>
        <v>2005 Q3</v>
      </c>
      <c r="DM2" t="str">
        <f>$BB$499</f>
        <v>2005 Q2</v>
      </c>
      <c r="DN2" t="str">
        <f>$BC$499</f>
        <v>2005 Q1</v>
      </c>
      <c r="DO2" t="str">
        <f>$BD$499</f>
        <v>2004 Q4</v>
      </c>
      <c r="DP2" t="str">
        <f>$BE$499</f>
        <v>2004 Q3</v>
      </c>
      <c r="DQ2" t="str">
        <f>$BF$499</f>
        <v>2004 Q2</v>
      </c>
      <c r="DR2" t="str">
        <f>$BG$499</f>
        <v>2004 Q1</v>
      </c>
      <c r="DS2" t="str">
        <f>$BH$499</f>
        <v>2003 Q4</v>
      </c>
      <c r="DT2" t="str">
        <f>$BI$499</f>
        <v>2003 Q3</v>
      </c>
      <c r="DU2" t="str">
        <f>$BJ$499</f>
        <v>2003 Q2</v>
      </c>
    </row>
    <row r="3" spans="1:125">
      <c r="A3" t="str">
        <f>"租赁收入"</f>
        <v>租赁收入</v>
      </c>
      <c r="B3" t="str">
        <f>""</f>
        <v/>
      </c>
      <c r="E3" t="str">
        <f>"Median"</f>
        <v>Median</v>
      </c>
      <c r="F3" t="str">
        <f ca="1">IF(ISERROR(IF(MEDIAN($F$4:$F$14) = 0, "", MEDIAN($F$4:$F$14))), "", (IF(MEDIAN($F$4:$F$14) = 0, "", MEDIAN($F$4:$F$14))))</f>
        <v/>
      </c>
      <c r="G3">
        <f ca="1">IF(ISERROR(IF(MEDIAN($G$4:$G$14) = 0, "", MEDIAN($G$4:$G$14))), "", (IF(MEDIAN($G$4:$G$14) = 0, "", MEDIAN($G$4:$G$14))))</f>
        <v>187.38900000000001</v>
      </c>
      <c r="H3">
        <f ca="1">IF(ISERROR(IF(MEDIAN($H$4:$H$14) = 0, "", MEDIAN($H$4:$H$14))), "", (IF(MEDIAN($H$4:$H$14) = 0, "", MEDIAN($H$4:$H$14))))</f>
        <v>185.054</v>
      </c>
      <c r="I3">
        <f ca="1">IF(ISERROR(IF(MEDIAN($I$4:$I$14) = 0, "", MEDIAN($I$4:$I$14))), "", (IF(MEDIAN($I$4:$I$14) = 0, "", MEDIAN($I$4:$I$14))))</f>
        <v>166.64699999999999</v>
      </c>
      <c r="J3">
        <f ca="1">IF(ISERROR(IF(MEDIAN($J$4:$J$14) = 0, "", MEDIAN($J$4:$J$14))), "", (IF(MEDIAN($J$4:$J$14) = 0, "", MEDIAN($J$4:$J$14))))</f>
        <v>166.44300000000001</v>
      </c>
      <c r="K3">
        <f ca="1">IF(ISERROR(IF(MEDIAN($K$4:$K$14) = 0, "", MEDIAN($K$4:$K$14))), "", (IF(MEDIAN($K$4:$K$14) = 0, "", MEDIAN($K$4:$K$14))))</f>
        <v>175.27699999999999</v>
      </c>
      <c r="L3">
        <f ca="1">IF(ISERROR(IF(MEDIAN($L$4:$L$14) = 0, "", MEDIAN($L$4:$L$14))), "", (IF(MEDIAN($L$4:$L$14) = 0, "", MEDIAN($L$4:$L$14))))</f>
        <v>165.50299999999999</v>
      </c>
      <c r="M3">
        <f ca="1">IF(ISERROR(IF(MEDIAN($M$4:$M$14) = 0, "", MEDIAN($M$4:$M$14))), "", (IF(MEDIAN($M$4:$M$14) = 0, "", MEDIAN($M$4:$M$14))))</f>
        <v>163.99700000000001</v>
      </c>
      <c r="N3">
        <f ca="1">IF(ISERROR(IF(MEDIAN($N$4:$N$14) = 0, "", MEDIAN($N$4:$N$14))), "", (IF(MEDIAN($N$4:$N$14) = 0, "", MEDIAN($N$4:$N$14))))</f>
        <v>161.42099999999999</v>
      </c>
      <c r="O3">
        <f ca="1">IF(ISERROR(IF(MEDIAN($O$4:$O$14) = 0, "", MEDIAN($O$4:$O$14))), "", (IF(MEDIAN($O$4:$O$14) = 0, "", MEDIAN($O$4:$O$14))))</f>
        <v>170.70599999999999</v>
      </c>
      <c r="P3">
        <f ca="1">IF(ISERROR(IF(MEDIAN($P$4:$P$14) = 0, "", MEDIAN($P$4:$P$14))), "", (IF(MEDIAN($P$4:$P$14) = 0, "", MEDIAN($P$4:$P$14))))</f>
        <v>158.863</v>
      </c>
      <c r="Q3">
        <f ca="1">IF(ISERROR(IF(MEDIAN($Q$4:$Q$14) = 0, "", MEDIAN($Q$4:$Q$14))), "", (IF(MEDIAN($Q$4:$Q$14) = 0, "", MEDIAN($Q$4:$Q$14))))</f>
        <v>155.54599999999999</v>
      </c>
      <c r="R3">
        <f ca="1">IF(ISERROR(IF(MEDIAN($R$4:$R$14) = 0, "", MEDIAN($R$4:$R$14))), "", (IF(MEDIAN($R$4:$R$14) = 0, "", MEDIAN($R$4:$R$14))))</f>
        <v>130.547</v>
      </c>
      <c r="S3">
        <f ca="1">IF(ISERROR(IF(MEDIAN($S$4:$S$14) = 0, "", MEDIAN($S$4:$S$14))), "", (IF(MEDIAN($S$4:$S$14) = 0, "", MEDIAN($S$4:$S$14))))</f>
        <v>131.19450000000001</v>
      </c>
      <c r="T3">
        <f ca="1">IF(ISERROR(IF(MEDIAN($T$4:$T$14) = 0, "", MEDIAN($T$4:$T$14))), "", (IF(MEDIAN($T$4:$T$14) = 0, "", MEDIAN($T$4:$T$14))))</f>
        <v>124.68049999999999</v>
      </c>
      <c r="U3">
        <f ca="1">IF(ISERROR(IF(MEDIAN($U$4:$U$14) = 0, "", MEDIAN($U$4:$U$14))), "", (IF(MEDIAN($U$4:$U$14) = 0, "", MEDIAN($U$4:$U$14))))</f>
        <v>119.02850000000001</v>
      </c>
      <c r="V3">
        <f ca="1">IF(ISERROR(IF(MEDIAN($V$4:$V$14) = 0, "", MEDIAN($V$4:$V$14))), "", (IF(MEDIAN($V$4:$V$14) = 0, "", MEDIAN($V$4:$V$14))))</f>
        <v>111.02850000000001</v>
      </c>
      <c r="W3">
        <f ca="1">IF(ISERROR(IF(MEDIAN($W$4:$W$14) = 0, "", MEDIAN($W$4:$W$14))), "", (IF(MEDIAN($W$4:$W$14) = 0, "", MEDIAN($W$4:$W$14))))</f>
        <v>111.61750000000001</v>
      </c>
      <c r="X3">
        <f ca="1">IF(ISERROR(IF(MEDIAN($X$4:$X$14) = 0, "", MEDIAN($X$4:$X$14))), "", (IF(MEDIAN($X$4:$X$14) = 0, "", MEDIAN($X$4:$X$14))))</f>
        <v>103.078</v>
      </c>
      <c r="Y3">
        <f ca="1">IF(ISERROR(IF(MEDIAN($Y$4:$Y$14) = 0, "", MEDIAN($Y$4:$Y$14))), "", (IF(MEDIAN($Y$4:$Y$14) = 0, "", MEDIAN($Y$4:$Y$14))))</f>
        <v>102.68299999999999</v>
      </c>
      <c r="Z3">
        <f ca="1">IF(ISERROR(IF(MEDIAN($Z$4:$Z$14) = 0, "", MEDIAN($Z$4:$Z$14))), "", (IF(MEDIAN($Z$4:$Z$14) = 0, "", MEDIAN($Z$4:$Z$14))))</f>
        <v>102.48050000000001</v>
      </c>
      <c r="AA3">
        <f ca="1">IF(ISERROR(IF(MEDIAN($AA$4:$AA$14) = 0, "", MEDIAN($AA$4:$AA$14))), "", (IF(MEDIAN($AA$4:$AA$14) = 0, "", MEDIAN($AA$4:$AA$14))))</f>
        <v>104.62899999999999</v>
      </c>
      <c r="AB3">
        <f ca="1">IF(ISERROR(IF(MEDIAN($AB$4:$AB$14) = 0, "", MEDIAN($AB$4:$AB$14))), "", (IF(MEDIAN($AB$4:$AB$14) = 0, "", MEDIAN($AB$4:$AB$14))))</f>
        <v>95.962999999999994</v>
      </c>
      <c r="AC3">
        <f ca="1">IF(ISERROR(IF(MEDIAN($AC$4:$AC$14) = 0, "", MEDIAN($AC$4:$AC$14))), "", (IF(MEDIAN($AC$4:$AC$14) = 0, "", MEDIAN($AC$4:$AC$14))))</f>
        <v>91.817499999999995</v>
      </c>
      <c r="AD3">
        <f ca="1">IF(ISERROR(IF(MEDIAN($AD$4:$AD$14) = 0, "", MEDIAN($AD$4:$AD$14))), "", (IF(MEDIAN($AD$4:$AD$14) = 0, "", MEDIAN($AD$4:$AD$14))))</f>
        <v>92.74</v>
      </c>
      <c r="AE3">
        <f ca="1">IF(ISERROR(IF(MEDIAN($AE$4:$AE$14) = 0, "", MEDIAN($AE$4:$AE$14))), "", (IF(MEDIAN($AE$4:$AE$14) = 0, "", MEDIAN($AE$4:$AE$14))))</f>
        <v>96.176500000000004</v>
      </c>
      <c r="AF3">
        <f ca="1">IF(ISERROR(IF(MEDIAN($AF$4:$AF$14) = 0, "", MEDIAN($AF$4:$AF$14))), "", (IF(MEDIAN($AF$4:$AF$14) = 0, "", MEDIAN($AF$4:$AF$14))))</f>
        <v>91.852000000000004</v>
      </c>
      <c r="AG3">
        <f ca="1">IF(ISERROR(IF(MEDIAN($AG$4:$AG$14) = 0, "", MEDIAN($AG$4:$AG$14))), "", (IF(MEDIAN($AG$4:$AG$14) = 0, "", MEDIAN($AG$4:$AG$14))))</f>
        <v>84.402500000000003</v>
      </c>
      <c r="AH3">
        <f ca="1">IF(ISERROR(IF(MEDIAN($AH$4:$AH$14) = 0, "", MEDIAN($AH$4:$AH$14))), "", (IF(MEDIAN($AH$4:$AH$14) = 0, "", MEDIAN($AH$4:$AH$14))))</f>
        <v>83.897500000000008</v>
      </c>
      <c r="AI3">
        <f ca="1">IF(ISERROR(IF(MEDIAN($AI$4:$AI$14) = 0, "", MEDIAN($AI$4:$AI$14))), "", (IF(MEDIAN($AI$4:$AI$14) = 0, "", MEDIAN($AI$4:$AI$14))))</f>
        <v>97.363</v>
      </c>
      <c r="AJ3">
        <f ca="1">IF(ISERROR(IF(MEDIAN($AJ$4:$AJ$14) = 0, "", MEDIAN($AJ$4:$AJ$14))), "", (IF(MEDIAN($AJ$4:$AJ$14) = 0, "", MEDIAN($AJ$4:$AJ$14))))</f>
        <v>80.960999999999999</v>
      </c>
      <c r="AK3">
        <f ca="1">IF(ISERROR(IF(MEDIAN($AK$4:$AK$14) = 0, "", MEDIAN($AK$4:$AK$14))), "", (IF(MEDIAN($AK$4:$AK$14) = 0, "", MEDIAN($AK$4:$AK$14))))</f>
        <v>80.765000000000001</v>
      </c>
      <c r="AL3">
        <f ca="1">IF(ISERROR(IF(MEDIAN($AL$4:$AL$14) = 0, "", MEDIAN($AL$4:$AL$14))), "", (IF(MEDIAN($AL$4:$AL$14) = 0, "", MEDIAN($AL$4:$AL$14))))</f>
        <v>80.447000000000003</v>
      </c>
      <c r="AM3">
        <f ca="1">IF(ISERROR(IF(MEDIAN($AM$4:$AM$14) = 0, "", MEDIAN($AM$4:$AM$14))), "", (IF(MEDIAN($AM$4:$AM$14) = 0, "", MEDIAN($AM$4:$AM$14))))</f>
        <v>100.521</v>
      </c>
      <c r="AN3">
        <f ca="1">IF(ISERROR(IF(MEDIAN($AN$4:$AN$14) = 0, "", MEDIAN($AN$4:$AN$14))), "", (IF(MEDIAN($AN$4:$AN$14) = 0, "", MEDIAN($AN$4:$AN$14))))</f>
        <v>93.329499999999996</v>
      </c>
      <c r="AO3">
        <f ca="1">IF(ISERROR(IF(MEDIAN($AO$4:$AO$14) = 0, "", MEDIAN($AO$4:$AO$14))), "", (IF(MEDIAN($AO$4:$AO$14) = 0, "", MEDIAN($AO$4:$AO$14))))</f>
        <v>90.76400000000001</v>
      </c>
      <c r="AP3">
        <f ca="1">IF(ISERROR(IF(MEDIAN($AP$4:$AP$14) = 0, "", MEDIAN($AP$4:$AP$14))), "", (IF(MEDIAN($AP$4:$AP$14) = 0, "", MEDIAN($AP$4:$AP$14))))</f>
        <v>95.387499999999989</v>
      </c>
      <c r="AQ3">
        <f ca="1">IF(ISERROR(IF(MEDIAN($AQ$4:$AQ$14) = 0, "", MEDIAN($AQ$4:$AQ$14))), "", (IF(MEDIAN($AQ$4:$AQ$14) = 0, "", MEDIAN($AQ$4:$AQ$14))))</f>
        <v>94.0535</v>
      </c>
      <c r="AR3">
        <f ca="1">IF(ISERROR(IF(MEDIAN($AR$4:$AR$14) = 0, "", MEDIAN($AR$4:$AR$14))), "", (IF(MEDIAN($AR$4:$AR$14) = 0, "", MEDIAN($AR$4:$AR$14))))</f>
        <v>84.394000000000005</v>
      </c>
      <c r="AS3">
        <f ca="1">IF(ISERROR(IF(MEDIAN($AS$4:$AS$14) = 0, "", MEDIAN($AS$4:$AS$14))), "", (IF(MEDIAN($AS$4:$AS$14) = 0, "", MEDIAN($AS$4:$AS$14))))</f>
        <v>79.297499999999999</v>
      </c>
      <c r="AT3">
        <f ca="1">IF(ISERROR(IF(MEDIAN($AT$4:$AT$14) = 0, "", MEDIAN($AT$4:$AT$14))), "", (IF(MEDIAN($AT$4:$AT$14) = 0, "", MEDIAN($AT$4:$AT$14))))</f>
        <v>77.647499999999994</v>
      </c>
      <c r="AU3">
        <f ca="1">IF(ISERROR(IF(MEDIAN($AU$4:$AU$14) = 0, "", MEDIAN($AU$4:$AU$14))), "", (IF(MEDIAN($AU$4:$AU$14) = 0, "", MEDIAN($AU$4:$AU$14))))</f>
        <v>78.111000000000004</v>
      </c>
      <c r="AV3">
        <f ca="1">IF(ISERROR(IF(MEDIAN($AV$4:$AV$14) = 0, "", MEDIAN($AV$4:$AV$14))), "", (IF(MEDIAN($AV$4:$AV$14) = 0, "", MEDIAN($AV$4:$AV$14))))</f>
        <v>72.093999999999994</v>
      </c>
      <c r="AW3">
        <f ca="1">IF(ISERROR(IF(MEDIAN($AW$4:$AW$14) = 0, "", MEDIAN($AW$4:$AW$14))), "", (IF(MEDIAN($AW$4:$AW$14) = 0, "", MEDIAN($AW$4:$AW$14))))</f>
        <v>68.319000000000003</v>
      </c>
      <c r="AX3">
        <f ca="1">IF(ISERROR(IF(MEDIAN($AX$4:$AX$14) = 0, "", MEDIAN($AX$4:$AX$14))), "", (IF(MEDIAN($AX$4:$AX$14) = 0, "", MEDIAN($AX$4:$AX$14))))</f>
        <v>69.17</v>
      </c>
      <c r="AY3">
        <f ca="1">IF(ISERROR(IF(MEDIAN($AY$4:$AY$14) = 0, "", MEDIAN($AY$4:$AY$14))), "", (IF(MEDIAN($AY$4:$AY$14) = 0, "", MEDIAN($AY$4:$AY$14))))</f>
        <v>67.953000000000003</v>
      </c>
      <c r="AZ3">
        <f ca="1">IF(ISERROR(IF(MEDIAN($AZ$4:$AZ$14) = 0, "", MEDIAN($AZ$4:$AZ$14))), "", (IF(MEDIAN($AZ$4:$AZ$14) = 0, "", MEDIAN($AZ$4:$AZ$14))))</f>
        <v>59.97</v>
      </c>
      <c r="BA3">
        <f ca="1">IF(ISERROR(IF(MEDIAN($BA$4:$BA$14) = 0, "", MEDIAN($BA$4:$BA$14))), "", (IF(MEDIAN($BA$4:$BA$14) = 0, "", MEDIAN($BA$4:$BA$14))))</f>
        <v>57.158499999999997</v>
      </c>
      <c r="BB3">
        <f ca="1">IF(ISERROR(IF(MEDIAN($BB$4:$BB$14) = 0, "", MEDIAN($BB$4:$BB$14))), "", (IF(MEDIAN($BB$4:$BB$14) = 0, "", MEDIAN($BB$4:$BB$14))))</f>
        <v>56.146500000000003</v>
      </c>
      <c r="BC3">
        <f ca="1">IF(ISERROR(IF(MEDIAN($BC$4:$BC$14) = 0, "", MEDIAN($BC$4:$BC$14))), "", (IF(MEDIAN($BC$4:$BC$14) = 0, "", MEDIAN($BC$4:$BC$14))))</f>
        <v>57.936</v>
      </c>
      <c r="BD3">
        <f ca="1">IF(ISERROR(IF(MEDIAN($BD$4:$BD$14) = 0, "", MEDIAN($BD$4:$BD$14))), "", (IF(MEDIAN($BD$4:$BD$14) = 0, "", MEDIAN($BD$4:$BD$14))))</f>
        <v>57.165999999999997</v>
      </c>
      <c r="BE3">
        <f ca="1">IF(ISERROR(IF(MEDIAN($BE$4:$BE$14) = 0, "", MEDIAN($BE$4:$BE$14))), "", (IF(MEDIAN($BE$4:$BE$14) = 0, "", MEDIAN($BE$4:$BE$14))))</f>
        <v>52.481999999999999</v>
      </c>
      <c r="BF3">
        <f ca="1">IF(ISERROR(IF(MEDIAN($BF$4:$BF$14) = 0, "", MEDIAN($BF$4:$BF$14))), "", (IF(MEDIAN($BF$4:$BF$14) = 0, "", MEDIAN($BF$4:$BF$14))))</f>
        <v>52.242500000000007</v>
      </c>
      <c r="BG3">
        <f ca="1">IF(ISERROR(IF(MEDIAN($BG$4:$BG$14) = 0, "", MEDIAN($BG$4:$BG$14))), "", (IF(MEDIAN($BG$4:$BG$14) = 0, "", MEDIAN($BG$4:$BG$14))))</f>
        <v>48.898000000000003</v>
      </c>
      <c r="BH3">
        <f ca="1">IF(ISERROR(IF(MEDIAN($BH$4:$BH$14) = 0, "", MEDIAN($BH$4:$BH$14))), "", (IF(MEDIAN($BH$4:$BH$14) = 0, "", MEDIAN($BH$4:$BH$14))))</f>
        <v>48.238</v>
      </c>
      <c r="BI3">
        <f ca="1">IF(ISERROR(IF(MEDIAN($BI$4:$BI$14) = 0, "", MEDIAN($BI$4:$BI$14))), "", (IF(MEDIAN($BI$4:$BI$14) = 0, "", MEDIAN($BI$4:$BI$14))))</f>
        <v>44.350999999999999</v>
      </c>
      <c r="BJ3">
        <f ca="1">IF(ISERROR(IF(MEDIAN($BJ$4:$BJ$14) = 0, "", MEDIAN($BJ$4:$BJ$14))), "", (IF(MEDIAN($BJ$4:$BJ$14) = 0, "", MEDIAN($BJ$4:$BJ$14))))</f>
        <v>42.088000000000001</v>
      </c>
      <c r="BK3">
        <f ca="1">IF(ISERROR(IF(MEDIAN($BK$4:$BK$14) = 0, "", MEDIAN($BK$4:$BK$14))), "", (IF(MEDIAN($BK$4:$BK$14) = 0, "", MEDIAN($BK$4:$BK$14))))</f>
        <v>38.518999999999998</v>
      </c>
      <c r="BL3">
        <f ca="1">IF(ISERROR(IF(MEDIAN($BL$4:$BL$14) = 0, "", MEDIAN($BL$4:$BL$14))), "", (IF(MEDIAN($BL$4:$BL$14) = 0, "", MEDIAN($BL$4:$BL$14))))</f>
        <v>40.897998809999997</v>
      </c>
      <c r="BM3">
        <f ca="1">IF(ISERROR(IF(MEDIAN($BM$4:$BM$14) = 0, "", MEDIAN($BM$4:$BM$14))), "", (IF(MEDIAN($BM$4:$BM$14) = 0, "", MEDIAN($BM$4:$BM$14))))</f>
        <v>39.078000000000003</v>
      </c>
      <c r="BN3" t="str">
        <f>""</f>
        <v/>
      </c>
      <c r="BO3">
        <f>187.389</f>
        <v>187.38900000000001</v>
      </c>
      <c r="BP3">
        <f>185.054</f>
        <v>185.054</v>
      </c>
      <c r="BQ3">
        <f>166.647</f>
        <v>166.64699999999999</v>
      </c>
      <c r="BR3">
        <f>166.443</f>
        <v>166.44300000000001</v>
      </c>
      <c r="BS3">
        <f>175.277</f>
        <v>175.27699999999999</v>
      </c>
      <c r="BT3">
        <f>165.503</f>
        <v>165.50299999999999</v>
      </c>
      <c r="BU3">
        <f>163.997</f>
        <v>163.99700000000001</v>
      </c>
      <c r="BV3">
        <f>161.421</f>
        <v>161.42099999999999</v>
      </c>
      <c r="BW3">
        <f>170.706</f>
        <v>170.70599999999999</v>
      </c>
      <c r="BX3">
        <f>158.863</f>
        <v>158.863</v>
      </c>
      <c r="BY3">
        <f>155.546</f>
        <v>155.54599999999999</v>
      </c>
      <c r="BZ3">
        <f>130.547</f>
        <v>130.547</v>
      </c>
      <c r="CA3">
        <f>131.1945</f>
        <v>131.19450000000001</v>
      </c>
      <c r="CB3">
        <f>124.6805</f>
        <v>124.68049999999999</v>
      </c>
      <c r="CC3">
        <f>119.0285</f>
        <v>119.02849999999999</v>
      </c>
      <c r="CD3">
        <f>111.0285</f>
        <v>111.02849999999999</v>
      </c>
      <c r="CE3">
        <f>111.6175</f>
        <v>111.61750000000001</v>
      </c>
      <c r="CF3">
        <f>103.078</f>
        <v>103.078</v>
      </c>
      <c r="CG3">
        <f>102.683</f>
        <v>102.68300000000001</v>
      </c>
      <c r="CH3">
        <f>102.4805</f>
        <v>102.48050000000001</v>
      </c>
      <c r="CI3">
        <f>104.629</f>
        <v>104.629</v>
      </c>
      <c r="CJ3">
        <f>95.963</f>
        <v>95.962999999999994</v>
      </c>
      <c r="CK3">
        <f>91.8175</f>
        <v>91.817499999999995</v>
      </c>
      <c r="CL3">
        <f>92.74</f>
        <v>92.74</v>
      </c>
      <c r="CM3">
        <f>96.1765</f>
        <v>96.176500000000004</v>
      </c>
      <c r="CN3">
        <f>91.852</f>
        <v>91.852000000000004</v>
      </c>
      <c r="CO3">
        <f>84.4025</f>
        <v>84.402500000000003</v>
      </c>
      <c r="CP3">
        <f>83.8975</f>
        <v>83.897499999999994</v>
      </c>
      <c r="CQ3">
        <f>97.363</f>
        <v>97.363</v>
      </c>
      <c r="CR3">
        <f>80.961</f>
        <v>80.960999999999999</v>
      </c>
      <c r="CS3">
        <f>80.765</f>
        <v>80.765000000000001</v>
      </c>
      <c r="CT3">
        <f>80.447</f>
        <v>80.447000000000003</v>
      </c>
      <c r="CU3">
        <f>100.521</f>
        <v>100.521</v>
      </c>
      <c r="CV3">
        <f>93.3295</f>
        <v>93.329499999999996</v>
      </c>
      <c r="CW3">
        <f>90.764</f>
        <v>90.763999999999996</v>
      </c>
      <c r="CX3">
        <f>95.3875</f>
        <v>95.387500000000003</v>
      </c>
      <c r="CY3">
        <f>94.0535</f>
        <v>94.0535</v>
      </c>
      <c r="CZ3">
        <f>84.394</f>
        <v>84.394000000000005</v>
      </c>
      <c r="DA3">
        <f>79.2975</f>
        <v>79.297499999999999</v>
      </c>
      <c r="DB3">
        <f>77.6475</f>
        <v>77.647499999999994</v>
      </c>
      <c r="DC3">
        <f>78.111</f>
        <v>78.111000000000004</v>
      </c>
      <c r="DD3">
        <f>72.094</f>
        <v>72.093999999999994</v>
      </c>
      <c r="DE3">
        <f>68.319</f>
        <v>68.319000000000003</v>
      </c>
      <c r="DF3">
        <f>69.17</f>
        <v>69.17</v>
      </c>
      <c r="DG3">
        <f>67.953</f>
        <v>67.953000000000003</v>
      </c>
      <c r="DH3">
        <f>59.97</f>
        <v>59.97</v>
      </c>
      <c r="DI3">
        <f>57.1585</f>
        <v>57.158499999999997</v>
      </c>
      <c r="DJ3">
        <f>56.1465</f>
        <v>56.146500000000003</v>
      </c>
      <c r="DK3">
        <f>57.936</f>
        <v>57.936</v>
      </c>
      <c r="DL3">
        <f>57.166</f>
        <v>57.165999999999997</v>
      </c>
      <c r="DM3">
        <f>52.482</f>
        <v>52.481999999999999</v>
      </c>
      <c r="DN3">
        <f>52.2425</f>
        <v>52.2425</v>
      </c>
      <c r="DO3">
        <f>48.898</f>
        <v>48.898000000000003</v>
      </c>
      <c r="DP3">
        <f>48.238</f>
        <v>48.238</v>
      </c>
      <c r="DQ3">
        <f>44.351</f>
        <v>44.350999999999999</v>
      </c>
      <c r="DR3">
        <f>42.088</f>
        <v>42.088000000000001</v>
      </c>
      <c r="DS3">
        <f>38.519</f>
        <v>38.518999999999998</v>
      </c>
      <c r="DT3">
        <f>40.89799881</f>
        <v>40.897998809999997</v>
      </c>
      <c r="DU3">
        <f>39.078</f>
        <v>39.078000000000003</v>
      </c>
    </row>
    <row r="4" spans="1:125">
      <c r="A4" t="str">
        <f>"    Alexandria Real Estate Equitie"</f>
        <v xml:space="preserve">    Alexandria Real Estate Equitie</v>
      </c>
      <c r="B4" t="str">
        <f>"ARE US Equity"</f>
        <v>ARE US Equity</v>
      </c>
      <c r="C4" t="str">
        <f t="shared" ref="C4:C14" si="0">"IS030"</f>
        <v>IS030</v>
      </c>
      <c r="D4" t="str">
        <f t="shared" ref="D4:D14" si="1">"IS_RENT_INC"</f>
        <v>IS_RENT_INC</v>
      </c>
      <c r="E4" t="str">
        <f t="shared" ref="E4:E14" si="2">"动态"</f>
        <v>动态</v>
      </c>
      <c r="F4" t="str">
        <f ca="1">IF(AND(ISNUMBER($F$260),$B$258=1),$F$260,HLOOKUP(INDIRECT(ADDRESS(2,COLUMN())),OFFSET($BN$2,0,0,ROW()-1,60),ROW()-1,FALSE))</f>
        <v/>
      </c>
      <c r="G4">
        <f ca="1">IF(AND(ISNUMBER($G$260),$B$258=1),$G$260,HLOOKUP(INDIRECT(ADDRESS(2,COLUMN())),OFFSET($BN$2,0,0,ROW()-1,60),ROW()-1,FALSE))</f>
        <v>298.29500000000002</v>
      </c>
      <c r="H4">
        <f ca="1">IF(AND(ISNUMBER($H$260),$B$258=1),$H$260,HLOOKUP(INDIRECT(ADDRESS(2,COLUMN())),OFFSET($BN$2,0,0,ROW()-1,60),ROW()-1,FALSE))</f>
        <v>283.07900000000001</v>
      </c>
      <c r="I4">
        <f ca="1">IF(AND(ISNUMBER($I$260),$B$258=1),$I$260,HLOOKUP(INDIRECT(ADDRESS(2,COLUMN())),OFFSET($BN$2,0,0,ROW()-1,60),ROW()-1,FALSE))</f>
        <v>272.41199999999998</v>
      </c>
      <c r="J4">
        <f ca="1">IF(AND(ISNUMBER($J$260),$B$258=1),$J$260,HLOOKUP(INDIRECT(ADDRESS(2,COLUMN())),OFFSET($BN$2,0,0,ROW()-1,60),ROW()-1,FALSE))</f>
        <v>268.53899999999999</v>
      </c>
      <c r="K4">
        <f ca="1">IF(AND(ISNUMBER($K$260),$B$258=1),$K$260,HLOOKUP(INDIRECT(ADDRESS(2,COLUMN())),OFFSET($BN$2,0,0,ROW()-1,60),ROW()-1,FALSE))</f>
        <v>245.58500000000001</v>
      </c>
      <c r="L4">
        <f ca="1">IF(AND(ISNUMBER($L$260),$B$258=1),$L$260,HLOOKUP(INDIRECT(ADDRESS(2,COLUMN())),OFFSET($BN$2,0,0,ROW()-1,60),ROW()-1,FALSE))</f>
        <v>225.27199999999999</v>
      </c>
      <c r="M4">
        <f ca="1">IF(AND(ISNUMBER($M$260),$B$258=1),$M$260,HLOOKUP(INDIRECT(ADDRESS(2,COLUMN())),OFFSET($BN$2,0,0,ROW()-1,60),ROW()-1,FALSE))</f>
        <v>215.745</v>
      </c>
      <c r="N4">
        <f ca="1">IF(AND(ISNUMBER($N$260),$B$258=1),$N$260,HLOOKUP(INDIRECT(ADDRESS(2,COLUMN())),OFFSET($BN$2,0,0,ROW()-1,60),ROW()-1,FALSE))</f>
        <v>210.87299999999999</v>
      </c>
      <c r="O4">
        <f ca="1">IF(AND(ISNUMBER($O$260),$B$258=1),$O$260,HLOOKUP(INDIRECT(ADDRESS(2,COLUMN())),OFFSET($BN$2,0,0,ROW()-1,60),ROW()-1,FALSE))</f>
        <v>213.05600000000001</v>
      </c>
      <c r="P4">
        <f ca="1">IF(AND(ISNUMBER($P$260),$B$258=1),$P$260,HLOOKUP(INDIRECT(ADDRESS(2,COLUMN())),OFFSET($BN$2,0,0,ROW()-1,60),ROW()-1,FALSE))</f>
        <v>211.43</v>
      </c>
      <c r="Q4">
        <f ca="1">IF(AND(ISNUMBER($Q$260),$B$258=1),$Q$260,HLOOKUP(INDIRECT(ADDRESS(2,COLUMN())),OFFSET($BN$2,0,0,ROW()-1,60),ROW()-1,FALSE))</f>
        <v>201.399</v>
      </c>
      <c r="R4">
        <f ca="1">IF(AND(ISNUMBER($R$260),$B$258=1),$R$260,HLOOKUP(INDIRECT(ADDRESS(2,COLUMN())),OFFSET($BN$2,0,0,ROW()-1,60),ROW()-1,FALSE))</f>
        <v>192.00200000000001</v>
      </c>
      <c r="S4">
        <f ca="1">IF(AND(ISNUMBER($S$260),$B$258=1),$S$260,HLOOKUP(INDIRECT(ADDRESS(2,COLUMN())),OFFSET($BN$2,0,0,ROW()-1,60),ROW()-1,FALSE))</f>
        <v>186.155</v>
      </c>
      <c r="T4">
        <f ca="1">IF(AND(ISNUMBER($T$260),$B$258=1),$T$260,HLOOKUP(INDIRECT(ADDRESS(2,COLUMN())),OFFSET($BN$2,0,0,ROW()-1,60),ROW()-1,FALSE))</f>
        <v>183.29</v>
      </c>
      <c r="U4">
        <f ca="1">IF(AND(ISNUMBER($U$260),$B$258=1),$U$260,HLOOKUP(INDIRECT(ADDRESS(2,COLUMN())),OFFSET($BN$2,0,0,ROW()-1,60),ROW()-1,FALSE))</f>
        <v>175.93600000000001</v>
      </c>
      <c r="V4">
        <f ca="1">IF(AND(ISNUMBER($V$260),$B$258=1),$V$260,HLOOKUP(INDIRECT(ADDRESS(2,COLUMN())),OFFSET($BN$2,0,0,ROW()-1,60),ROW()-1,FALSE))</f>
        <v>172.25200000000001</v>
      </c>
      <c r="W4">
        <f ca="1">IF(AND(ISNUMBER($W$260),$B$258=1),$W$260,HLOOKUP(INDIRECT(ADDRESS(2,COLUMN())),OFFSET($BN$2,0,0,ROW()-1,60),ROW()-1,FALSE))</f>
        <v>165.66300000000001</v>
      </c>
      <c r="X4">
        <f ca="1">IF(AND(ISNUMBER($X$260),$B$258=1),$X$260,HLOOKUP(INDIRECT(ADDRESS(2,COLUMN())),OFFSET($BN$2,0,0,ROW()-1,60),ROW()-1,FALSE))</f>
        <v>154.74299999999999</v>
      </c>
      <c r="Y4">
        <f ca="1">IF(AND(ISNUMBER($Y$260),$B$258=1),$Y$260,HLOOKUP(INDIRECT(ADDRESS(2,COLUMN())),OFFSET($BN$2,0,0,ROW()-1,60),ROW()-1,FALSE))</f>
        <v>150.36199999999999</v>
      </c>
      <c r="Z4">
        <f ca="1">IF(AND(ISNUMBER($Z$260),$B$258=1),$Z$260,HLOOKUP(INDIRECT(ADDRESS(2,COLUMN())),OFFSET($BN$2,0,0,ROW()-1,60),ROW()-1,FALSE))</f>
        <v>147.09100000000001</v>
      </c>
      <c r="AA4">
        <f ca="1">IF(AND(ISNUMBER($AA$260),$B$258=1),$AA$260,HLOOKUP(INDIRECT(ADDRESS(2,COLUMN())),OFFSET($BN$2,0,0,ROW()-1,60),ROW()-1,FALSE))</f>
        <v>147.46899999999999</v>
      </c>
      <c r="AB4">
        <f ca="1">IF(AND(ISNUMBER($AB$260),$B$258=1),$AB$260,HLOOKUP(INDIRECT(ADDRESS(2,COLUMN())),OFFSET($BN$2,0,0,ROW()-1,60),ROW()-1,FALSE))</f>
        <v>140.22200000000001</v>
      </c>
      <c r="AC4">
        <f ca="1">IF(AND(ISNUMBER($AC$260),$B$258=1),$AC$260,HLOOKUP(INDIRECT(ADDRESS(2,COLUMN())),OFFSET($BN$2,0,0,ROW()-1,60),ROW()-1,FALSE))</f>
        <v>136.21</v>
      </c>
      <c r="AD4">
        <f ca="1">IF(AND(ISNUMBER($AD$260),$B$258=1),$AD$260,HLOOKUP(INDIRECT(ADDRESS(2,COLUMN())),OFFSET($BN$2,0,0,ROW()-1,60),ROW()-1,FALSE))</f>
        <v>133.083</v>
      </c>
      <c r="AE4">
        <f ca="1">IF(AND(ISNUMBER($AE$260),$B$258=1),$AE$260,HLOOKUP(INDIRECT(ADDRESS(2,COLUMN())),OFFSET($BN$2,0,0,ROW()-1,60),ROW()-1,FALSE))</f>
        <v>137.66499999999999</v>
      </c>
      <c r="AF4">
        <f ca="1">IF(AND(ISNUMBER($AF$260),$B$258=1),$AF$260,HLOOKUP(INDIRECT(ADDRESS(2,COLUMN())),OFFSET($BN$2,0,0,ROW()-1,60),ROW()-1,FALSE))</f>
        <v>135.57900000000001</v>
      </c>
      <c r="AG4">
        <f ca="1">IF(AND(ISNUMBER($AG$260),$B$258=1),$AG$260,HLOOKUP(INDIRECT(ADDRESS(2,COLUMN())),OFFSET($BN$2,0,0,ROW()-1,60),ROW()-1,FALSE))</f>
        <v>142.39500000000001</v>
      </c>
      <c r="AH4">
        <f ca="1">IF(AND(ISNUMBER($AH$260),$B$258=1),$AH$260,HLOOKUP(INDIRECT(ADDRESS(2,COLUMN())),OFFSET($BN$2,0,0,ROW()-1,60),ROW()-1,FALSE))</f>
        <v>139.143</v>
      </c>
      <c r="AI4">
        <f ca="1">IF(AND(ISNUMBER($AI$260),$B$258=1),$AI$260,HLOOKUP(INDIRECT(ADDRESS(2,COLUMN())),OFFSET($BN$2,0,0,ROW()-1,60),ROW()-1,FALSE))</f>
        <v>130.14500000000001</v>
      </c>
      <c r="AJ4">
        <f ca="1">IF(AND(ISNUMBER($AJ$260),$B$258=1),$AJ$260,HLOOKUP(INDIRECT(ADDRESS(2,COLUMN())),OFFSET($BN$2,0,0,ROW()-1,60),ROW()-1,FALSE))</f>
        <v>118.746</v>
      </c>
      <c r="AK4">
        <f ca="1">IF(AND(ISNUMBER($AK$260),$B$258=1),$AK$260,HLOOKUP(INDIRECT(ADDRESS(2,COLUMN())),OFFSET($BN$2,0,0,ROW()-1,60),ROW()-1,FALSE))</f>
        <v>116.08799999999999</v>
      </c>
      <c r="AL4">
        <f ca="1">IF(AND(ISNUMBER($AL$260),$B$258=1),$AL$260,HLOOKUP(INDIRECT(ADDRESS(2,COLUMN())),OFFSET($BN$2,0,0,ROW()-1,60),ROW()-1,FALSE))</f>
        <v>115.42100000000001</v>
      </c>
      <c r="AM4">
        <f ca="1">IF(AND(ISNUMBER($AM$260),$B$258=1),$AM$260,HLOOKUP(INDIRECT(ADDRESS(2,COLUMN())),OFFSET($BN$2,0,0,ROW()-1,60),ROW()-1,FALSE))</f>
        <v>114.05</v>
      </c>
      <c r="AN4">
        <f ca="1">IF(AND(ISNUMBER($AN$260),$B$258=1),$AN$260,HLOOKUP(INDIRECT(ADDRESS(2,COLUMN())),OFFSET($BN$2,0,0,ROW()-1,60),ROW()-1,FALSE))</f>
        <v>114.649</v>
      </c>
      <c r="AO4">
        <f ca="1">IF(AND(ISNUMBER($AO$260),$B$258=1),$AO$260,HLOOKUP(INDIRECT(ADDRESS(2,COLUMN())),OFFSET($BN$2,0,0,ROW()-1,60),ROW()-1,FALSE))</f>
        <v>112.129</v>
      </c>
      <c r="AP4">
        <f ca="1">IF(AND(ISNUMBER($AP$260),$B$258=1),$AP$260,HLOOKUP(INDIRECT(ADDRESS(2,COLUMN())),OFFSET($BN$2,0,0,ROW()-1,60),ROW()-1,FALSE))</f>
        <v>130.80699999999999</v>
      </c>
      <c r="AQ4">
        <f ca="1">IF(AND(ISNUMBER($AQ$260),$B$258=1),$AQ$260,HLOOKUP(INDIRECT(ADDRESS(2,COLUMN())),OFFSET($BN$2,0,0,ROW()-1,60),ROW()-1,FALSE))</f>
        <v>122.077</v>
      </c>
      <c r="AR4">
        <f ca="1">IF(AND(ISNUMBER($AR$260),$B$258=1),$AR$260,HLOOKUP(INDIRECT(ADDRESS(2,COLUMN())),OFFSET($BN$2,0,0,ROW()-1,60),ROW()-1,FALSE))</f>
        <v>109.89100000000001</v>
      </c>
      <c r="AS4">
        <f ca="1">IF(AND(ISNUMBER($AS$260),$B$258=1),$AS$260,HLOOKUP(INDIRECT(ADDRESS(2,COLUMN())),OFFSET($BN$2,0,0,ROW()-1,60),ROW()-1,FALSE))</f>
        <v>105.887</v>
      </c>
      <c r="AT4">
        <f ca="1">IF(AND(ISNUMBER($AT$260),$B$258=1),$AT$260,HLOOKUP(INDIRECT(ADDRESS(2,COLUMN())),OFFSET($BN$2,0,0,ROW()-1,60),ROW()-1,FALSE))</f>
        <v>106.312</v>
      </c>
      <c r="AU4">
        <f ca="1">IF(AND(ISNUMBER($AU$260),$B$258=1),$AU$260,HLOOKUP(INDIRECT(ADDRESS(2,COLUMN())),OFFSET($BN$2,0,0,ROW()-1,60),ROW()-1,FALSE))</f>
        <v>103.631</v>
      </c>
      <c r="AV4">
        <f ca="1">IF(AND(ISNUMBER($AV$260),$B$258=1),$AV$260,HLOOKUP(INDIRECT(ADDRESS(2,COLUMN())),OFFSET($BN$2,0,0,ROW()-1,60),ROW()-1,FALSE))</f>
        <v>98.39</v>
      </c>
      <c r="AW4">
        <f ca="1">IF(AND(ISNUMBER($AW$260),$B$258=1),$AW$260,HLOOKUP(INDIRECT(ADDRESS(2,COLUMN())),OFFSET($BN$2,0,0,ROW()-1,60),ROW()-1,FALSE))</f>
        <v>90.37</v>
      </c>
      <c r="AX4">
        <f ca="1">IF(AND(ISNUMBER($AX$260),$B$258=1),$AX$260,HLOOKUP(INDIRECT(ADDRESS(2,COLUMN())),OFFSET($BN$2,0,0,ROW()-1,60),ROW()-1,FALSE))</f>
        <v>91.048000000000002</v>
      </c>
      <c r="AY4">
        <f ca="1">IF(AND(ISNUMBER($AY$260),$B$258=1),$AY$260,HLOOKUP(INDIRECT(ADDRESS(2,COLUMN())),OFFSET($BN$2,0,0,ROW()-1,60),ROW()-1,FALSE))</f>
        <v>87.989000000000004</v>
      </c>
      <c r="AZ4">
        <f ca="1">IF(AND(ISNUMBER($AZ$260),$B$258=1),$AZ$260,HLOOKUP(INDIRECT(ADDRESS(2,COLUMN())),OFFSET($BN$2,0,0,ROW()-1,60),ROW()-1,FALSE))</f>
        <v>81.322999999999993</v>
      </c>
      <c r="BA4">
        <f ca="1">IF(AND(ISNUMBER($BA$260),$B$258=1),$BA$260,HLOOKUP(INDIRECT(ADDRESS(2,COLUMN())),OFFSET($BN$2,0,0,ROW()-1,60),ROW()-1,FALSE))</f>
        <v>67.706999999999994</v>
      </c>
      <c r="BB4">
        <f ca="1">IF(AND(ISNUMBER($BB$260),$B$258=1),$BB$260,HLOOKUP(INDIRECT(ADDRESS(2,COLUMN())),OFFSET($BN$2,0,0,ROW()-1,60),ROW()-1,FALSE))</f>
        <v>66.284999999999997</v>
      </c>
      <c r="BC4">
        <f ca="1">IF(AND(ISNUMBER($BC$260),$B$258=1),$BC$260,HLOOKUP(INDIRECT(ADDRESS(2,COLUMN())),OFFSET($BN$2,0,0,ROW()-1,60),ROW()-1,FALSE))</f>
        <v>62.122</v>
      </c>
      <c r="BD4">
        <f ca="1">IF(AND(ISNUMBER($BD$260),$B$258=1),$BD$260,HLOOKUP(INDIRECT(ADDRESS(2,COLUMN())),OFFSET($BN$2,0,0,ROW()-1,60),ROW()-1,FALSE))</f>
        <v>60.676000000000002</v>
      </c>
      <c r="BE4">
        <f ca="1">IF(AND(ISNUMBER($BE$260),$B$258=1),$BE$260,HLOOKUP(INDIRECT(ADDRESS(2,COLUMN())),OFFSET($BN$2,0,0,ROW()-1,60),ROW()-1,FALSE))</f>
        <v>56.207999999999998</v>
      </c>
      <c r="BF4">
        <f ca="1">IF(AND(ISNUMBER($BF$260),$B$258=1),$BF$260,HLOOKUP(INDIRECT(ADDRESS(2,COLUMN())),OFFSET($BN$2,0,0,ROW()-1,60),ROW()-1,FALSE))</f>
        <v>54.334000000000003</v>
      </c>
      <c r="BG4">
        <f ca="1">IF(AND(ISNUMBER($BG$260),$B$258=1),$BG$260,HLOOKUP(INDIRECT(ADDRESS(2,COLUMN())),OFFSET($BN$2,0,0,ROW()-1,60),ROW()-1,FALSE))</f>
        <v>49.213999999999999</v>
      </c>
      <c r="BH4">
        <f ca="1">IF(AND(ISNUMBER($BH$260),$B$258=1),$BH$260,HLOOKUP(INDIRECT(ADDRESS(2,COLUMN())),OFFSET($BN$2,0,0,ROW()-1,60),ROW()-1,FALSE))</f>
        <v>45.475000000000001</v>
      </c>
      <c r="BI4">
        <f ca="1">IF(AND(ISNUMBER($BI$260),$B$258=1),$BI$260,HLOOKUP(INDIRECT(ADDRESS(2,COLUMN())),OFFSET($BN$2,0,0,ROW()-1,60),ROW()-1,FALSE))</f>
        <v>42.914999999999999</v>
      </c>
      <c r="BJ4">
        <f ca="1">IF(AND(ISNUMBER($BJ$260),$B$258=1),$BJ$260,HLOOKUP(INDIRECT(ADDRESS(2,COLUMN())),OFFSET($BN$2,0,0,ROW()-1,60),ROW()-1,FALSE))</f>
        <v>42.088000000000001</v>
      </c>
      <c r="BK4">
        <f ca="1">IF(AND(ISNUMBER($BK$260),$B$258=1),$BK$260,HLOOKUP(INDIRECT(ADDRESS(2,COLUMN())),OFFSET($BN$2,0,0,ROW()-1,60),ROW()-1,FALSE))</f>
        <v>38.518999999999998</v>
      </c>
      <c r="BL4">
        <f ca="1">IF(AND(ISNUMBER($BL$260),$B$258=1),$BL$260,HLOOKUP(INDIRECT(ADDRESS(2,COLUMN())),OFFSET($BN$2,0,0,ROW()-1,60),ROW()-1,FALSE))</f>
        <v>39.380000000000003</v>
      </c>
      <c r="BM4">
        <f ca="1">IF(AND(ISNUMBER($BM$260),$B$258=1),$BM$260,HLOOKUP(INDIRECT(ADDRESS(2,COLUMN())),OFFSET($BN$2,0,0,ROW()-1,60),ROW()-1,FALSE))</f>
        <v>39.078000000000003</v>
      </c>
      <c r="BN4" t="str">
        <f>""</f>
        <v/>
      </c>
      <c r="BO4">
        <f>298.295</f>
        <v>298.29500000000002</v>
      </c>
      <c r="BP4">
        <f>283.079</f>
        <v>283.07900000000001</v>
      </c>
      <c r="BQ4">
        <f>272.412</f>
        <v>272.41199999999998</v>
      </c>
      <c r="BR4">
        <f>268.539</f>
        <v>268.53899999999999</v>
      </c>
      <c r="BS4">
        <f>245.585</f>
        <v>245.58500000000001</v>
      </c>
      <c r="BT4">
        <f>225.272</f>
        <v>225.27199999999999</v>
      </c>
      <c r="BU4">
        <f>215.745</f>
        <v>215.745</v>
      </c>
      <c r="BV4">
        <f>210.873</f>
        <v>210.87299999999999</v>
      </c>
      <c r="BW4">
        <f>213.056</f>
        <v>213.05600000000001</v>
      </c>
      <c r="BX4">
        <f>211.43</f>
        <v>211.43</v>
      </c>
      <c r="BY4">
        <f>201.399</f>
        <v>201.399</v>
      </c>
      <c r="BZ4">
        <f>192.002</f>
        <v>192.00200000000001</v>
      </c>
      <c r="CA4">
        <f>186.155</f>
        <v>186.155</v>
      </c>
      <c r="CB4">
        <f>183.29</f>
        <v>183.29</v>
      </c>
      <c r="CC4">
        <f>175.936</f>
        <v>175.93600000000001</v>
      </c>
      <c r="CD4">
        <f>172.252</f>
        <v>172.25200000000001</v>
      </c>
      <c r="CE4">
        <f>165.663</f>
        <v>165.66300000000001</v>
      </c>
      <c r="CF4">
        <f>154.743</f>
        <v>154.74299999999999</v>
      </c>
      <c r="CG4">
        <f>150.362</f>
        <v>150.36199999999999</v>
      </c>
      <c r="CH4">
        <f>147.091</f>
        <v>147.09100000000001</v>
      </c>
      <c r="CI4">
        <f>147.469</f>
        <v>147.46899999999999</v>
      </c>
      <c r="CJ4">
        <f>140.222</f>
        <v>140.22200000000001</v>
      </c>
      <c r="CK4">
        <f>136.21</f>
        <v>136.21</v>
      </c>
      <c r="CL4">
        <f>133.083</f>
        <v>133.083</v>
      </c>
      <c r="CM4">
        <f>137.665</f>
        <v>137.66499999999999</v>
      </c>
      <c r="CN4">
        <f>135.579</f>
        <v>135.57900000000001</v>
      </c>
      <c r="CO4">
        <f>142.395</f>
        <v>142.39500000000001</v>
      </c>
      <c r="CP4">
        <f>139.143</f>
        <v>139.143</v>
      </c>
      <c r="CQ4">
        <f>130.145</f>
        <v>130.14500000000001</v>
      </c>
      <c r="CR4">
        <f>118.746</f>
        <v>118.746</v>
      </c>
      <c r="CS4">
        <f>116.088</f>
        <v>116.08799999999999</v>
      </c>
      <c r="CT4">
        <f>115.421</f>
        <v>115.42100000000001</v>
      </c>
      <c r="CU4">
        <f>114.05</f>
        <v>114.05</v>
      </c>
      <c r="CV4">
        <f>114.649</f>
        <v>114.649</v>
      </c>
      <c r="CW4">
        <f>112.129</f>
        <v>112.129</v>
      </c>
      <c r="CX4">
        <f>130.807</f>
        <v>130.80699999999999</v>
      </c>
      <c r="CY4">
        <f>122.077</f>
        <v>122.077</v>
      </c>
      <c r="CZ4">
        <f>109.891</f>
        <v>109.89100000000001</v>
      </c>
      <c r="DA4">
        <f>105.887</f>
        <v>105.887</v>
      </c>
      <c r="DB4">
        <f>106.312</f>
        <v>106.312</v>
      </c>
      <c r="DC4">
        <f>103.631</f>
        <v>103.631</v>
      </c>
      <c r="DD4">
        <f>98.39</f>
        <v>98.39</v>
      </c>
      <c r="DE4">
        <f>90.37</f>
        <v>90.37</v>
      </c>
      <c r="DF4">
        <f>91.048</f>
        <v>91.048000000000002</v>
      </c>
      <c r="DG4">
        <f>87.989</f>
        <v>87.989000000000004</v>
      </c>
      <c r="DH4">
        <f>81.323</f>
        <v>81.322999999999993</v>
      </c>
      <c r="DI4">
        <f>67.707</f>
        <v>67.706999999999994</v>
      </c>
      <c r="DJ4">
        <f>66.285</f>
        <v>66.284999999999997</v>
      </c>
      <c r="DK4">
        <f>62.122</f>
        <v>62.122</v>
      </c>
      <c r="DL4">
        <f>60.676</f>
        <v>60.676000000000002</v>
      </c>
      <c r="DM4">
        <f>56.208</f>
        <v>56.207999999999998</v>
      </c>
      <c r="DN4">
        <f>54.334</f>
        <v>54.334000000000003</v>
      </c>
      <c r="DO4">
        <f>49.214</f>
        <v>49.213999999999999</v>
      </c>
      <c r="DP4">
        <f>45.475</f>
        <v>45.475000000000001</v>
      </c>
      <c r="DQ4">
        <f>42.915</f>
        <v>42.914999999999999</v>
      </c>
      <c r="DR4">
        <f>42.088</f>
        <v>42.088000000000001</v>
      </c>
      <c r="DS4">
        <f>38.519</f>
        <v>38.518999999999998</v>
      </c>
      <c r="DT4">
        <f>39.38</f>
        <v>39.380000000000003</v>
      </c>
      <c r="DU4">
        <f>39.078</f>
        <v>39.078000000000003</v>
      </c>
    </row>
    <row r="5" spans="1:125">
      <c r="A5" t="str">
        <f>"    Care Capital Properties Inc"</f>
        <v xml:space="preserve">    Care Capital Properties Inc</v>
      </c>
      <c r="B5" t="str">
        <f>"CCP US Equity"</f>
        <v>CCP US Equity</v>
      </c>
      <c r="C5" t="str">
        <f t="shared" si="0"/>
        <v>IS030</v>
      </c>
      <c r="D5" t="str">
        <f t="shared" si="1"/>
        <v>IS_RENT_INC</v>
      </c>
      <c r="E5" t="str">
        <f t="shared" si="2"/>
        <v>动态</v>
      </c>
      <c r="F5" t="str">
        <f ca="1">IF(AND(ISNUMBER($F$261),$B$258=1),$F$261,HLOOKUP(INDIRECT(ADDRESS(2,COLUMN())),OFFSET($BN$2,0,0,ROW()-1,60),ROW()-1,FALSE))</f>
        <v/>
      </c>
      <c r="G5" t="str">
        <f ca="1">IF(AND(ISNUMBER($G$261),$B$258=1),$G$261,HLOOKUP(INDIRECT(ADDRESS(2,COLUMN())),OFFSET($BN$2,0,0,ROW()-1,60),ROW()-1,FALSE))</f>
        <v/>
      </c>
      <c r="H5" t="str">
        <f ca="1">IF(AND(ISNUMBER($H$261),$B$258=1),$H$261,HLOOKUP(INDIRECT(ADDRESS(2,COLUMN())),OFFSET($BN$2,0,0,ROW()-1,60),ROW()-1,FALSE))</f>
        <v/>
      </c>
      <c r="I5">
        <f ca="1">IF(AND(ISNUMBER($I$261),$B$258=1),$I$261,HLOOKUP(INDIRECT(ADDRESS(2,COLUMN())),OFFSET($BN$2,0,0,ROW()-1,60),ROW()-1,FALSE))</f>
        <v>88.555000000000007</v>
      </c>
      <c r="J5">
        <f ca="1">IF(AND(ISNUMBER($J$261),$B$258=1),$J$261,HLOOKUP(INDIRECT(ADDRESS(2,COLUMN())),OFFSET($BN$2,0,0,ROW()-1,60),ROW()-1,FALSE))</f>
        <v>81.393000000000001</v>
      </c>
      <c r="K5">
        <f ca="1">IF(AND(ISNUMBER($K$261),$B$258=1),$K$261,HLOOKUP(INDIRECT(ADDRESS(2,COLUMN())),OFFSET($BN$2,0,0,ROW()-1,60),ROW()-1,FALSE))</f>
        <v>82.826999999999998</v>
      </c>
      <c r="L5">
        <f ca="1">IF(AND(ISNUMBER($L$261),$B$258=1),$L$261,HLOOKUP(INDIRECT(ADDRESS(2,COLUMN())),OFFSET($BN$2,0,0,ROW()-1,60),ROW()-1,FALSE))</f>
        <v>86.218000000000004</v>
      </c>
      <c r="M5">
        <f ca="1">IF(AND(ISNUMBER($M$261),$B$258=1),$M$261,HLOOKUP(INDIRECT(ADDRESS(2,COLUMN())),OFFSET($BN$2,0,0,ROW()-1,60),ROW()-1,FALSE))</f>
        <v>85.248999999999995</v>
      </c>
      <c r="N5">
        <f ca="1">IF(AND(ISNUMBER($N$261),$B$258=1),$N$261,HLOOKUP(INDIRECT(ADDRESS(2,COLUMN())),OFFSET($BN$2,0,0,ROW()-1,60),ROW()-1,FALSE))</f>
        <v>84.238</v>
      </c>
      <c r="O5">
        <f ca="1">IF(AND(ISNUMBER($O$261),$B$258=1),$O$261,HLOOKUP(INDIRECT(ADDRESS(2,COLUMN())),OFFSET($BN$2,0,0,ROW()-1,60),ROW()-1,FALSE))</f>
        <v>87.307000000000002</v>
      </c>
      <c r="P5">
        <f ca="1">IF(AND(ISNUMBER($P$261),$B$258=1),$P$261,HLOOKUP(INDIRECT(ADDRESS(2,COLUMN())),OFFSET($BN$2,0,0,ROW()-1,60),ROW()-1,FALSE))</f>
        <v>82.313000000000002</v>
      </c>
      <c r="Q5">
        <f ca="1">IF(AND(ISNUMBER($Q$261),$B$258=1),$Q$261,HLOOKUP(INDIRECT(ADDRESS(2,COLUMN())),OFFSET($BN$2,0,0,ROW()-1,60),ROW()-1,FALSE))</f>
        <v>79.658000000000001</v>
      </c>
      <c r="R5" t="str">
        <f ca="1">IF(AND(ISNUMBER($R$261),$B$258=1),$R$261,HLOOKUP(INDIRECT(ADDRESS(2,COLUMN())),OFFSET($BN$2,0,0,ROW()-1,60),ROW()-1,FALSE))</f>
        <v/>
      </c>
      <c r="S5" t="str">
        <f ca="1">IF(AND(ISNUMBER($S$261),$B$258=1),$S$261,HLOOKUP(INDIRECT(ADDRESS(2,COLUMN())),OFFSET($BN$2,0,0,ROW()-1,60),ROW()-1,FALSE))</f>
        <v/>
      </c>
      <c r="T5" t="str">
        <f ca="1">IF(AND(ISNUMBER($T$261),$B$258=1),$T$261,HLOOKUP(INDIRECT(ADDRESS(2,COLUMN())),OFFSET($BN$2,0,0,ROW()-1,60),ROW()-1,FALSE))</f>
        <v/>
      </c>
      <c r="U5" t="str">
        <f ca="1">IF(AND(ISNUMBER($U$261),$B$258=1),$U$261,HLOOKUP(INDIRECT(ADDRESS(2,COLUMN())),OFFSET($BN$2,0,0,ROW()-1,60),ROW()-1,FALSE))</f>
        <v/>
      </c>
      <c r="V5" t="str">
        <f ca="1">IF(AND(ISNUMBER($V$261),$B$258=1),$V$261,HLOOKUP(INDIRECT(ADDRESS(2,COLUMN())),OFFSET($BN$2,0,0,ROW()-1,60),ROW()-1,FALSE))</f>
        <v/>
      </c>
      <c r="W5" t="str">
        <f ca="1">IF(AND(ISNUMBER($W$261),$B$258=1),$W$261,HLOOKUP(INDIRECT(ADDRESS(2,COLUMN())),OFFSET($BN$2,0,0,ROW()-1,60),ROW()-1,FALSE))</f>
        <v/>
      </c>
      <c r="X5" t="str">
        <f ca="1">IF(AND(ISNUMBER($X$261),$B$258=1),$X$261,HLOOKUP(INDIRECT(ADDRESS(2,COLUMN())),OFFSET($BN$2,0,0,ROW()-1,60),ROW()-1,FALSE))</f>
        <v/>
      </c>
      <c r="Y5" t="str">
        <f ca="1">IF(AND(ISNUMBER($Y$261),$B$258=1),$Y$261,HLOOKUP(INDIRECT(ADDRESS(2,COLUMN())),OFFSET($BN$2,0,0,ROW()-1,60),ROW()-1,FALSE))</f>
        <v/>
      </c>
      <c r="Z5" t="str">
        <f ca="1">IF(AND(ISNUMBER($Z$261),$B$258=1),$Z$261,HLOOKUP(INDIRECT(ADDRESS(2,COLUMN())),OFFSET($BN$2,0,0,ROW()-1,60),ROW()-1,FALSE))</f>
        <v/>
      </c>
      <c r="AA5" t="str">
        <f ca="1">IF(AND(ISNUMBER($AA$261),$B$258=1),$AA$261,HLOOKUP(INDIRECT(ADDRESS(2,COLUMN())),OFFSET($BN$2,0,0,ROW()-1,60),ROW()-1,FALSE))</f>
        <v/>
      </c>
      <c r="AB5" t="str">
        <f ca="1">IF(AND(ISNUMBER($AB$261),$B$258=1),$AB$261,HLOOKUP(INDIRECT(ADDRESS(2,COLUMN())),OFFSET($BN$2,0,0,ROW()-1,60),ROW()-1,FALSE))</f>
        <v/>
      </c>
      <c r="AC5" t="str">
        <f ca="1">IF(AND(ISNUMBER($AC$261),$B$258=1),$AC$261,HLOOKUP(INDIRECT(ADDRESS(2,COLUMN())),OFFSET($BN$2,0,0,ROW()-1,60),ROW()-1,FALSE))</f>
        <v/>
      </c>
      <c r="AD5" t="str">
        <f ca="1">IF(AND(ISNUMBER($AD$261),$B$258=1),$AD$261,HLOOKUP(INDIRECT(ADDRESS(2,COLUMN())),OFFSET($BN$2,0,0,ROW()-1,60),ROW()-1,FALSE))</f>
        <v/>
      </c>
      <c r="AE5" t="str">
        <f ca="1">IF(AND(ISNUMBER($AE$261),$B$258=1),$AE$261,HLOOKUP(INDIRECT(ADDRESS(2,COLUMN())),OFFSET($BN$2,0,0,ROW()-1,60),ROW()-1,FALSE))</f>
        <v/>
      </c>
      <c r="AF5" t="str">
        <f ca="1">IF(AND(ISNUMBER($AF$261),$B$258=1),$AF$261,HLOOKUP(INDIRECT(ADDRESS(2,COLUMN())),OFFSET($BN$2,0,0,ROW()-1,60),ROW()-1,FALSE))</f>
        <v/>
      </c>
      <c r="AG5" t="str">
        <f ca="1">IF(AND(ISNUMBER($AG$261),$B$258=1),$AG$261,HLOOKUP(INDIRECT(ADDRESS(2,COLUMN())),OFFSET($BN$2,0,0,ROW()-1,60),ROW()-1,FALSE))</f>
        <v/>
      </c>
      <c r="AH5" t="str">
        <f ca="1">IF(AND(ISNUMBER($AH$261),$B$258=1),$AH$261,HLOOKUP(INDIRECT(ADDRESS(2,COLUMN())),OFFSET($BN$2,0,0,ROW()-1,60),ROW()-1,FALSE))</f>
        <v/>
      </c>
      <c r="AI5" t="str">
        <f ca="1">IF(AND(ISNUMBER($AI$261),$B$258=1),$AI$261,HLOOKUP(INDIRECT(ADDRESS(2,COLUMN())),OFFSET($BN$2,0,0,ROW()-1,60),ROW()-1,FALSE))</f>
        <v/>
      </c>
      <c r="AJ5" t="str">
        <f ca="1">IF(AND(ISNUMBER($AJ$261),$B$258=1),$AJ$261,HLOOKUP(INDIRECT(ADDRESS(2,COLUMN())),OFFSET($BN$2,0,0,ROW()-1,60),ROW()-1,FALSE))</f>
        <v/>
      </c>
      <c r="AK5" t="str">
        <f ca="1">IF(AND(ISNUMBER($AK$261),$B$258=1),$AK$261,HLOOKUP(INDIRECT(ADDRESS(2,COLUMN())),OFFSET($BN$2,0,0,ROW()-1,60),ROW()-1,FALSE))</f>
        <v/>
      </c>
      <c r="AL5" t="str">
        <f ca="1">IF(AND(ISNUMBER($AL$261),$B$258=1),$AL$261,HLOOKUP(INDIRECT(ADDRESS(2,COLUMN())),OFFSET($BN$2,0,0,ROW()-1,60),ROW()-1,FALSE))</f>
        <v/>
      </c>
      <c r="AM5" t="str">
        <f ca="1">IF(AND(ISNUMBER($AM$261),$B$258=1),$AM$261,HLOOKUP(INDIRECT(ADDRESS(2,COLUMN())),OFFSET($BN$2,0,0,ROW()-1,60),ROW()-1,FALSE))</f>
        <v/>
      </c>
      <c r="AN5" t="str">
        <f ca="1">IF(AND(ISNUMBER($AN$261),$B$258=1),$AN$261,HLOOKUP(INDIRECT(ADDRESS(2,COLUMN())),OFFSET($BN$2,0,0,ROW()-1,60),ROW()-1,FALSE))</f>
        <v/>
      </c>
      <c r="AO5" t="str">
        <f ca="1">IF(AND(ISNUMBER($AO$261),$B$258=1),$AO$261,HLOOKUP(INDIRECT(ADDRESS(2,COLUMN())),OFFSET($BN$2,0,0,ROW()-1,60),ROW()-1,FALSE))</f>
        <v/>
      </c>
      <c r="AP5" t="str">
        <f ca="1">IF(AND(ISNUMBER($AP$261),$B$258=1),$AP$261,HLOOKUP(INDIRECT(ADDRESS(2,COLUMN())),OFFSET($BN$2,0,0,ROW()-1,60),ROW()-1,FALSE))</f>
        <v/>
      </c>
      <c r="AQ5" t="str">
        <f ca="1">IF(AND(ISNUMBER($AQ$261),$B$258=1),$AQ$261,HLOOKUP(INDIRECT(ADDRESS(2,COLUMN())),OFFSET($BN$2,0,0,ROW()-1,60),ROW()-1,FALSE))</f>
        <v/>
      </c>
      <c r="AR5" t="str">
        <f ca="1">IF(AND(ISNUMBER($AR$261),$B$258=1),$AR$261,HLOOKUP(INDIRECT(ADDRESS(2,COLUMN())),OFFSET($BN$2,0,0,ROW()-1,60),ROW()-1,FALSE))</f>
        <v/>
      </c>
      <c r="AS5" t="str">
        <f ca="1">IF(AND(ISNUMBER($AS$261),$B$258=1),$AS$261,HLOOKUP(INDIRECT(ADDRESS(2,COLUMN())),OFFSET($BN$2,0,0,ROW()-1,60),ROW()-1,FALSE))</f>
        <v/>
      </c>
      <c r="AT5" t="str">
        <f ca="1">IF(AND(ISNUMBER($AT$261),$B$258=1),$AT$261,HLOOKUP(INDIRECT(ADDRESS(2,COLUMN())),OFFSET($BN$2,0,0,ROW()-1,60),ROW()-1,FALSE))</f>
        <v/>
      </c>
      <c r="AU5" t="str">
        <f ca="1">IF(AND(ISNUMBER($AU$261),$B$258=1),$AU$261,HLOOKUP(INDIRECT(ADDRESS(2,COLUMN())),OFFSET($BN$2,0,0,ROW()-1,60),ROW()-1,FALSE))</f>
        <v/>
      </c>
      <c r="AV5" t="str">
        <f ca="1">IF(AND(ISNUMBER($AV$261),$B$258=1),$AV$261,HLOOKUP(INDIRECT(ADDRESS(2,COLUMN())),OFFSET($BN$2,0,0,ROW()-1,60),ROW()-1,FALSE))</f>
        <v/>
      </c>
      <c r="AW5" t="str">
        <f ca="1">IF(AND(ISNUMBER($AW$261),$B$258=1),$AW$261,HLOOKUP(INDIRECT(ADDRESS(2,COLUMN())),OFFSET($BN$2,0,0,ROW()-1,60),ROW()-1,FALSE))</f>
        <v/>
      </c>
      <c r="AX5" t="str">
        <f ca="1">IF(AND(ISNUMBER($AX$261),$B$258=1),$AX$261,HLOOKUP(INDIRECT(ADDRESS(2,COLUMN())),OFFSET($BN$2,0,0,ROW()-1,60),ROW()-1,FALSE))</f>
        <v/>
      </c>
      <c r="AY5" t="str">
        <f ca="1">IF(AND(ISNUMBER($AY$261),$B$258=1),$AY$261,HLOOKUP(INDIRECT(ADDRESS(2,COLUMN())),OFFSET($BN$2,0,0,ROW()-1,60),ROW()-1,FALSE))</f>
        <v/>
      </c>
      <c r="AZ5" t="str">
        <f ca="1">IF(AND(ISNUMBER($AZ$261),$B$258=1),$AZ$261,HLOOKUP(INDIRECT(ADDRESS(2,COLUMN())),OFFSET($BN$2,0,0,ROW()-1,60),ROW()-1,FALSE))</f>
        <v/>
      </c>
      <c r="BA5" t="str">
        <f ca="1">IF(AND(ISNUMBER($BA$261),$B$258=1),$BA$261,HLOOKUP(INDIRECT(ADDRESS(2,COLUMN())),OFFSET($BN$2,0,0,ROW()-1,60),ROW()-1,FALSE))</f>
        <v/>
      </c>
      <c r="BB5" t="str">
        <f ca="1">IF(AND(ISNUMBER($BB$261),$B$258=1),$BB$261,HLOOKUP(INDIRECT(ADDRESS(2,COLUMN())),OFFSET($BN$2,0,0,ROW()-1,60),ROW()-1,FALSE))</f>
        <v/>
      </c>
      <c r="BC5" t="str">
        <f ca="1">IF(AND(ISNUMBER($BC$261),$B$258=1),$BC$261,HLOOKUP(INDIRECT(ADDRESS(2,COLUMN())),OFFSET($BN$2,0,0,ROW()-1,60),ROW()-1,FALSE))</f>
        <v/>
      </c>
      <c r="BD5" t="str">
        <f ca="1">IF(AND(ISNUMBER($BD$261),$B$258=1),$BD$261,HLOOKUP(INDIRECT(ADDRESS(2,COLUMN())),OFFSET($BN$2,0,0,ROW()-1,60),ROW()-1,FALSE))</f>
        <v/>
      </c>
      <c r="BE5" t="str">
        <f ca="1">IF(AND(ISNUMBER($BE$261),$B$258=1),$BE$261,HLOOKUP(INDIRECT(ADDRESS(2,COLUMN())),OFFSET($BN$2,0,0,ROW()-1,60),ROW()-1,FALSE))</f>
        <v/>
      </c>
      <c r="BF5" t="str">
        <f ca="1">IF(AND(ISNUMBER($BF$261),$B$258=1),$BF$261,HLOOKUP(INDIRECT(ADDRESS(2,COLUMN())),OFFSET($BN$2,0,0,ROW()-1,60),ROW()-1,FALSE))</f>
        <v/>
      </c>
      <c r="BG5" t="str">
        <f ca="1">IF(AND(ISNUMBER($BG$261),$B$258=1),$BG$261,HLOOKUP(INDIRECT(ADDRESS(2,COLUMN())),OFFSET($BN$2,0,0,ROW()-1,60),ROW()-1,FALSE))</f>
        <v/>
      </c>
      <c r="BH5" t="str">
        <f ca="1">IF(AND(ISNUMBER($BH$261),$B$258=1),$BH$261,HLOOKUP(INDIRECT(ADDRESS(2,COLUMN())),OFFSET($BN$2,0,0,ROW()-1,60),ROW()-1,FALSE))</f>
        <v/>
      </c>
      <c r="BI5" t="str">
        <f ca="1">IF(AND(ISNUMBER($BI$261),$B$258=1),$BI$261,HLOOKUP(INDIRECT(ADDRESS(2,COLUMN())),OFFSET($BN$2,0,0,ROW()-1,60),ROW()-1,FALSE))</f>
        <v/>
      </c>
      <c r="BJ5" t="str">
        <f ca="1">IF(AND(ISNUMBER($BJ$261),$B$258=1),$BJ$261,HLOOKUP(INDIRECT(ADDRESS(2,COLUMN())),OFFSET($BN$2,0,0,ROW()-1,60),ROW()-1,FALSE))</f>
        <v/>
      </c>
      <c r="BK5" t="str">
        <f ca="1">IF(AND(ISNUMBER($BK$261),$B$258=1),$BK$261,HLOOKUP(INDIRECT(ADDRESS(2,COLUMN())),OFFSET($BN$2,0,0,ROW()-1,60),ROW()-1,FALSE))</f>
        <v/>
      </c>
      <c r="BL5" t="str">
        <f ca="1">IF(AND(ISNUMBER($BL$261),$B$258=1),$BL$261,HLOOKUP(INDIRECT(ADDRESS(2,COLUMN())),OFFSET($BN$2,0,0,ROW()-1,60),ROW()-1,FALSE))</f>
        <v/>
      </c>
      <c r="BM5" t="str">
        <f ca="1">IF(AND(ISNUMBER($BM$261),$B$258=1),$BM$261,HLOOKUP(INDIRECT(ADDRESS(2,COLUMN())),OFFSET($BN$2,0,0,ROW()-1,60),ROW()-1,FALSE))</f>
        <v/>
      </c>
      <c r="BN5" t="str">
        <f>""</f>
        <v/>
      </c>
      <c r="BO5" t="str">
        <f>""</f>
        <v/>
      </c>
      <c r="BP5" t="str">
        <f>""</f>
        <v/>
      </c>
      <c r="BQ5">
        <f>88.555</f>
        <v>88.555000000000007</v>
      </c>
      <c r="BR5">
        <f>81.393</f>
        <v>81.393000000000001</v>
      </c>
      <c r="BS5">
        <f>82.827</f>
        <v>82.826999999999998</v>
      </c>
      <c r="BT5">
        <f>86.218</f>
        <v>86.218000000000004</v>
      </c>
      <c r="BU5">
        <f>85.249</f>
        <v>85.248999999999995</v>
      </c>
      <c r="BV5">
        <f>84.238</f>
        <v>84.238</v>
      </c>
      <c r="BW5">
        <f>87.307</f>
        <v>87.307000000000002</v>
      </c>
      <c r="BX5">
        <f>82.313</f>
        <v>82.313000000000002</v>
      </c>
      <c r="BY5">
        <f>79.658</f>
        <v>79.658000000000001</v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  <c r="CH5" t="str">
        <f>""</f>
        <v/>
      </c>
      <c r="CI5" t="str">
        <f>""</f>
        <v/>
      </c>
      <c r="CJ5" t="str">
        <f>""</f>
        <v/>
      </c>
      <c r="CK5" t="str">
        <f>""</f>
        <v/>
      </c>
      <c r="CL5" t="str">
        <f>""</f>
        <v/>
      </c>
      <c r="CM5" t="str">
        <f>""</f>
        <v/>
      </c>
      <c r="CN5" t="str">
        <f>""</f>
        <v/>
      </c>
      <c r="CO5" t="str">
        <f>""</f>
        <v/>
      </c>
      <c r="CP5" t="str">
        <f>""</f>
        <v/>
      </c>
      <c r="CQ5" t="str">
        <f>""</f>
        <v/>
      </c>
      <c r="CR5" t="str">
        <f>""</f>
        <v/>
      </c>
      <c r="CS5" t="str">
        <f>""</f>
        <v/>
      </c>
      <c r="CT5" t="str">
        <f>""</f>
        <v/>
      </c>
      <c r="CU5" t="str">
        <f>""</f>
        <v/>
      </c>
      <c r="CV5" t="str">
        <f>""</f>
        <v/>
      </c>
      <c r="CW5" t="str">
        <f>""</f>
        <v/>
      </c>
      <c r="CX5" t="str">
        <f>""</f>
        <v/>
      </c>
      <c r="CY5" t="str">
        <f>""</f>
        <v/>
      </c>
      <c r="CZ5" t="str">
        <f>""</f>
        <v/>
      </c>
      <c r="DA5" t="str">
        <f>""</f>
        <v/>
      </c>
      <c r="DB5" t="str">
        <f>""</f>
        <v/>
      </c>
      <c r="DC5" t="str">
        <f>""</f>
        <v/>
      </c>
      <c r="DD5" t="str">
        <f>""</f>
        <v/>
      </c>
      <c r="DE5" t="str">
        <f>""</f>
        <v/>
      </c>
      <c r="DF5" t="str">
        <f>""</f>
        <v/>
      </c>
      <c r="DG5" t="str">
        <f>""</f>
        <v/>
      </c>
      <c r="DH5" t="str">
        <f>""</f>
        <v/>
      </c>
      <c r="DI5" t="str">
        <f>""</f>
        <v/>
      </c>
      <c r="DJ5" t="str">
        <f>""</f>
        <v/>
      </c>
      <c r="DK5" t="str">
        <f>""</f>
        <v/>
      </c>
      <c r="DL5" t="str">
        <f>""</f>
        <v/>
      </c>
      <c r="DM5" t="str">
        <f>""</f>
        <v/>
      </c>
      <c r="DN5" t="str">
        <f>""</f>
        <v/>
      </c>
      <c r="DO5" t="str">
        <f>""</f>
        <v/>
      </c>
      <c r="DP5" t="str">
        <f>""</f>
        <v/>
      </c>
      <c r="DQ5" t="str">
        <f>""</f>
        <v/>
      </c>
      <c r="DR5" t="str">
        <f>""</f>
        <v/>
      </c>
      <c r="DS5" t="str">
        <f>""</f>
        <v/>
      </c>
      <c r="DT5" t="str">
        <f>""</f>
        <v/>
      </c>
      <c r="DU5" t="str">
        <f>""</f>
        <v/>
      </c>
    </row>
    <row r="6" spans="1:125">
      <c r="A6" t="str">
        <f>"    HCP Inc"</f>
        <v xml:space="preserve">    HCP Inc</v>
      </c>
      <c r="B6" t="str">
        <f>"HCP US Equity"</f>
        <v>HCP US Equity</v>
      </c>
      <c r="C6" t="str">
        <f t="shared" si="0"/>
        <v>IS030</v>
      </c>
      <c r="D6" t="str">
        <f t="shared" si="1"/>
        <v>IS_RENT_INC</v>
      </c>
      <c r="E6" t="str">
        <f t="shared" si="2"/>
        <v>动态</v>
      </c>
      <c r="F6" t="str">
        <f ca="1">IF(AND(ISNUMBER($F$262),$B$258=1),$F$262,HLOOKUP(INDIRECT(ADDRESS(2,COLUMN())),OFFSET($BN$2,0,0,ROW()-1,60),ROW()-1,FALSE))</f>
        <v/>
      </c>
      <c r="G6">
        <f ca="1">IF(AND(ISNUMBER($G$262),$B$258=1),$G$262,HLOOKUP(INDIRECT(ADDRESS(2,COLUMN())),OFFSET($BN$2,0,0,ROW()-1,60),ROW()-1,FALSE))</f>
        <v>437.99599999999998</v>
      </c>
      <c r="H6">
        <f ca="1">IF(AND(ISNUMBER($H$262),$B$258=1),$H$262,HLOOKUP(INDIRECT(ADDRESS(2,COLUMN())),OFFSET($BN$2,0,0,ROW()-1,60),ROW()-1,FALSE))</f>
        <v>442.24900000000002</v>
      </c>
      <c r="I6">
        <f ca="1">IF(AND(ISNUMBER($I$262),$B$258=1),$I$262,HLOOKUP(INDIRECT(ADDRESS(2,COLUMN())),OFFSET($BN$2,0,0,ROW()-1,60),ROW()-1,FALSE))</f>
        <v>438.05900000000003</v>
      </c>
      <c r="J6">
        <f ca="1">IF(AND(ISNUMBER($J$262),$B$258=1),$J$262,HLOOKUP(INDIRECT(ADDRESS(2,COLUMN())),OFFSET($BN$2,0,0,ROW()-1,60),ROW()-1,FALSE))</f>
        <v>473.83699999999999</v>
      </c>
      <c r="K6">
        <f ca="1">IF(AND(ISNUMBER($K$262),$B$258=1),$K$262,HLOOKUP(INDIRECT(ADDRESS(2,COLUMN())),OFFSET($BN$2,0,0,ROW()-1,60),ROW()-1,FALSE))</f>
        <v>522.44000000000005</v>
      </c>
      <c r="L6">
        <f ca="1">IF(AND(ISNUMBER($L$262),$B$258=1),$L$262,HLOOKUP(INDIRECT(ADDRESS(2,COLUMN())),OFFSET($BN$2,0,0,ROW()-1,60),ROW()-1,FALSE))</f>
        <v>633.78800000000001</v>
      </c>
      <c r="M6">
        <f ca="1">IF(AND(ISNUMBER($M$262),$B$258=1),$M$262,HLOOKUP(INDIRECT(ADDRESS(2,COLUMN())),OFFSET($BN$2,0,0,ROW()-1,60),ROW()-1,FALSE))</f>
        <v>629.30799999999999</v>
      </c>
      <c r="N6">
        <f ca="1">IF(AND(ISNUMBER($N$262),$B$258=1),$N$262,HLOOKUP(INDIRECT(ADDRESS(2,COLUMN())),OFFSET($BN$2,0,0,ROW()-1,60),ROW()-1,FALSE))</f>
        <v>622.66200000000003</v>
      </c>
      <c r="O6">
        <f ca="1">IF(AND(ISNUMBER($O$262),$B$258=1),$O$262,HLOOKUP(INDIRECT(ADDRESS(2,COLUMN())),OFFSET($BN$2,0,0,ROW()-1,60),ROW()-1,FALSE))</f>
        <v>497.19</v>
      </c>
      <c r="P6">
        <f ca="1">IF(AND(ISNUMBER($P$262),$B$258=1),$P$262,HLOOKUP(INDIRECT(ADDRESS(2,COLUMN())),OFFSET($BN$2,0,0,ROW()-1,60),ROW()-1,FALSE))</f>
        <v>637.65700000000004</v>
      </c>
      <c r="Q6">
        <f ca="1">IF(AND(ISNUMBER($Q$262),$B$258=1),$Q$262,HLOOKUP(INDIRECT(ADDRESS(2,COLUMN())),OFFSET($BN$2,0,0,ROW()-1,60),ROW()-1,FALSE))</f>
        <v>571.12900000000002</v>
      </c>
      <c r="R6">
        <f ca="1">IF(AND(ISNUMBER($R$262),$B$258=1),$R$262,HLOOKUP(INDIRECT(ADDRESS(2,COLUMN())),OFFSET($BN$2,0,0,ROW()-1,60),ROW()-1,FALSE))</f>
        <v>577.06899999999996</v>
      </c>
      <c r="S6">
        <f ca="1">IF(AND(ISNUMBER($S$262),$B$258=1),$S$262,HLOOKUP(INDIRECT(ADDRESS(2,COLUMN())),OFFSET($BN$2,0,0,ROW()-1,60),ROW()-1,FALSE))</f>
        <v>579.71799999999996</v>
      </c>
      <c r="T6">
        <f ca="1">IF(AND(ISNUMBER($T$262),$B$258=1),$T$262,HLOOKUP(INDIRECT(ADDRESS(2,COLUMN())),OFFSET($BN$2,0,0,ROW()-1,60),ROW()-1,FALSE))</f>
        <v>578.67399999999998</v>
      </c>
      <c r="U6">
        <f ca="1">IF(AND(ISNUMBER($U$262),$B$258=1),$U$262,HLOOKUP(INDIRECT(ADDRESS(2,COLUMN())),OFFSET($BN$2,0,0,ROW()-1,60),ROW()-1,FALSE))</f>
        <v>518.74</v>
      </c>
      <c r="V6">
        <f ca="1">IF(AND(ISNUMBER($V$262),$B$258=1),$V$262,HLOOKUP(INDIRECT(ADDRESS(2,COLUMN())),OFFSET($BN$2,0,0,ROW()-1,60),ROW()-1,FALSE))</f>
        <v>512.84699999999998</v>
      </c>
      <c r="W6">
        <f ca="1">IF(AND(ISNUMBER($W$262),$B$258=1),$W$262,HLOOKUP(INDIRECT(ADDRESS(2,COLUMN())),OFFSET($BN$2,0,0,ROW()-1,60),ROW()-1,FALSE))</f>
        <v>512.30799999999999</v>
      </c>
      <c r="X6">
        <f ca="1">IF(AND(ISNUMBER($X$262),$B$258=1),$X$262,HLOOKUP(INDIRECT(ADDRESS(2,COLUMN())),OFFSET($BN$2,0,0,ROW()-1,60),ROW()-1,FALSE))</f>
        <v>503.61500000000001</v>
      </c>
      <c r="Y6">
        <f ca="1">IF(AND(ISNUMBER($Y$262),$B$258=1),$Y$262,HLOOKUP(INDIRECT(ADDRESS(2,COLUMN())),OFFSET($BN$2,0,0,ROW()-1,60),ROW()-1,FALSE))</f>
        <v>497.59300000000002</v>
      </c>
      <c r="Z6">
        <f ca="1">IF(AND(ISNUMBER($Z$262),$B$258=1),$Z$262,HLOOKUP(INDIRECT(ADDRESS(2,COLUMN())),OFFSET($BN$2,0,0,ROW()-1,60),ROW()-1,FALSE))</f>
        <v>498.35700000000003</v>
      </c>
      <c r="AA6">
        <f ca="1">IF(AND(ISNUMBER($AA$262),$B$258=1),$AA$262,HLOOKUP(INDIRECT(ADDRESS(2,COLUMN())),OFFSET($BN$2,0,0,ROW()-1,60),ROW()-1,FALSE))</f>
        <v>490.53800000000001</v>
      </c>
      <c r="AB6">
        <f ca="1">IF(AND(ISNUMBER($AB$262),$B$258=1),$AB$262,HLOOKUP(INDIRECT(ADDRESS(2,COLUMN())),OFFSET($BN$2,0,0,ROW()-1,60),ROW()-1,FALSE))</f>
        <v>457.32799999999997</v>
      </c>
      <c r="AC6">
        <f ca="1">IF(AND(ISNUMBER($AC$262),$B$258=1),$AC$262,HLOOKUP(INDIRECT(ADDRESS(2,COLUMN())),OFFSET($BN$2,0,0,ROW()-1,60),ROW()-1,FALSE))</f>
        <v>462.75299999999999</v>
      </c>
      <c r="AD6">
        <f ca="1">IF(AND(ISNUMBER($AD$262),$B$258=1),$AD$262,HLOOKUP(INDIRECT(ADDRESS(2,COLUMN())),OFFSET($BN$2,0,0,ROW()-1,60),ROW()-1,FALSE))</f>
        <v>454.51499999999999</v>
      </c>
      <c r="AE6">
        <f ca="1">IF(AND(ISNUMBER($AE$262),$B$258=1),$AE$262,HLOOKUP(INDIRECT(ADDRESS(2,COLUMN())),OFFSET($BN$2,0,0,ROW()-1,60),ROW()-1,FALSE))</f>
        <v>457.14800000000002</v>
      </c>
      <c r="AF6">
        <f ca="1">IF(AND(ISNUMBER($AF$262),$B$258=1),$AF$262,HLOOKUP(INDIRECT(ADDRESS(2,COLUMN())),OFFSET($BN$2,0,0,ROW()-1,60),ROW()-1,FALSE))</f>
        <v>440.15800000000002</v>
      </c>
      <c r="AG6">
        <f ca="1">IF(AND(ISNUMBER($AG$262),$B$258=1),$AG$262,HLOOKUP(INDIRECT(ADDRESS(2,COLUMN())),OFFSET($BN$2,0,0,ROW()-1,60),ROW()-1,FALSE))</f>
        <v>427.09500000000003</v>
      </c>
      <c r="AH6">
        <f ca="1">IF(AND(ISNUMBER($AH$262),$B$258=1),$AH$262,HLOOKUP(INDIRECT(ADDRESS(2,COLUMN())),OFFSET($BN$2,0,0,ROW()-1,60),ROW()-1,FALSE))</f>
        <v>292.42500000000001</v>
      </c>
      <c r="AI6">
        <f ca="1">IF(AND(ISNUMBER($AI$262),$B$258=1),$AI$262,HLOOKUP(INDIRECT(ADDRESS(2,COLUMN())),OFFSET($BN$2,0,0,ROW()-1,60),ROW()-1,FALSE))</f>
        <v>287.89600000000002</v>
      </c>
      <c r="AJ6">
        <f ca="1">IF(AND(ISNUMBER($AJ$262),$B$258=1),$AJ$262,HLOOKUP(INDIRECT(ADDRESS(2,COLUMN())),OFFSET($BN$2,0,0,ROW()-1,60),ROW()-1,FALSE))</f>
        <v>279.31</v>
      </c>
      <c r="AK6">
        <f ca="1">IF(AND(ISNUMBER($AK$262),$B$258=1),$AK$262,HLOOKUP(INDIRECT(ADDRESS(2,COLUMN())),OFFSET($BN$2,0,0,ROW()-1,60),ROW()-1,FALSE))</f>
        <v>264.43099999999998</v>
      </c>
      <c r="AL6">
        <f ca="1">IF(AND(ISNUMBER($AL$262),$B$258=1),$AL$262,HLOOKUP(INDIRECT(ADDRESS(2,COLUMN())),OFFSET($BN$2,0,0,ROW()-1,60),ROW()-1,FALSE))</f>
        <v>258.24599999999998</v>
      </c>
      <c r="AM6">
        <f ca="1">IF(AND(ISNUMBER($AM$262),$B$258=1),$AM$262,HLOOKUP(INDIRECT(ADDRESS(2,COLUMN())),OFFSET($BN$2,0,0,ROW()-1,60),ROW()-1,FALSE))</f>
        <v>256.93400000000003</v>
      </c>
      <c r="AN6">
        <f ca="1">IF(AND(ISNUMBER($AN$262),$B$258=1),$AN$262,HLOOKUP(INDIRECT(ADDRESS(2,COLUMN())),OFFSET($BN$2,0,0,ROW()-1,60),ROW()-1,FALSE))</f>
        <v>251.80600000000001</v>
      </c>
      <c r="AO6">
        <f ca="1">IF(AND(ISNUMBER($AO$262),$B$258=1),$AO$262,HLOOKUP(INDIRECT(ADDRESS(2,COLUMN())),OFFSET($BN$2,0,0,ROW()-1,60),ROW()-1,FALSE))</f>
        <v>264.036</v>
      </c>
      <c r="AP6">
        <f ca="1">IF(AND(ISNUMBER($AP$262),$B$258=1),$AP$262,HLOOKUP(INDIRECT(ADDRESS(2,COLUMN())),OFFSET($BN$2,0,0,ROW()-1,60),ROW()-1,FALSE))</f>
        <v>248.80099999999999</v>
      </c>
      <c r="AQ6">
        <f ca="1">IF(AND(ISNUMBER($AQ$262),$B$258=1),$AQ$262,HLOOKUP(INDIRECT(ADDRESS(2,COLUMN())),OFFSET($BN$2,0,0,ROW()-1,60),ROW()-1,FALSE))</f>
        <v>260.95600000000002</v>
      </c>
      <c r="AR6">
        <f ca="1">IF(AND(ISNUMBER($AR$262),$B$258=1),$AR$262,HLOOKUP(INDIRECT(ADDRESS(2,COLUMN())),OFFSET($BN$2,0,0,ROW()-1,60),ROW()-1,FALSE))</f>
        <v>266.32900000000001</v>
      </c>
      <c r="AS6">
        <f ca="1">IF(AND(ISNUMBER($AS$262),$B$258=1),$AS$262,HLOOKUP(INDIRECT(ADDRESS(2,COLUMN())),OFFSET($BN$2,0,0,ROW()-1,60),ROW()-1,FALSE))</f>
        <v>247.31800000000001</v>
      </c>
      <c r="AT6">
        <f ca="1">IF(AND(ISNUMBER($AT$262),$B$258=1),$AT$262,HLOOKUP(INDIRECT(ADDRESS(2,COLUMN())),OFFSET($BN$2,0,0,ROW()-1,60),ROW()-1,FALSE))</f>
        <v>243.32599999999999</v>
      </c>
      <c r="AU6">
        <f ca="1">IF(AND(ISNUMBER($AU$262),$B$258=1),$AU$262,HLOOKUP(INDIRECT(ADDRESS(2,COLUMN())),OFFSET($BN$2,0,0,ROW()-1,60),ROW()-1,FALSE))</f>
        <v>237.947</v>
      </c>
      <c r="AV6">
        <f ca="1">IF(AND(ISNUMBER($AV$262),$B$258=1),$AV$262,HLOOKUP(INDIRECT(ADDRESS(2,COLUMN())),OFFSET($BN$2,0,0,ROW()-1,60),ROW()-1,FALSE))</f>
        <v>241.977</v>
      </c>
      <c r="AW6">
        <f ca="1">IF(AND(ISNUMBER($AW$262),$B$258=1),$AW$262,HLOOKUP(INDIRECT(ADDRESS(2,COLUMN())),OFFSET($BN$2,0,0,ROW()-1,60),ROW()-1,FALSE))</f>
        <v>202.626</v>
      </c>
      <c r="AX6">
        <f ca="1">IF(AND(ISNUMBER($AX$262),$B$258=1),$AX$262,HLOOKUP(INDIRECT(ADDRESS(2,COLUMN())),OFFSET($BN$2,0,0,ROW()-1,60),ROW()-1,FALSE))</f>
        <v>207.40600000000001</v>
      </c>
      <c r="AY6">
        <f ca="1">IF(AND(ISNUMBER($AY$262),$B$258=1),$AY$262,HLOOKUP(INDIRECT(ADDRESS(2,COLUMN())),OFFSET($BN$2,0,0,ROW()-1,60),ROW()-1,FALSE))</f>
        <v>187.72300000000001</v>
      </c>
      <c r="AZ6">
        <f ca="1">IF(AND(ISNUMBER($AZ$262),$B$258=1),$AZ$262,HLOOKUP(INDIRECT(ADDRESS(2,COLUMN())),OFFSET($BN$2,0,0,ROW()-1,60),ROW()-1,FALSE))</f>
        <v>112.23399999999999</v>
      </c>
      <c r="BA6">
        <f ca="1">IF(AND(ISNUMBER($BA$262),$B$258=1),$BA$262,HLOOKUP(INDIRECT(ADDRESS(2,COLUMN())),OFFSET($BN$2,0,0,ROW()-1,60),ROW()-1,FALSE))</f>
        <v>109.89400000000001</v>
      </c>
      <c r="BB6">
        <f ca="1">IF(AND(ISNUMBER($BB$262),$B$258=1),$BB$262,HLOOKUP(INDIRECT(ADDRESS(2,COLUMN())),OFFSET($BN$2,0,0,ROW()-1,60),ROW()-1,FALSE))</f>
        <v>106.137</v>
      </c>
      <c r="BC6">
        <f ca="1">IF(AND(ISNUMBER($BC$262),$B$258=1),$BC$262,HLOOKUP(INDIRECT(ADDRESS(2,COLUMN())),OFFSET($BN$2,0,0,ROW()-1,60),ROW()-1,FALSE))</f>
        <v>72.861999999999995</v>
      </c>
      <c r="BD6">
        <f ca="1">IF(AND(ISNUMBER($BD$262),$B$258=1),$BD$262,HLOOKUP(INDIRECT(ADDRESS(2,COLUMN())),OFFSET($BN$2,0,0,ROW()-1,60),ROW()-1,FALSE))</f>
        <v>111.94799999999999</v>
      </c>
      <c r="BE6">
        <f ca="1">IF(AND(ISNUMBER($BE$262),$B$258=1),$BE$262,HLOOKUP(INDIRECT(ADDRESS(2,COLUMN())),OFFSET($BN$2,0,0,ROW()-1,60),ROW()-1,FALSE))</f>
        <v>110.137</v>
      </c>
      <c r="BF6">
        <f ca="1">IF(AND(ISNUMBER($BF$262),$B$258=1),$BF$262,HLOOKUP(INDIRECT(ADDRESS(2,COLUMN())),OFFSET($BN$2,0,0,ROW()-1,60),ROW()-1,FALSE))</f>
        <v>101.857</v>
      </c>
      <c r="BG6">
        <f ca="1">IF(AND(ISNUMBER($BG$262),$B$258=1),$BG$262,HLOOKUP(INDIRECT(ADDRESS(2,COLUMN())),OFFSET($BN$2,0,0,ROW()-1,60),ROW()-1,FALSE))</f>
        <v>97.978999999999999</v>
      </c>
      <c r="BH6">
        <f ca="1">IF(AND(ISNUMBER($BH$262),$B$258=1),$BH$262,HLOOKUP(INDIRECT(ADDRESS(2,COLUMN())),OFFSET($BN$2,0,0,ROW()-1,60),ROW()-1,FALSE))</f>
        <v>100.304</v>
      </c>
      <c r="BI6">
        <f ca="1">IF(AND(ISNUMBER($BI$262),$B$258=1),$BI$262,HLOOKUP(INDIRECT(ADDRESS(2,COLUMN())),OFFSET($BN$2,0,0,ROW()-1,60),ROW()-1,FALSE))</f>
        <v>95.35</v>
      </c>
      <c r="BJ6">
        <f ca="1">IF(AND(ISNUMBER($BJ$262),$B$258=1),$BJ$262,HLOOKUP(INDIRECT(ADDRESS(2,COLUMN())),OFFSET($BN$2,0,0,ROW()-1,60),ROW()-1,FALSE))</f>
        <v>87.700999999999993</v>
      </c>
      <c r="BK6">
        <f ca="1">IF(AND(ISNUMBER($BK$262),$B$258=1),$BK$262,HLOOKUP(INDIRECT(ADDRESS(2,COLUMN())),OFFSET($BN$2,0,0,ROW()-1,60),ROW()-1,FALSE))</f>
        <v>93.177000000000007</v>
      </c>
      <c r="BL6">
        <f ca="1">IF(AND(ISNUMBER($BL$262),$B$258=1),$BL$262,HLOOKUP(INDIRECT(ADDRESS(2,COLUMN())),OFFSET($BN$2,0,0,ROW()-1,60),ROW()-1,FALSE))</f>
        <v>82.281999999999996</v>
      </c>
      <c r="BM6">
        <f ca="1">IF(AND(ISNUMBER($BM$262),$B$258=1),$BM$262,HLOOKUP(INDIRECT(ADDRESS(2,COLUMN())),OFFSET($BN$2,0,0,ROW()-1,60),ROW()-1,FALSE))</f>
        <v>82.724000000000004</v>
      </c>
      <c r="BN6" t="str">
        <f>""</f>
        <v/>
      </c>
      <c r="BO6">
        <f>437.996</f>
        <v>437.99599999999998</v>
      </c>
      <c r="BP6">
        <f>442.249</f>
        <v>442.24900000000002</v>
      </c>
      <c r="BQ6">
        <f>438.059</f>
        <v>438.05900000000003</v>
      </c>
      <c r="BR6">
        <f>473.837</f>
        <v>473.83699999999999</v>
      </c>
      <c r="BS6">
        <f>522.44</f>
        <v>522.44000000000005</v>
      </c>
      <c r="BT6">
        <f>633.788</f>
        <v>633.78800000000001</v>
      </c>
      <c r="BU6">
        <f>629.308</f>
        <v>629.30799999999999</v>
      </c>
      <c r="BV6">
        <f>622.662</f>
        <v>622.66200000000003</v>
      </c>
      <c r="BW6">
        <f>497.19</f>
        <v>497.19</v>
      </c>
      <c r="BX6">
        <f>637.657</f>
        <v>637.65700000000004</v>
      </c>
      <c r="BY6">
        <f>571.129</f>
        <v>571.12900000000002</v>
      </c>
      <c r="BZ6">
        <f>577.069</f>
        <v>577.06899999999996</v>
      </c>
      <c r="CA6">
        <f>579.718</f>
        <v>579.71799999999996</v>
      </c>
      <c r="CB6">
        <f>578.674</f>
        <v>578.67399999999998</v>
      </c>
      <c r="CC6">
        <f>518.74</f>
        <v>518.74</v>
      </c>
      <c r="CD6">
        <f>512.847</f>
        <v>512.84699999999998</v>
      </c>
      <c r="CE6">
        <f>512.308</f>
        <v>512.30799999999999</v>
      </c>
      <c r="CF6">
        <f>503.615</f>
        <v>503.61500000000001</v>
      </c>
      <c r="CG6">
        <f>497.593</f>
        <v>497.59300000000002</v>
      </c>
      <c r="CH6">
        <f>498.357</f>
        <v>498.35700000000003</v>
      </c>
      <c r="CI6">
        <f>490.538</f>
        <v>490.53800000000001</v>
      </c>
      <c r="CJ6">
        <f>457.328</f>
        <v>457.32799999999997</v>
      </c>
      <c r="CK6">
        <f>462.753</f>
        <v>462.75299999999999</v>
      </c>
      <c r="CL6">
        <f>454.515</f>
        <v>454.51499999999999</v>
      </c>
      <c r="CM6">
        <f>457.148</f>
        <v>457.14800000000002</v>
      </c>
      <c r="CN6">
        <f>440.158</f>
        <v>440.15800000000002</v>
      </c>
      <c r="CO6">
        <f>427.095</f>
        <v>427.09500000000003</v>
      </c>
      <c r="CP6">
        <f>292.425</f>
        <v>292.42500000000001</v>
      </c>
      <c r="CQ6">
        <f>287.896</f>
        <v>287.89600000000002</v>
      </c>
      <c r="CR6">
        <f>279.31</f>
        <v>279.31</v>
      </c>
      <c r="CS6">
        <f>264.431</f>
        <v>264.43099999999998</v>
      </c>
      <c r="CT6">
        <f>258.246</f>
        <v>258.24599999999998</v>
      </c>
      <c r="CU6">
        <f>256.934</f>
        <v>256.93400000000003</v>
      </c>
      <c r="CV6">
        <f>251.806</f>
        <v>251.80600000000001</v>
      </c>
      <c r="CW6">
        <f>264.036</f>
        <v>264.036</v>
      </c>
      <c r="CX6">
        <f>248.801</f>
        <v>248.80099999999999</v>
      </c>
      <c r="CY6">
        <f>260.956</f>
        <v>260.95600000000002</v>
      </c>
      <c r="CZ6">
        <f>266.329</f>
        <v>266.32900000000001</v>
      </c>
      <c r="DA6">
        <f>247.318</f>
        <v>247.31800000000001</v>
      </c>
      <c r="DB6">
        <f>243.326</f>
        <v>243.32599999999999</v>
      </c>
      <c r="DC6">
        <f>237.947</f>
        <v>237.947</v>
      </c>
      <c r="DD6">
        <f>241.977</f>
        <v>241.977</v>
      </c>
      <c r="DE6">
        <f>202.626</f>
        <v>202.626</v>
      </c>
      <c r="DF6">
        <f>207.406</f>
        <v>207.40600000000001</v>
      </c>
      <c r="DG6">
        <f>187.723</f>
        <v>187.72300000000001</v>
      </c>
      <c r="DH6">
        <f>112.234</f>
        <v>112.23399999999999</v>
      </c>
      <c r="DI6">
        <f>109.894</f>
        <v>109.89400000000001</v>
      </c>
      <c r="DJ6">
        <f>106.137</f>
        <v>106.137</v>
      </c>
      <c r="DK6">
        <f>72.862</f>
        <v>72.861999999999995</v>
      </c>
      <c r="DL6">
        <f>111.948</f>
        <v>111.94799999999999</v>
      </c>
      <c r="DM6">
        <f>110.137</f>
        <v>110.137</v>
      </c>
      <c r="DN6">
        <f>101.857</f>
        <v>101.857</v>
      </c>
      <c r="DO6">
        <f>97.979</f>
        <v>97.978999999999999</v>
      </c>
      <c r="DP6">
        <f>100.304</f>
        <v>100.304</v>
      </c>
      <c r="DQ6">
        <f>95.35</f>
        <v>95.35</v>
      </c>
      <c r="DR6">
        <f>87.701</f>
        <v>87.700999999999993</v>
      </c>
      <c r="DS6">
        <f>93.177</f>
        <v>93.177000000000007</v>
      </c>
      <c r="DT6">
        <f>82.282</f>
        <v>82.281999999999996</v>
      </c>
      <c r="DU6">
        <f>82.724</f>
        <v>82.724000000000004</v>
      </c>
    </row>
    <row r="7" spans="1:125">
      <c r="A7" t="str">
        <f>"    Healthcare Realty Trust Inc"</f>
        <v xml:space="preserve">    Healthcare Realty Trust Inc</v>
      </c>
      <c r="B7" t="str">
        <f>"HR US Equity"</f>
        <v>HR US Equity</v>
      </c>
      <c r="C7" t="str">
        <f t="shared" si="0"/>
        <v>IS030</v>
      </c>
      <c r="D7" t="str">
        <f t="shared" si="1"/>
        <v>IS_RENT_INC</v>
      </c>
      <c r="E7" t="str">
        <f t="shared" si="2"/>
        <v>动态</v>
      </c>
      <c r="F7" t="str">
        <f ca="1">IF(AND(ISNUMBER($F$263),$B$258=1),$F$263,HLOOKUP(INDIRECT(ADDRESS(2,COLUMN())),OFFSET($BN$2,0,0,ROW()-1,60),ROW()-1,FALSE))</f>
        <v/>
      </c>
      <c r="G7">
        <f ca="1">IF(AND(ISNUMBER($G$263),$B$258=1),$G$263,HLOOKUP(INDIRECT(ADDRESS(2,COLUMN())),OFFSET($BN$2,0,0,ROW()-1,60),ROW()-1,FALSE))</f>
        <v>107.333</v>
      </c>
      <c r="H7">
        <f ca="1">IF(AND(ISNUMBER($H$263),$B$258=1),$H$263,HLOOKUP(INDIRECT(ADDRESS(2,COLUMN())),OFFSET($BN$2,0,0,ROW()-1,60),ROW()-1,FALSE))</f>
        <v>106.56100000000001</v>
      </c>
      <c r="I7">
        <f ca="1">IF(AND(ISNUMBER($I$263),$B$258=1),$I$263,HLOOKUP(INDIRECT(ADDRESS(2,COLUMN())),OFFSET($BN$2,0,0,ROW()-1,60),ROW()-1,FALSE))</f>
        <v>104.869</v>
      </c>
      <c r="J7">
        <f ca="1">IF(AND(ISNUMBER($J$263),$B$258=1),$J$263,HLOOKUP(INDIRECT(ADDRESS(2,COLUMN())),OFFSET($BN$2,0,0,ROW()-1,60),ROW()-1,FALSE))</f>
        <v>104.08799999999999</v>
      </c>
      <c r="K7">
        <f ca="1">IF(AND(ISNUMBER($K$263),$B$258=1),$K$263,HLOOKUP(INDIRECT(ADDRESS(2,COLUMN())),OFFSET($BN$2,0,0,ROW()-1,60),ROW()-1,FALSE))</f>
        <v>104.736</v>
      </c>
      <c r="L7">
        <f ca="1">IF(AND(ISNUMBER($L$263),$B$258=1),$L$263,HLOOKUP(INDIRECT(ADDRESS(2,COLUMN())),OFFSET($BN$2,0,0,ROW()-1,60),ROW()-1,FALSE))</f>
        <v>102.53400000000001</v>
      </c>
      <c r="M7">
        <f ca="1">IF(AND(ISNUMBER($M$263),$B$258=1),$M$263,HLOOKUP(INDIRECT(ADDRESS(2,COLUMN())),OFFSET($BN$2,0,0,ROW()-1,60),ROW()-1,FALSE))</f>
        <v>101.47199999999999</v>
      </c>
      <c r="N7">
        <f ca="1">IF(AND(ISNUMBER($N$263),$B$258=1),$N$263,HLOOKUP(INDIRECT(ADDRESS(2,COLUMN())),OFFSET($BN$2,0,0,ROW()-1,60),ROW()-1,FALSE))</f>
        <v>98.74</v>
      </c>
      <c r="O7">
        <f ca="1">IF(AND(ISNUMBER($O$263),$B$258=1),$O$263,HLOOKUP(INDIRECT(ADDRESS(2,COLUMN())),OFFSET($BN$2,0,0,ROW()-1,60),ROW()-1,FALSE))</f>
        <v>97.465999999999994</v>
      </c>
      <c r="P7">
        <f ca="1">IF(AND(ISNUMBER($P$263),$B$258=1),$P$263,HLOOKUP(INDIRECT(ADDRESS(2,COLUMN())),OFFSET($BN$2,0,0,ROW()-1,60),ROW()-1,FALSE))</f>
        <v>95.382999999999996</v>
      </c>
      <c r="Q7">
        <f ca="1">IF(AND(ISNUMBER($Q$263),$B$258=1),$Q$263,HLOOKUP(INDIRECT(ADDRESS(2,COLUMN())),OFFSET($BN$2,0,0,ROW()-1,60),ROW()-1,FALSE))</f>
        <v>95.45</v>
      </c>
      <c r="R7">
        <f ca="1">IF(AND(ISNUMBER($R$263),$B$258=1),$R$263,HLOOKUP(INDIRECT(ADDRESS(2,COLUMN())),OFFSET($BN$2,0,0,ROW()-1,60),ROW()-1,FALSE))</f>
        <v>95.034000000000006</v>
      </c>
      <c r="S7">
        <f ca="1">IF(AND(ISNUMBER($S$263),$B$258=1),$S$263,HLOOKUP(INDIRECT(ADDRESS(2,COLUMN())),OFFSET($BN$2,0,0,ROW()-1,60),ROW()-1,FALSE))</f>
        <v>93.647999999999996</v>
      </c>
      <c r="T7">
        <f ca="1">IF(AND(ISNUMBER($T$263),$B$258=1),$T$263,HLOOKUP(INDIRECT(ADDRESS(2,COLUMN())),OFFSET($BN$2,0,0,ROW()-1,60),ROW()-1,FALSE))</f>
        <v>92.094999999999999</v>
      </c>
      <c r="U7">
        <f ca="1">IF(AND(ISNUMBER($U$263),$B$258=1),$U$263,HLOOKUP(INDIRECT(ADDRESS(2,COLUMN())),OFFSET($BN$2,0,0,ROW()-1,60),ROW()-1,FALSE))</f>
        <v>89.278999999999996</v>
      </c>
      <c r="V7">
        <f ca="1">IF(AND(ISNUMBER($V$263),$B$258=1),$V$263,HLOOKUP(INDIRECT(ADDRESS(2,COLUMN())),OFFSET($BN$2,0,0,ROW()-1,60),ROW()-1,FALSE))</f>
        <v>86.501999999999995</v>
      </c>
      <c r="W7">
        <f ca="1">IF(AND(ISNUMBER($W$263),$B$258=1),$W$263,HLOOKUP(INDIRECT(ADDRESS(2,COLUMN())),OFFSET($BN$2,0,0,ROW()-1,60),ROW()-1,FALSE))</f>
        <v>84.825000000000003</v>
      </c>
      <c r="X7">
        <f ca="1">IF(AND(ISNUMBER($X$263),$B$258=1),$X$263,HLOOKUP(INDIRECT(ADDRESS(2,COLUMN())),OFFSET($BN$2,0,0,ROW()-1,60),ROW()-1,FALSE))</f>
        <v>78.161000000000001</v>
      </c>
      <c r="Y7">
        <f ca="1">IF(AND(ISNUMBER($Y$263),$B$258=1),$Y$263,HLOOKUP(INDIRECT(ADDRESS(2,COLUMN())),OFFSET($BN$2,0,0,ROW()-1,60),ROW()-1,FALSE))</f>
        <v>79.119</v>
      </c>
      <c r="Z7">
        <f ca="1">IF(AND(ISNUMBER($Z$263),$B$258=1),$Z$263,HLOOKUP(INDIRECT(ADDRESS(2,COLUMN())),OFFSET($BN$2,0,0,ROW()-1,60),ROW()-1,FALSE))</f>
        <v>75.88</v>
      </c>
      <c r="AA7">
        <f ca="1">IF(AND(ISNUMBER($AA$263),$B$258=1),$AA$263,HLOOKUP(INDIRECT(ADDRESS(2,COLUMN())),OFFSET($BN$2,0,0,ROW()-1,60),ROW()-1,FALSE))</f>
        <v>74.197000000000003</v>
      </c>
      <c r="AB7">
        <f ca="1">IF(AND(ISNUMBER($AB$263),$B$258=1),$AB$263,HLOOKUP(INDIRECT(ADDRESS(2,COLUMN())),OFFSET($BN$2,0,0,ROW()-1,60),ROW()-1,FALSE))</f>
        <v>73.174000000000007</v>
      </c>
      <c r="AC7">
        <f ca="1">IF(AND(ISNUMBER($AC$263),$B$258=1),$AC$263,HLOOKUP(INDIRECT(ADDRESS(2,COLUMN())),OFFSET($BN$2,0,0,ROW()-1,60),ROW()-1,FALSE))</f>
        <v>74.183999999999997</v>
      </c>
      <c r="AD7">
        <f ca="1">IF(AND(ISNUMBER($AD$263),$B$258=1),$AD$263,HLOOKUP(INDIRECT(ADDRESS(2,COLUMN())),OFFSET($BN$2,0,0,ROW()-1,60),ROW()-1,FALSE))</f>
        <v>72.099000000000004</v>
      </c>
      <c r="AE7">
        <f ca="1">IF(AND(ISNUMBER($AE$263),$B$258=1),$AE$263,HLOOKUP(INDIRECT(ADDRESS(2,COLUMN())),OFFSET($BN$2,0,0,ROW()-1,60),ROW()-1,FALSE))</f>
        <v>72.025999999999996</v>
      </c>
      <c r="AF7">
        <f ca="1">IF(AND(ISNUMBER($AF$263),$B$258=1),$AF$263,HLOOKUP(INDIRECT(ADDRESS(2,COLUMN())),OFFSET($BN$2,0,0,ROW()-1,60),ROW()-1,FALSE))</f>
        <v>70.004000000000005</v>
      </c>
      <c r="AG7">
        <f ca="1">IF(AND(ISNUMBER($AG$263),$B$258=1),$AG$263,HLOOKUP(INDIRECT(ADDRESS(2,COLUMN())),OFFSET($BN$2,0,0,ROW()-1,60),ROW()-1,FALSE))</f>
        <v>67.855000000000004</v>
      </c>
      <c r="AH7">
        <f ca="1">IF(AND(ISNUMBER($AH$263),$B$258=1),$AH$263,HLOOKUP(INDIRECT(ADDRESS(2,COLUMN())),OFFSET($BN$2,0,0,ROW()-1,60),ROW()-1,FALSE))</f>
        <v>68.052999999999997</v>
      </c>
      <c r="AI7">
        <f ca="1">IF(AND(ISNUMBER($AI$263),$B$258=1),$AI$263,HLOOKUP(INDIRECT(ADDRESS(2,COLUMN())),OFFSET($BN$2,0,0,ROW()-1,60),ROW()-1,FALSE))</f>
        <v>63.465000000000003</v>
      </c>
      <c r="AJ7">
        <f ca="1">IF(AND(ISNUMBER($AJ$263),$B$258=1),$AJ$263,HLOOKUP(INDIRECT(ADDRESS(2,COLUMN())),OFFSET($BN$2,0,0,ROW()-1,60),ROW()-1,FALSE))</f>
        <v>61.658000000000001</v>
      </c>
      <c r="AK7">
        <f ca="1">IF(AND(ISNUMBER($AK$263),$B$258=1),$AK$263,HLOOKUP(INDIRECT(ADDRESS(2,COLUMN())),OFFSET($BN$2,0,0,ROW()-1,60),ROW()-1,FALSE))</f>
        <v>61.363999999999997</v>
      </c>
      <c r="AL7">
        <f ca="1">IF(AND(ISNUMBER($AL$263),$B$258=1),$AL$263,HLOOKUP(INDIRECT(ADDRESS(2,COLUMN())),OFFSET($BN$2,0,0,ROW()-1,60),ROW()-1,FALSE))</f>
        <v>60.19</v>
      </c>
      <c r="AM7">
        <f ca="1">IF(AND(ISNUMBER($AM$263),$B$258=1),$AM$263,HLOOKUP(INDIRECT(ADDRESS(2,COLUMN())),OFFSET($BN$2,0,0,ROW()-1,60),ROW()-1,FALSE))</f>
        <v>59.277999999999999</v>
      </c>
      <c r="AN7">
        <f ca="1">IF(AND(ISNUMBER($AN$263),$B$258=1),$AN$263,HLOOKUP(INDIRECT(ADDRESS(2,COLUMN())),OFFSET($BN$2,0,0,ROW()-1,60),ROW()-1,FALSE))</f>
        <v>59.561</v>
      </c>
      <c r="AO7">
        <f ca="1">IF(AND(ISNUMBER($AO$263),$B$258=1),$AO$263,HLOOKUP(INDIRECT(ADDRESS(2,COLUMN())),OFFSET($BN$2,0,0,ROW()-1,60),ROW()-1,FALSE))</f>
        <v>60.234000000000002</v>
      </c>
      <c r="AP7">
        <f ca="1">IF(AND(ISNUMBER($AP$263),$B$258=1),$AP$263,HLOOKUP(INDIRECT(ADDRESS(2,COLUMN())),OFFSET($BN$2,0,0,ROW()-1,60),ROW()-1,FALSE))</f>
        <v>58.094999999999999</v>
      </c>
      <c r="AQ7">
        <f ca="1">IF(AND(ISNUMBER($AQ$263),$B$258=1),$AQ$263,HLOOKUP(INDIRECT(ADDRESS(2,COLUMN())),OFFSET($BN$2,0,0,ROW()-1,60),ROW()-1,FALSE))</f>
        <v>49.844000000000001</v>
      </c>
      <c r="AR7">
        <f ca="1">IF(AND(ISNUMBER($AR$263),$B$258=1),$AR$263,HLOOKUP(INDIRECT(ADDRESS(2,COLUMN())),OFFSET($BN$2,0,0,ROW()-1,60),ROW()-1,FALSE))</f>
        <v>50.011000000000003</v>
      </c>
      <c r="AS7">
        <f ca="1">IF(AND(ISNUMBER($AS$263),$B$258=1),$AS$263,HLOOKUP(INDIRECT(ADDRESS(2,COLUMN())),OFFSET($BN$2,0,0,ROW()-1,60),ROW()-1,FALSE))</f>
        <v>47.786999999999999</v>
      </c>
      <c r="AT7">
        <f ca="1">IF(AND(ISNUMBER($AT$263),$B$258=1),$AT$263,HLOOKUP(INDIRECT(ADDRESS(2,COLUMN())),OFFSET($BN$2,0,0,ROW()-1,60),ROW()-1,FALSE))</f>
        <v>47.826999999999998</v>
      </c>
      <c r="AU7">
        <f ca="1">IF(AND(ISNUMBER($AU$263),$B$258=1),$AU$263,HLOOKUP(INDIRECT(ADDRESS(2,COLUMN())),OFFSET($BN$2,0,0,ROW()-1,60),ROW()-1,FALSE))</f>
        <v>39.621000000000002</v>
      </c>
      <c r="AV7">
        <f ca="1">IF(AND(ISNUMBER($AV$263),$B$258=1),$AV$263,HLOOKUP(INDIRECT(ADDRESS(2,COLUMN())),OFFSET($BN$2,0,0,ROW()-1,60),ROW()-1,FALSE))</f>
        <v>45.798000000000002</v>
      </c>
      <c r="AW7">
        <f ca="1">IF(AND(ISNUMBER($AW$263),$B$258=1),$AW$263,HLOOKUP(INDIRECT(ADDRESS(2,COLUMN())),OFFSET($BN$2,0,0,ROW()-1,60),ROW()-1,FALSE))</f>
        <v>46.268000000000001</v>
      </c>
      <c r="AX7">
        <f ca="1">IF(AND(ISNUMBER($AX$263),$B$258=1),$AX$263,HLOOKUP(INDIRECT(ADDRESS(2,COLUMN())),OFFSET($BN$2,0,0,ROW()-1,60),ROW()-1,FALSE))</f>
        <v>47.292000000000002</v>
      </c>
      <c r="AY7">
        <f ca="1">IF(AND(ISNUMBER($AY$263),$B$258=1),$AY$263,HLOOKUP(INDIRECT(ADDRESS(2,COLUMN())),OFFSET($BN$2,0,0,ROW()-1,60),ROW()-1,FALSE))</f>
        <v>47.347000000000001</v>
      </c>
      <c r="AZ7">
        <f ca="1">IF(AND(ISNUMBER($AZ$263),$B$258=1),$AZ$263,HLOOKUP(INDIRECT(ADDRESS(2,COLUMN())),OFFSET($BN$2,0,0,ROW()-1,60),ROW()-1,FALSE))</f>
        <v>46.612000000000002</v>
      </c>
      <c r="BA7">
        <f ca="1">IF(AND(ISNUMBER($BA$263),$B$258=1),$BA$263,HLOOKUP(INDIRECT(ADDRESS(2,COLUMN())),OFFSET($BN$2,0,0,ROW()-1,60),ROW()-1,FALSE))</f>
        <v>46.61</v>
      </c>
      <c r="BB7">
        <f ca="1">IF(AND(ISNUMBER($BB$263),$B$258=1),$BB$263,HLOOKUP(INDIRECT(ADDRESS(2,COLUMN())),OFFSET($BN$2,0,0,ROW()-1,60),ROW()-1,FALSE))</f>
        <v>46.008000000000003</v>
      </c>
      <c r="BC7">
        <f ca="1">IF(AND(ISNUMBER($BC$263),$B$258=1),$BC$263,HLOOKUP(INDIRECT(ADDRESS(2,COLUMN())),OFFSET($BN$2,0,0,ROW()-1,60),ROW()-1,FALSE))</f>
        <v>53.75</v>
      </c>
      <c r="BD7">
        <f ca="1">IF(AND(ISNUMBER($BD$263),$B$258=1),$BD$263,HLOOKUP(INDIRECT(ADDRESS(2,COLUMN())),OFFSET($BN$2,0,0,ROW()-1,60),ROW()-1,FALSE))</f>
        <v>53.655999999999999</v>
      </c>
      <c r="BE7">
        <f ca="1">IF(AND(ISNUMBER($BE$263),$B$258=1),$BE$263,HLOOKUP(INDIRECT(ADDRESS(2,COLUMN())),OFFSET($BN$2,0,0,ROW()-1,60),ROW()-1,FALSE))</f>
        <v>48.756</v>
      </c>
      <c r="BF7">
        <f ca="1">IF(AND(ISNUMBER($BF$263),$B$258=1),$BF$263,HLOOKUP(INDIRECT(ADDRESS(2,COLUMN())),OFFSET($BN$2,0,0,ROW()-1,60),ROW()-1,FALSE))</f>
        <v>50.151000000000003</v>
      </c>
      <c r="BG7">
        <f ca="1">IF(AND(ISNUMBER($BG$263),$B$258=1),$BG$263,HLOOKUP(INDIRECT(ADDRESS(2,COLUMN())),OFFSET($BN$2,0,0,ROW()-1,60),ROW()-1,FALSE))</f>
        <v>37.505000000000003</v>
      </c>
      <c r="BH7">
        <f ca="1">IF(AND(ISNUMBER($BH$263),$B$258=1),$BH$263,HLOOKUP(INDIRECT(ADDRESS(2,COLUMN())),OFFSET($BN$2,0,0,ROW()-1,60),ROW()-1,FALSE))</f>
        <v>48.238</v>
      </c>
      <c r="BI7">
        <f ca="1">IF(AND(ISNUMBER($BI$263),$B$258=1),$BI$263,HLOOKUP(INDIRECT(ADDRESS(2,COLUMN())),OFFSET($BN$2,0,0,ROW()-1,60),ROW()-1,FALSE))</f>
        <v>44.350999999999999</v>
      </c>
      <c r="BJ7">
        <f ca="1">IF(AND(ISNUMBER($BJ$263),$B$258=1),$BJ$263,HLOOKUP(INDIRECT(ADDRESS(2,COLUMN())),OFFSET($BN$2,0,0,ROW()-1,60),ROW()-1,FALSE))</f>
        <v>39.386000000000003</v>
      </c>
      <c r="BK7">
        <f ca="1">IF(AND(ISNUMBER($BK$263),$B$258=1),$BK$263,HLOOKUP(INDIRECT(ADDRESS(2,COLUMN())),OFFSET($BN$2,0,0,ROW()-1,60),ROW()-1,FALSE))</f>
        <v>17.89</v>
      </c>
      <c r="BL7">
        <f ca="1">IF(AND(ISNUMBER($BL$263),$B$258=1),$BL$263,HLOOKUP(INDIRECT(ADDRESS(2,COLUMN())),OFFSET($BN$2,0,0,ROW()-1,60),ROW()-1,FALSE))</f>
        <v>40.897998809999997</v>
      </c>
      <c r="BM7">
        <f ca="1">IF(AND(ISNUMBER($BM$263),$B$258=1),$BM$263,HLOOKUP(INDIRECT(ADDRESS(2,COLUMN())),OFFSET($BN$2,0,0,ROW()-1,60),ROW()-1,FALSE))</f>
        <v>43.926998140000002</v>
      </c>
      <c r="BN7" t="str">
        <f>""</f>
        <v/>
      </c>
      <c r="BO7">
        <f>107.333</f>
        <v>107.333</v>
      </c>
      <c r="BP7">
        <f>106.561</f>
        <v>106.56100000000001</v>
      </c>
      <c r="BQ7">
        <f>104.869</f>
        <v>104.869</v>
      </c>
      <c r="BR7">
        <f>104.088</f>
        <v>104.08799999999999</v>
      </c>
      <c r="BS7">
        <f>104.736</f>
        <v>104.736</v>
      </c>
      <c r="BT7">
        <f>102.534</f>
        <v>102.53400000000001</v>
      </c>
      <c r="BU7">
        <f>101.472</f>
        <v>101.47199999999999</v>
      </c>
      <c r="BV7">
        <f>98.74</f>
        <v>98.74</v>
      </c>
      <c r="BW7">
        <f>97.466</f>
        <v>97.465999999999994</v>
      </c>
      <c r="BX7">
        <f>95.383</f>
        <v>95.382999999999996</v>
      </c>
      <c r="BY7">
        <f>95.45</f>
        <v>95.45</v>
      </c>
      <c r="BZ7">
        <f>95.034</f>
        <v>95.034000000000006</v>
      </c>
      <c r="CA7">
        <f>93.648</f>
        <v>93.647999999999996</v>
      </c>
      <c r="CB7">
        <f>92.095</f>
        <v>92.094999999999999</v>
      </c>
      <c r="CC7">
        <f>89.279</f>
        <v>89.278999999999996</v>
      </c>
      <c r="CD7">
        <f>86.502</f>
        <v>86.501999999999995</v>
      </c>
      <c r="CE7">
        <f>84.825</f>
        <v>84.825000000000003</v>
      </c>
      <c r="CF7">
        <f>78.161</f>
        <v>78.161000000000001</v>
      </c>
      <c r="CG7">
        <f>79.119</f>
        <v>79.119</v>
      </c>
      <c r="CH7">
        <f>75.88</f>
        <v>75.88</v>
      </c>
      <c r="CI7">
        <f>74.197</f>
        <v>74.197000000000003</v>
      </c>
      <c r="CJ7">
        <f>73.174</f>
        <v>73.174000000000007</v>
      </c>
      <c r="CK7">
        <f>74.184</f>
        <v>74.183999999999997</v>
      </c>
      <c r="CL7">
        <f>72.099</f>
        <v>72.099000000000004</v>
      </c>
      <c r="CM7">
        <f>72.026</f>
        <v>72.025999999999996</v>
      </c>
      <c r="CN7">
        <f>70.004</f>
        <v>70.004000000000005</v>
      </c>
      <c r="CO7">
        <f>67.855</f>
        <v>67.855000000000004</v>
      </c>
      <c r="CP7">
        <f>68.053</f>
        <v>68.052999999999997</v>
      </c>
      <c r="CQ7">
        <f>63.465</f>
        <v>63.465000000000003</v>
      </c>
      <c r="CR7">
        <f>61.658</f>
        <v>61.658000000000001</v>
      </c>
      <c r="CS7">
        <f>61.364</f>
        <v>61.363999999999997</v>
      </c>
      <c r="CT7">
        <f>60.19</f>
        <v>60.19</v>
      </c>
      <c r="CU7">
        <f>59.278</f>
        <v>59.277999999999999</v>
      </c>
      <c r="CV7">
        <f>59.561</f>
        <v>59.561</v>
      </c>
      <c r="CW7">
        <f>60.234</f>
        <v>60.234000000000002</v>
      </c>
      <c r="CX7">
        <f>58.095</f>
        <v>58.094999999999999</v>
      </c>
      <c r="CY7">
        <f>49.844</f>
        <v>49.844000000000001</v>
      </c>
      <c r="CZ7">
        <f>50.011</f>
        <v>50.011000000000003</v>
      </c>
      <c r="DA7">
        <f>47.787</f>
        <v>47.786999999999999</v>
      </c>
      <c r="DB7">
        <f>47.827</f>
        <v>47.826999999999998</v>
      </c>
      <c r="DC7">
        <f>39.621</f>
        <v>39.621000000000002</v>
      </c>
      <c r="DD7">
        <f>45.798</f>
        <v>45.798000000000002</v>
      </c>
      <c r="DE7">
        <f>46.268</f>
        <v>46.268000000000001</v>
      </c>
      <c r="DF7">
        <f>47.292</f>
        <v>47.292000000000002</v>
      </c>
      <c r="DG7">
        <f>47.347</f>
        <v>47.347000000000001</v>
      </c>
      <c r="DH7">
        <f>46.612</f>
        <v>46.612000000000002</v>
      </c>
      <c r="DI7">
        <f>46.61</f>
        <v>46.61</v>
      </c>
      <c r="DJ7">
        <f>46.008</f>
        <v>46.008000000000003</v>
      </c>
      <c r="DK7">
        <f>53.75</f>
        <v>53.75</v>
      </c>
      <c r="DL7">
        <f>53.656</f>
        <v>53.655999999999999</v>
      </c>
      <c r="DM7">
        <f>48.756</f>
        <v>48.756</v>
      </c>
      <c r="DN7">
        <f>50.151</f>
        <v>50.151000000000003</v>
      </c>
      <c r="DO7">
        <f>37.505</f>
        <v>37.505000000000003</v>
      </c>
      <c r="DP7">
        <f>48.238</f>
        <v>48.238</v>
      </c>
      <c r="DQ7">
        <f>44.351</f>
        <v>44.350999999999999</v>
      </c>
      <c r="DR7">
        <f>39.386</f>
        <v>39.386000000000003</v>
      </c>
      <c r="DS7">
        <f>17.89</f>
        <v>17.89</v>
      </c>
      <c r="DT7">
        <f>40.89799881</f>
        <v>40.897998809999997</v>
      </c>
      <c r="DU7">
        <f>43.92699814</f>
        <v>43.926998140000002</v>
      </c>
    </row>
    <row r="8" spans="1:125">
      <c r="A8" t="str">
        <f>"    Healthcare Trust of America In"</f>
        <v xml:space="preserve">    Healthcare Trust of America In</v>
      </c>
      <c r="B8" t="str">
        <f>"HTA US Equity"</f>
        <v>HTA US Equity</v>
      </c>
      <c r="C8" t="str">
        <f t="shared" si="0"/>
        <v>IS030</v>
      </c>
      <c r="D8" t="str">
        <f t="shared" si="1"/>
        <v>IS_RENT_INC</v>
      </c>
      <c r="E8" t="str">
        <f t="shared" si="2"/>
        <v>动态</v>
      </c>
      <c r="F8" t="str">
        <f ca="1">IF(AND(ISNUMBER($F$264),$B$258=1),$F$264,HLOOKUP(INDIRECT(ADDRESS(2,COLUMN())),OFFSET($BN$2,0,0,ROW()-1,60),ROW()-1,FALSE))</f>
        <v/>
      </c>
      <c r="G8">
        <f ca="1">IF(AND(ISNUMBER($G$264),$B$258=1),$G$264,HLOOKUP(INDIRECT(ADDRESS(2,COLUMN())),OFFSET($BN$2,0,0,ROW()-1,60),ROW()-1,FALSE))</f>
        <v>173.607</v>
      </c>
      <c r="H8">
        <f ca="1">IF(AND(ISNUMBER($H$264),$B$258=1),$H$264,HLOOKUP(INDIRECT(ADDRESS(2,COLUMN())),OFFSET($BN$2,0,0,ROW()-1,60),ROW()-1,FALSE))</f>
        <v>175.43100000000001</v>
      </c>
      <c r="I8">
        <f ca="1">IF(AND(ISNUMBER($I$264),$B$258=1),$I$264,HLOOKUP(INDIRECT(ADDRESS(2,COLUMN())),OFFSET($BN$2,0,0,ROW()-1,60),ROW()-1,FALSE))</f>
        <v>139.52500000000001</v>
      </c>
      <c r="J8">
        <f ca="1">IF(AND(ISNUMBER($J$264),$B$258=1),$J$264,HLOOKUP(INDIRECT(ADDRESS(2,COLUMN())),OFFSET($BN$2,0,0,ROW()-1,60),ROW()-1,FALSE))</f>
        <v>123.99299999999999</v>
      </c>
      <c r="K8">
        <f ca="1">IF(AND(ISNUMBER($K$264),$B$258=1),$K$264,HLOOKUP(INDIRECT(ADDRESS(2,COLUMN())),OFFSET($BN$2,0,0,ROW()-1,60),ROW()-1,FALSE))</f>
        <v>121.917</v>
      </c>
      <c r="L8">
        <f ca="1">IF(AND(ISNUMBER($L$264),$B$258=1),$L$264,HLOOKUP(INDIRECT(ADDRESS(2,COLUMN())),OFFSET($BN$2,0,0,ROW()-1,60),ROW()-1,FALSE))</f>
        <v>118.252</v>
      </c>
      <c r="M8">
        <f ca="1">IF(AND(ISNUMBER($M$264),$B$258=1),$M$264,HLOOKUP(INDIRECT(ADDRESS(2,COLUMN())),OFFSET($BN$2,0,0,ROW()-1,60),ROW()-1,FALSE))</f>
        <v>113.14400000000001</v>
      </c>
      <c r="N8">
        <f ca="1">IF(AND(ISNUMBER($N$264),$B$258=1),$N$264,HLOOKUP(INDIRECT(ADDRESS(2,COLUMN())),OFFSET($BN$2,0,0,ROW()-1,60),ROW()-1,FALSE))</f>
        <v>107.25</v>
      </c>
      <c r="O8">
        <f ca="1">IF(AND(ISNUMBER($O$264),$B$258=1),$O$264,HLOOKUP(INDIRECT(ADDRESS(2,COLUMN())),OFFSET($BN$2,0,0,ROW()-1,60),ROW()-1,FALSE))</f>
        <v>101.983</v>
      </c>
      <c r="P8">
        <f ca="1">IF(AND(ISNUMBER($P$264),$B$258=1),$P$264,HLOOKUP(INDIRECT(ADDRESS(2,COLUMN())),OFFSET($BN$2,0,0,ROW()-1,60),ROW()-1,FALSE))</f>
        <v>103.875</v>
      </c>
      <c r="Q8">
        <f ca="1">IF(AND(ISNUMBER($Q$264),$B$258=1),$Q$264,HLOOKUP(INDIRECT(ADDRESS(2,COLUMN())),OFFSET($BN$2,0,0,ROW()-1,60),ROW()-1,FALSE))</f>
        <v>99.242999999999995</v>
      </c>
      <c r="R8">
        <f ca="1">IF(AND(ISNUMBER($R$264),$B$258=1),$R$264,HLOOKUP(INDIRECT(ADDRESS(2,COLUMN())),OFFSET($BN$2,0,0,ROW()-1,60),ROW()-1,FALSE))</f>
        <v>98.451999999999998</v>
      </c>
      <c r="S8">
        <f ca="1">IF(AND(ISNUMBER($S$264),$B$258=1),$S$264,HLOOKUP(INDIRECT(ADDRESS(2,COLUMN())),OFFSET($BN$2,0,0,ROW()-1,60),ROW()-1,FALSE))</f>
        <v>94.896000000000001</v>
      </c>
      <c r="T8">
        <f ca="1">IF(AND(ISNUMBER($T$264),$B$258=1),$T$264,HLOOKUP(INDIRECT(ADDRESS(2,COLUMN())),OFFSET($BN$2,0,0,ROW()-1,60),ROW()-1,FALSE))</f>
        <v>95.277000000000001</v>
      </c>
      <c r="U8">
        <f ca="1">IF(AND(ISNUMBER($U$264),$B$258=1),$U$264,HLOOKUP(INDIRECT(ADDRESS(2,COLUMN())),OFFSET($BN$2,0,0,ROW()-1,60),ROW()-1,FALSE))</f>
        <v>88.945999999999998</v>
      </c>
      <c r="V8">
        <f ca="1">IF(AND(ISNUMBER($V$264),$B$258=1),$V$264,HLOOKUP(INDIRECT(ADDRESS(2,COLUMN())),OFFSET($BN$2,0,0,ROW()-1,60),ROW()-1,FALSE))</f>
        <v>90.451999999999998</v>
      </c>
      <c r="W8">
        <f ca="1">IF(AND(ISNUMBER($W$264),$B$258=1),$W$264,HLOOKUP(INDIRECT(ADDRESS(2,COLUMN())),OFFSET($BN$2,0,0,ROW()-1,60),ROW()-1,FALSE))</f>
        <v>83.447999999999993</v>
      </c>
      <c r="X8">
        <f ca="1">IF(AND(ISNUMBER($X$264),$B$258=1),$X$264,HLOOKUP(INDIRECT(ADDRESS(2,COLUMN())),OFFSET($BN$2,0,0,ROW()-1,60),ROW()-1,FALSE))</f>
        <v>81.906000000000006</v>
      </c>
      <c r="Y8">
        <f ca="1">IF(AND(ISNUMBER($Y$264),$B$258=1),$Y$264,HLOOKUP(INDIRECT(ADDRESS(2,COLUMN())),OFFSET($BN$2,0,0,ROW()-1,60),ROW()-1,FALSE))</f>
        <v>77.004999999999995</v>
      </c>
      <c r="Z8">
        <f ca="1">IF(AND(ISNUMBER($Z$264),$B$258=1),$Z$264,HLOOKUP(INDIRECT(ADDRESS(2,COLUMN())),OFFSET($BN$2,0,0,ROW()-1,60),ROW()-1,FALSE))</f>
        <v>76.241</v>
      </c>
      <c r="AA8">
        <f ca="1">IF(AND(ISNUMBER($AA$264),$B$258=1),$AA$264,HLOOKUP(INDIRECT(ADDRESS(2,COLUMN())),OFFSET($BN$2,0,0,ROW()-1,60),ROW()-1,FALSE))</f>
        <v>72.853999999999999</v>
      </c>
      <c r="AB8">
        <f ca="1">IF(AND(ISNUMBER($AB$264),$B$258=1),$AB$264,HLOOKUP(INDIRECT(ADDRESS(2,COLUMN())),OFFSET($BN$2,0,0,ROW()-1,60),ROW()-1,FALSE))</f>
        <v>76.465000000000003</v>
      </c>
      <c r="AC8">
        <f ca="1">IF(AND(ISNUMBER($AC$264),$B$258=1),$AC$264,HLOOKUP(INDIRECT(ADDRESS(2,COLUMN())),OFFSET($BN$2,0,0,ROW()-1,60),ROW()-1,FALSE))</f>
        <v>74.388999999999996</v>
      </c>
      <c r="AD8">
        <f ca="1">IF(AND(ISNUMBER($AD$264),$B$258=1),$AD$264,HLOOKUP(INDIRECT(ADDRESS(2,COLUMN())),OFFSET($BN$2,0,0,ROW()-1,60),ROW()-1,FALSE))</f>
        <v>69.367999999999995</v>
      </c>
      <c r="AE8">
        <f ca="1">IF(AND(ISNUMBER($AE$264),$B$258=1),$AE$264,HLOOKUP(INDIRECT(ADDRESS(2,COLUMN())),OFFSET($BN$2,0,0,ROW()-1,60),ROW()-1,FALSE))</f>
        <v>65.686000000000007</v>
      </c>
      <c r="AF8">
        <f ca="1">IF(AND(ISNUMBER($AF$264),$B$258=1),$AF$264,HLOOKUP(INDIRECT(ADDRESS(2,COLUMN())),OFFSET($BN$2,0,0,ROW()-1,60),ROW()-1,FALSE))</f>
        <v>68.290999999999997</v>
      </c>
      <c r="AG8">
        <f ca="1">IF(AND(ISNUMBER($AG$264),$B$258=1),$AG$264,HLOOKUP(INDIRECT(ADDRESS(2,COLUMN())),OFFSET($BN$2,0,0,ROW()-1,60),ROW()-1,FALSE))</f>
        <v>66.426000000000002</v>
      </c>
      <c r="AH8">
        <f ca="1">IF(AND(ISNUMBER($AH$264),$B$258=1),$AH$264,HLOOKUP(INDIRECT(ADDRESS(2,COLUMN())),OFFSET($BN$2,0,0,ROW()-1,60),ROW()-1,FALSE))</f>
        <v>69.242999999999995</v>
      </c>
      <c r="AI8">
        <f ca="1">IF(AND(ISNUMBER($AI$264),$B$258=1),$AI$264,HLOOKUP(INDIRECT(ADDRESS(2,COLUMN())),OFFSET($BN$2,0,0,ROW()-1,60),ROW()-1,FALSE))</f>
        <v>57.466999999999999</v>
      </c>
      <c r="AJ8">
        <f ca="1">IF(AND(ISNUMBER($AJ$264),$B$258=1),$AJ$264,HLOOKUP(INDIRECT(ADDRESS(2,COLUMN())),OFFSET($BN$2,0,0,ROW()-1,60),ROW()-1,FALSE))</f>
        <v>50.847000000000001</v>
      </c>
      <c r="AK8">
        <f ca="1">IF(AND(ISNUMBER($AK$264),$B$258=1),$AK$264,HLOOKUP(INDIRECT(ADDRESS(2,COLUMN())),OFFSET($BN$2,0,0,ROW()-1,60),ROW()-1,FALSE))</f>
        <v>44.872999999999998</v>
      </c>
      <c r="AL8">
        <f ca="1">IF(AND(ISNUMBER($AL$264),$B$258=1),$AL$264,HLOOKUP(INDIRECT(ADDRESS(2,COLUMN())),OFFSET($BN$2,0,0,ROW()-1,60),ROW()-1,FALSE))</f>
        <v>42.308999999999997</v>
      </c>
      <c r="AM8" t="str">
        <f ca="1">IF(AND(ISNUMBER($AM$264),$B$258=1),$AM$264,HLOOKUP(INDIRECT(ADDRESS(2,COLUMN())),OFFSET($BN$2,0,0,ROW()-1,60),ROW()-1,FALSE))</f>
        <v/>
      </c>
      <c r="AN8" t="str">
        <f ca="1">IF(AND(ISNUMBER($AN$264),$B$258=1),$AN$264,HLOOKUP(INDIRECT(ADDRESS(2,COLUMN())),OFFSET($BN$2,0,0,ROW()-1,60),ROW()-1,FALSE))</f>
        <v/>
      </c>
      <c r="AO8" t="str">
        <f ca="1">IF(AND(ISNUMBER($AO$264),$B$258=1),$AO$264,HLOOKUP(INDIRECT(ADDRESS(2,COLUMN())),OFFSET($BN$2,0,0,ROW()-1,60),ROW()-1,FALSE))</f>
        <v/>
      </c>
      <c r="AP8" t="str">
        <f ca="1">IF(AND(ISNUMBER($AP$264),$B$258=1),$AP$264,HLOOKUP(INDIRECT(ADDRESS(2,COLUMN())),OFFSET($BN$2,0,0,ROW()-1,60),ROW()-1,FALSE))</f>
        <v/>
      </c>
      <c r="AQ8" t="str">
        <f ca="1">IF(AND(ISNUMBER($AQ$264),$B$258=1),$AQ$264,HLOOKUP(INDIRECT(ADDRESS(2,COLUMN())),OFFSET($BN$2,0,0,ROW()-1,60),ROW()-1,FALSE))</f>
        <v/>
      </c>
      <c r="AR8" t="str">
        <f ca="1">IF(AND(ISNUMBER($AR$264),$B$258=1),$AR$264,HLOOKUP(INDIRECT(ADDRESS(2,COLUMN())),OFFSET($BN$2,0,0,ROW()-1,60),ROW()-1,FALSE))</f>
        <v/>
      </c>
      <c r="AS8" t="str">
        <f ca="1">IF(AND(ISNUMBER($AS$264),$B$258=1),$AS$264,HLOOKUP(INDIRECT(ADDRESS(2,COLUMN())),OFFSET($BN$2,0,0,ROW()-1,60),ROW()-1,FALSE))</f>
        <v/>
      </c>
      <c r="AT8" t="str">
        <f ca="1">IF(AND(ISNUMBER($AT$264),$B$258=1),$AT$264,HLOOKUP(INDIRECT(ADDRESS(2,COLUMN())),OFFSET($BN$2,0,0,ROW()-1,60),ROW()-1,FALSE))</f>
        <v/>
      </c>
      <c r="AU8" t="str">
        <f ca="1">IF(AND(ISNUMBER($AU$264),$B$258=1),$AU$264,HLOOKUP(INDIRECT(ADDRESS(2,COLUMN())),OFFSET($BN$2,0,0,ROW()-1,60),ROW()-1,FALSE))</f>
        <v/>
      </c>
      <c r="AV8" t="str">
        <f ca="1">IF(AND(ISNUMBER($AV$264),$B$258=1),$AV$264,HLOOKUP(INDIRECT(ADDRESS(2,COLUMN())),OFFSET($BN$2,0,0,ROW()-1,60),ROW()-1,FALSE))</f>
        <v/>
      </c>
      <c r="AW8" t="str">
        <f ca="1">IF(AND(ISNUMBER($AW$264),$B$258=1),$AW$264,HLOOKUP(INDIRECT(ADDRESS(2,COLUMN())),OFFSET($BN$2,0,0,ROW()-1,60),ROW()-1,FALSE))</f>
        <v/>
      </c>
      <c r="AX8" t="str">
        <f ca="1">IF(AND(ISNUMBER($AX$264),$B$258=1),$AX$264,HLOOKUP(INDIRECT(ADDRESS(2,COLUMN())),OFFSET($BN$2,0,0,ROW()-1,60),ROW()-1,FALSE))</f>
        <v/>
      </c>
      <c r="AY8" t="str">
        <f ca="1">IF(AND(ISNUMBER($AY$264),$B$258=1),$AY$264,HLOOKUP(INDIRECT(ADDRESS(2,COLUMN())),OFFSET($BN$2,0,0,ROW()-1,60),ROW()-1,FALSE))</f>
        <v/>
      </c>
      <c r="AZ8" t="str">
        <f ca="1">IF(AND(ISNUMBER($AZ$264),$B$258=1),$AZ$264,HLOOKUP(INDIRECT(ADDRESS(2,COLUMN())),OFFSET($BN$2,0,0,ROW()-1,60),ROW()-1,FALSE))</f>
        <v/>
      </c>
      <c r="BA8" t="str">
        <f ca="1">IF(AND(ISNUMBER($BA$264),$B$258=1),$BA$264,HLOOKUP(INDIRECT(ADDRESS(2,COLUMN())),OFFSET($BN$2,0,0,ROW()-1,60),ROW()-1,FALSE))</f>
        <v/>
      </c>
      <c r="BB8" t="str">
        <f ca="1">IF(AND(ISNUMBER($BB$264),$B$258=1),$BB$264,HLOOKUP(INDIRECT(ADDRESS(2,COLUMN())),OFFSET($BN$2,0,0,ROW()-1,60),ROW()-1,FALSE))</f>
        <v/>
      </c>
      <c r="BC8" t="str">
        <f ca="1">IF(AND(ISNUMBER($BC$264),$B$258=1),$BC$264,HLOOKUP(INDIRECT(ADDRESS(2,COLUMN())),OFFSET($BN$2,0,0,ROW()-1,60),ROW()-1,FALSE))</f>
        <v/>
      </c>
      <c r="BD8" t="str">
        <f ca="1">IF(AND(ISNUMBER($BD$264),$B$258=1),$BD$264,HLOOKUP(INDIRECT(ADDRESS(2,COLUMN())),OFFSET($BN$2,0,0,ROW()-1,60),ROW()-1,FALSE))</f>
        <v/>
      </c>
      <c r="BE8" t="str">
        <f ca="1">IF(AND(ISNUMBER($BE$264),$B$258=1),$BE$264,HLOOKUP(INDIRECT(ADDRESS(2,COLUMN())),OFFSET($BN$2,0,0,ROW()-1,60),ROW()-1,FALSE))</f>
        <v/>
      </c>
      <c r="BF8" t="str">
        <f ca="1">IF(AND(ISNUMBER($BF$264),$B$258=1),$BF$264,HLOOKUP(INDIRECT(ADDRESS(2,COLUMN())),OFFSET($BN$2,0,0,ROW()-1,60),ROW()-1,FALSE))</f>
        <v/>
      </c>
      <c r="BG8" t="str">
        <f ca="1">IF(AND(ISNUMBER($BG$264),$B$258=1),$BG$264,HLOOKUP(INDIRECT(ADDRESS(2,COLUMN())),OFFSET($BN$2,0,0,ROW()-1,60),ROW()-1,FALSE))</f>
        <v/>
      </c>
      <c r="BH8" t="str">
        <f ca="1">IF(AND(ISNUMBER($BH$264),$B$258=1),$BH$264,HLOOKUP(INDIRECT(ADDRESS(2,COLUMN())),OFFSET($BN$2,0,0,ROW()-1,60),ROW()-1,FALSE))</f>
        <v/>
      </c>
      <c r="BI8" t="str">
        <f ca="1">IF(AND(ISNUMBER($BI$264),$B$258=1),$BI$264,HLOOKUP(INDIRECT(ADDRESS(2,COLUMN())),OFFSET($BN$2,0,0,ROW()-1,60),ROW()-1,FALSE))</f>
        <v/>
      </c>
      <c r="BJ8" t="str">
        <f ca="1">IF(AND(ISNUMBER($BJ$264),$B$258=1),$BJ$264,HLOOKUP(INDIRECT(ADDRESS(2,COLUMN())),OFFSET($BN$2,0,0,ROW()-1,60),ROW()-1,FALSE))</f>
        <v/>
      </c>
      <c r="BK8" t="str">
        <f ca="1">IF(AND(ISNUMBER($BK$264),$B$258=1),$BK$264,HLOOKUP(INDIRECT(ADDRESS(2,COLUMN())),OFFSET($BN$2,0,0,ROW()-1,60),ROW()-1,FALSE))</f>
        <v/>
      </c>
      <c r="BL8" t="str">
        <f ca="1">IF(AND(ISNUMBER($BL$264),$B$258=1),$BL$264,HLOOKUP(INDIRECT(ADDRESS(2,COLUMN())),OFFSET($BN$2,0,0,ROW()-1,60),ROW()-1,FALSE))</f>
        <v/>
      </c>
      <c r="BM8" t="str">
        <f ca="1">IF(AND(ISNUMBER($BM$264),$B$258=1),$BM$264,HLOOKUP(INDIRECT(ADDRESS(2,COLUMN())),OFFSET($BN$2,0,0,ROW()-1,60),ROW()-1,FALSE))</f>
        <v/>
      </c>
      <c r="BN8" t="str">
        <f>""</f>
        <v/>
      </c>
      <c r="BO8">
        <f>173.607</f>
        <v>173.607</v>
      </c>
      <c r="BP8">
        <f>175.431</f>
        <v>175.43100000000001</v>
      </c>
      <c r="BQ8">
        <f>139.525</f>
        <v>139.52500000000001</v>
      </c>
      <c r="BR8">
        <f>123.993</f>
        <v>123.99299999999999</v>
      </c>
      <c r="BS8">
        <f>121.917</f>
        <v>121.917</v>
      </c>
      <c r="BT8">
        <f>118.252</f>
        <v>118.252</v>
      </c>
      <c r="BU8">
        <f>113.144</f>
        <v>113.14400000000001</v>
      </c>
      <c r="BV8">
        <f>107.25</f>
        <v>107.25</v>
      </c>
      <c r="BW8">
        <f>101.983</f>
        <v>101.983</v>
      </c>
      <c r="BX8">
        <f>103.875</f>
        <v>103.875</v>
      </c>
      <c r="BY8">
        <f>99.243</f>
        <v>99.242999999999995</v>
      </c>
      <c r="BZ8">
        <f>98.452</f>
        <v>98.451999999999998</v>
      </c>
      <c r="CA8">
        <f>94.896</f>
        <v>94.896000000000001</v>
      </c>
      <c r="CB8">
        <f>95.277</f>
        <v>95.277000000000001</v>
      </c>
      <c r="CC8">
        <f>88.946</f>
        <v>88.945999999999998</v>
      </c>
      <c r="CD8">
        <f>90.452</f>
        <v>90.451999999999998</v>
      </c>
      <c r="CE8">
        <f>83.448</f>
        <v>83.447999999999993</v>
      </c>
      <c r="CF8">
        <f>81.906</f>
        <v>81.906000000000006</v>
      </c>
      <c r="CG8">
        <f>77.005</f>
        <v>77.004999999999995</v>
      </c>
      <c r="CH8">
        <f>76.241</f>
        <v>76.241</v>
      </c>
      <c r="CI8">
        <f>72.854</f>
        <v>72.853999999999999</v>
      </c>
      <c r="CJ8">
        <f>76.465</f>
        <v>76.465000000000003</v>
      </c>
      <c r="CK8">
        <f>74.389</f>
        <v>74.388999999999996</v>
      </c>
      <c r="CL8">
        <f>69.368</f>
        <v>69.367999999999995</v>
      </c>
      <c r="CM8">
        <f>65.686</f>
        <v>65.686000000000007</v>
      </c>
      <c r="CN8">
        <f>68.291</f>
        <v>68.290999999999997</v>
      </c>
      <c r="CO8">
        <f>66.426</f>
        <v>66.426000000000002</v>
      </c>
      <c r="CP8">
        <f>69.243</f>
        <v>69.242999999999995</v>
      </c>
      <c r="CQ8">
        <f>57.467</f>
        <v>57.466999999999999</v>
      </c>
      <c r="CR8">
        <f>50.847</f>
        <v>50.847000000000001</v>
      </c>
      <c r="CS8">
        <f>44.873</f>
        <v>44.872999999999998</v>
      </c>
      <c r="CT8">
        <f>42.309</f>
        <v>42.308999999999997</v>
      </c>
      <c r="CU8" t="str">
        <f>""</f>
        <v/>
      </c>
      <c r="CV8" t="str">
        <f>""</f>
        <v/>
      </c>
      <c r="CW8" t="str">
        <f>""</f>
        <v/>
      </c>
      <c r="CX8" t="str">
        <f>""</f>
        <v/>
      </c>
      <c r="CY8" t="str">
        <f>""</f>
        <v/>
      </c>
      <c r="CZ8" t="str">
        <f>""</f>
        <v/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</row>
    <row r="9" spans="1:125">
      <c r="A9" t="str">
        <f>"    Medical Properties Trust Inc"</f>
        <v xml:space="preserve">    Medical Properties Trust Inc</v>
      </c>
      <c r="B9" t="str">
        <f>"MPW US Equity"</f>
        <v>MPW US Equity</v>
      </c>
      <c r="C9" t="str">
        <f t="shared" si="0"/>
        <v>IS030</v>
      </c>
      <c r="D9" t="str">
        <f t="shared" si="1"/>
        <v>IS_RENT_INC</v>
      </c>
      <c r="E9" t="str">
        <f t="shared" si="2"/>
        <v>动态</v>
      </c>
      <c r="F9" t="str">
        <f ca="1">IF(AND(ISNUMBER($F$265),$B$258=1),$F$265,HLOOKUP(INDIRECT(ADDRESS(2,COLUMN())),OFFSET($BN$2,0,0,ROW()-1,60),ROW()-1,FALSE))</f>
        <v/>
      </c>
      <c r="G9">
        <f ca="1">IF(AND(ISNUMBER($G$265),$B$258=1),$G$265,HLOOKUP(INDIRECT(ADDRESS(2,COLUMN())),OFFSET($BN$2,0,0,ROW()-1,60),ROW()-1,FALSE))</f>
        <v>162.73699999999999</v>
      </c>
      <c r="H9">
        <f ca="1">IF(AND(ISNUMBER($H$265),$B$258=1),$H$265,HLOOKUP(INDIRECT(ADDRESS(2,COLUMN())),OFFSET($BN$2,0,0,ROW()-1,60),ROW()-1,FALSE))</f>
        <v>147.55000000000001</v>
      </c>
      <c r="I9">
        <f ca="1">IF(AND(ISNUMBER($I$265),$B$258=1),$I$265,HLOOKUP(INDIRECT(ADDRESS(2,COLUMN())),OFFSET($BN$2,0,0,ROW()-1,60),ROW()-1,FALSE))</f>
        <v>138.036</v>
      </c>
      <c r="J9">
        <f ca="1">IF(AND(ISNUMBER($J$265),$B$258=1),$J$265,HLOOKUP(INDIRECT(ADDRESS(2,COLUMN())),OFFSET($BN$2,0,0,ROW()-1,60),ROW()-1,FALSE))</f>
        <v>127.422</v>
      </c>
      <c r="K9">
        <f ca="1">IF(AND(ISNUMBER($K$265),$B$258=1),$K$265,HLOOKUP(INDIRECT(ADDRESS(2,COLUMN())),OFFSET($BN$2,0,0,ROW()-1,60),ROW()-1,FALSE))</f>
        <v>124.545</v>
      </c>
      <c r="L9">
        <f ca="1">IF(AND(ISNUMBER($L$265),$B$258=1),$L$265,HLOOKUP(INDIRECT(ADDRESS(2,COLUMN())),OFFSET($BN$2,0,0,ROW()-1,60),ROW()-1,FALSE))</f>
        <v>106.806</v>
      </c>
      <c r="M9">
        <f ca="1">IF(AND(ISNUMBER($M$265),$B$258=1),$M$265,HLOOKUP(INDIRECT(ADDRESS(2,COLUMN())),OFFSET($BN$2,0,0,ROW()-1,60),ROW()-1,FALSE))</f>
        <v>100.063</v>
      </c>
      <c r="N9">
        <f ca="1">IF(AND(ISNUMBER($N$265),$B$258=1),$N$265,HLOOKUP(INDIRECT(ADDRESS(2,COLUMN())),OFFSET($BN$2,0,0,ROW()-1,60),ROW()-1,FALSE))</f>
        <v>101.229</v>
      </c>
      <c r="O9">
        <f ca="1">IF(AND(ISNUMBER($O$265),$B$258=1),$O$265,HLOOKUP(INDIRECT(ADDRESS(2,COLUMN())),OFFSET($BN$2,0,0,ROW()-1,60),ROW()-1,FALSE))</f>
        <v>97.284999999999997</v>
      </c>
      <c r="P9">
        <f ca="1">IF(AND(ISNUMBER($P$265),$B$258=1),$P$265,HLOOKUP(INDIRECT(ADDRESS(2,COLUMN())),OFFSET($BN$2,0,0,ROW()-1,60),ROW()-1,FALSE))</f>
        <v>90.072999999999993</v>
      </c>
      <c r="Q9">
        <f ca="1">IF(AND(ISNUMBER($Q$265),$B$258=1),$Q$265,HLOOKUP(INDIRECT(ADDRESS(2,COLUMN())),OFFSET($BN$2,0,0,ROW()-1,60),ROW()-1,FALSE))</f>
        <v>71.953000000000003</v>
      </c>
      <c r="R9">
        <f ca="1">IF(AND(ISNUMBER($R$265),$B$258=1),$R$265,HLOOKUP(INDIRECT(ADDRESS(2,COLUMN())),OFFSET($BN$2,0,0,ROW()-1,60),ROW()-1,FALSE))</f>
        <v>70.382999999999996</v>
      </c>
      <c r="S9">
        <f ca="1">IF(AND(ISNUMBER($S$265),$B$258=1),$S$265,HLOOKUP(INDIRECT(ADDRESS(2,COLUMN())),OFFSET($BN$2,0,0,ROW()-1,60),ROW()-1,FALSE))</f>
        <v>65.292316999999997</v>
      </c>
      <c r="T9">
        <f ca="1">IF(AND(ISNUMBER($T$265),$B$258=1),$T$265,HLOOKUP(INDIRECT(ADDRESS(2,COLUMN())),OFFSET($BN$2,0,0,ROW()-1,60),ROW()-1,FALSE))</f>
        <v>65.653000000000006</v>
      </c>
      <c r="U9">
        <f ca="1">IF(AND(ISNUMBER($U$265),$B$258=1),$U$265,HLOOKUP(INDIRECT(ADDRESS(2,COLUMN())),OFFSET($BN$2,0,0,ROW()-1,60),ROW()-1,FALSE))</f>
        <v>61.369</v>
      </c>
      <c r="V9">
        <f ca="1">IF(AND(ISNUMBER($V$265),$B$258=1),$V$265,HLOOKUP(INDIRECT(ADDRESS(2,COLUMN())),OFFSET($BN$2,0,0,ROW()-1,60),ROW()-1,FALSE))</f>
        <v>57.32</v>
      </c>
      <c r="W9">
        <f ca="1">IF(AND(ISNUMBER($W$265),$B$258=1),$W$265,HLOOKUP(INDIRECT(ADDRESS(2,COLUMN())),OFFSET($BN$2,0,0,ROW()-1,60),ROW()-1,FALSE))</f>
        <v>52.540143</v>
      </c>
      <c r="X9">
        <f ca="1">IF(AND(ISNUMBER($X$265),$B$258=1),$X$265,HLOOKUP(INDIRECT(ADDRESS(2,COLUMN())),OFFSET($BN$2,0,0,ROW()-1,60),ROW()-1,FALSE))</f>
        <v>45.725999999999999</v>
      </c>
      <c r="Y9">
        <f ca="1">IF(AND(ISNUMBER($Y$265),$B$258=1),$Y$265,HLOOKUP(INDIRECT(ADDRESS(2,COLUMN())),OFFSET($BN$2,0,0,ROW()-1,60),ROW()-1,FALSE))</f>
        <v>43.030999999999999</v>
      </c>
      <c r="Z9">
        <f ca="1">IF(AND(ISNUMBER($Z$265),$B$258=1),$Z$265,HLOOKUP(INDIRECT(ADDRESS(2,COLUMN())),OFFSET($BN$2,0,0,ROW()-1,60),ROW()-1,FALSE))</f>
        <v>42.905999999999999</v>
      </c>
      <c r="AA9">
        <f ca="1">IF(AND(ISNUMBER($AA$265),$B$258=1),$AA$265,HLOOKUP(INDIRECT(ADDRESS(2,COLUMN())),OFFSET($BN$2,0,0,ROW()-1,60),ROW()-1,FALSE))</f>
        <v>41.476888000000002</v>
      </c>
      <c r="AB9">
        <f ca="1">IF(AND(ISNUMBER($AB$265),$B$258=1),$AB$265,HLOOKUP(INDIRECT(ADDRESS(2,COLUMN())),OFFSET($BN$2,0,0,ROW()-1,60),ROW()-1,FALSE))</f>
        <v>38.816000000000003</v>
      </c>
      <c r="AC9">
        <f ca="1">IF(AND(ISNUMBER($AC$265),$B$258=1),$AC$265,HLOOKUP(INDIRECT(ADDRESS(2,COLUMN())),OFFSET($BN$2,0,0,ROW()-1,60),ROW()-1,FALSE))</f>
        <v>37.390999999999998</v>
      </c>
      <c r="AD9">
        <f ca="1">IF(AND(ISNUMBER($AD$265),$B$258=1),$AD$265,HLOOKUP(INDIRECT(ADDRESS(2,COLUMN())),OFFSET($BN$2,0,0,ROW()-1,60),ROW()-1,FALSE))</f>
        <v>33.345999999999997</v>
      </c>
      <c r="AE9">
        <f ca="1">IF(AND(ISNUMBER($AE$265),$B$258=1),$AE$265,HLOOKUP(INDIRECT(ADDRESS(2,COLUMN())),OFFSET($BN$2,0,0,ROW()-1,60),ROW()-1,FALSE))</f>
        <v>28.760605999999999</v>
      </c>
      <c r="AF9">
        <f ca="1">IF(AND(ISNUMBER($AF$265),$B$258=1),$AF$265,HLOOKUP(INDIRECT(ADDRESS(2,COLUMN())),OFFSET($BN$2,0,0,ROW()-1,60),ROW()-1,FALSE))</f>
        <v>29.402999999999999</v>
      </c>
      <c r="AG9">
        <f ca="1">IF(AND(ISNUMBER($AG$265),$B$258=1),$AG$265,HLOOKUP(INDIRECT(ADDRESS(2,COLUMN())),OFFSET($BN$2,0,0,ROW()-1,60),ROW()-1,FALSE))</f>
        <v>29.687000000000001</v>
      </c>
      <c r="AH9">
        <f ca="1">IF(AND(ISNUMBER($AH$265),$B$258=1),$AH$265,HLOOKUP(INDIRECT(ADDRESS(2,COLUMN())),OFFSET($BN$2,0,0,ROW()-1,60),ROW()-1,FALSE))</f>
        <v>29.065000000000001</v>
      </c>
      <c r="AI9">
        <f ca="1">IF(AND(ISNUMBER($AI$265),$B$258=1),$AI$265,HLOOKUP(INDIRECT(ADDRESS(2,COLUMN())),OFFSET($BN$2,0,0,ROW()-1,60),ROW()-1,FALSE))</f>
        <v>24.283479</v>
      </c>
      <c r="AJ9">
        <f ca="1">IF(AND(ISNUMBER($AJ$265),$B$258=1),$AJ$265,HLOOKUP(INDIRECT(ADDRESS(2,COLUMN())),OFFSET($BN$2,0,0,ROW()-1,60),ROW()-1,FALSE))</f>
        <v>22.347999999999999</v>
      </c>
      <c r="AK9">
        <f ca="1">IF(AND(ISNUMBER($AK$265),$B$258=1),$AK$265,HLOOKUP(INDIRECT(ADDRESS(2,COLUMN())),OFFSET($BN$2,0,0,ROW()-1,60),ROW()-1,FALSE))</f>
        <v>24.094000000000001</v>
      </c>
      <c r="AL9">
        <f ca="1">IF(AND(ISNUMBER($AL$265),$B$258=1),$AL$265,HLOOKUP(INDIRECT(ADDRESS(2,COLUMN())),OFFSET($BN$2,0,0,ROW()-1,60),ROW()-1,FALSE))</f>
        <v>23.059000000000001</v>
      </c>
      <c r="AM9">
        <f ca="1">IF(AND(ISNUMBER($AM$265),$B$258=1),$AM$265,HLOOKUP(INDIRECT(ADDRESS(2,COLUMN())),OFFSET($BN$2,0,0,ROW()-1,60),ROW()-1,FALSE))</f>
        <v>22.755607999999999</v>
      </c>
      <c r="AN9">
        <f ca="1">IF(AND(ISNUMBER($AN$265),$B$258=1),$AN$265,HLOOKUP(INDIRECT(ADDRESS(2,COLUMN())),OFFSET($BN$2,0,0,ROW()-1,60),ROW()-1,FALSE))</f>
        <v>24.126000000000001</v>
      </c>
      <c r="AO9">
        <f ca="1">IF(AND(ISNUMBER($AO$265),$B$258=1),$AO$265,HLOOKUP(INDIRECT(ADDRESS(2,COLUMN())),OFFSET($BN$2,0,0,ROW()-1,60),ROW()-1,FALSE))</f>
        <v>22.172000000000001</v>
      </c>
      <c r="AP9">
        <f ca="1">IF(AND(ISNUMBER($AP$265),$B$258=1),$AP$265,HLOOKUP(INDIRECT(ADDRESS(2,COLUMN())),OFFSET($BN$2,0,0,ROW()-1,60),ROW()-1,FALSE))</f>
        <v>24.55</v>
      </c>
      <c r="AQ9">
        <f ca="1">IF(AND(ISNUMBER($AQ$265),$B$258=1),$AQ$265,HLOOKUP(INDIRECT(ADDRESS(2,COLUMN())),OFFSET($BN$2,0,0,ROW()-1,60),ROW()-1,FALSE))</f>
        <v>21.993607999999998</v>
      </c>
      <c r="AR9">
        <f ca="1">IF(AND(ISNUMBER($AR$265),$B$258=1),$AR$265,HLOOKUP(INDIRECT(ADDRESS(2,COLUMN())),OFFSET($BN$2,0,0,ROW()-1,60),ROW()-1,FALSE))</f>
        <v>25.099</v>
      </c>
      <c r="AS9">
        <f ca="1">IF(AND(ISNUMBER($AS$265),$B$258=1),$AS$265,HLOOKUP(INDIRECT(ADDRESS(2,COLUMN())),OFFSET($BN$2,0,0,ROW()-1,60),ROW()-1,FALSE))</f>
        <v>23.626000000000001</v>
      </c>
      <c r="AT9">
        <f ca="1">IF(AND(ISNUMBER($AT$265),$B$258=1),$AT$265,HLOOKUP(INDIRECT(ADDRESS(2,COLUMN())),OFFSET($BN$2,0,0,ROW()-1,60),ROW()-1,FALSE))</f>
        <v>16.631</v>
      </c>
      <c r="AU9">
        <f ca="1">IF(AND(ISNUMBER($AU$265),$B$258=1),$AU$265,HLOOKUP(INDIRECT(ADDRESS(2,COLUMN())),OFFSET($BN$2,0,0,ROW()-1,60),ROW()-1,FALSE))</f>
        <v>16.145446</v>
      </c>
      <c r="AV9">
        <f ca="1">IF(AND(ISNUMBER($AV$265),$B$258=1),$AV$265,HLOOKUP(INDIRECT(ADDRESS(2,COLUMN())),OFFSET($BN$2,0,0,ROW()-1,60),ROW()-1,FALSE))</f>
        <v>14.610569</v>
      </c>
      <c r="AW9">
        <f ca="1">IF(AND(ISNUMBER($AW$265),$B$258=1),$AW$265,HLOOKUP(INDIRECT(ADDRESS(2,COLUMN())),OFFSET($BN$2,0,0,ROW()-1,60),ROW()-1,FALSE))</f>
        <v>11.486802000000001</v>
      </c>
      <c r="AX9">
        <f ca="1">IF(AND(ISNUMBER($AX$265),$B$258=1),$AX$265,HLOOKUP(INDIRECT(ADDRESS(2,COLUMN())),OFFSET($BN$2,0,0,ROW()-1,60),ROW()-1,FALSE))</f>
        <v>9.3125289999999996</v>
      </c>
      <c r="AY9">
        <f ca="1">IF(AND(ISNUMBER($AY$265),$B$258=1),$AY$265,HLOOKUP(INDIRECT(ADDRESS(2,COLUMN())),OFFSET($BN$2,0,0,ROW()-1,60),ROW()-1,FALSE))</f>
        <v>11.919684</v>
      </c>
      <c r="AZ9">
        <f ca="1">IF(AND(ISNUMBER($AZ$265),$B$258=1),$AZ$265,HLOOKUP(INDIRECT(ADDRESS(2,COLUMN())),OFFSET($BN$2,0,0,ROW()-1,60),ROW()-1,FALSE))</f>
        <v>9.3046919999999993</v>
      </c>
      <c r="BA9">
        <f ca="1">IF(AND(ISNUMBER($BA$265),$B$258=1),$BA$265,HLOOKUP(INDIRECT(ADDRESS(2,COLUMN())),OFFSET($BN$2,0,0,ROW()-1,60),ROW()-1,FALSE))</f>
        <v>8.5566209999999998</v>
      </c>
      <c r="BB9">
        <f ca="1">IF(AND(ISNUMBER($BB$265),$B$258=1),$BB$265,HLOOKUP(INDIRECT(ADDRESS(2,COLUMN())),OFFSET($BN$2,0,0,ROW()-1,60),ROW()-1,FALSE))</f>
        <v>8.2655259999999995</v>
      </c>
      <c r="BC9">
        <f ca="1">IF(AND(ISNUMBER($BC$265),$B$258=1),$BC$265,HLOOKUP(INDIRECT(ADDRESS(2,COLUMN())),OFFSET($BN$2,0,0,ROW()-1,60),ROW()-1,FALSE))</f>
        <v>7.2680939999999996</v>
      </c>
      <c r="BD9">
        <f ca="1">IF(AND(ISNUMBER($BD$265),$B$258=1),$BD$265,HLOOKUP(INDIRECT(ADDRESS(2,COLUMN())),OFFSET($BN$2,0,0,ROW()-1,60),ROW()-1,FALSE))</f>
        <v>6.9712730000000001</v>
      </c>
      <c r="BE9">
        <f ca="1">IF(AND(ISNUMBER($BE$265),$B$258=1),$BE$265,HLOOKUP(INDIRECT(ADDRESS(2,COLUMN())),OFFSET($BN$2,0,0,ROW()-1,60),ROW()-1,FALSE))</f>
        <v>6.12462616</v>
      </c>
      <c r="BF9">
        <f ca="1">IF(AND(ISNUMBER($BF$265),$B$258=1),$BF$265,HLOOKUP(INDIRECT(ADDRESS(2,COLUMN())),OFFSET($BN$2,0,0,ROW()-1,60),ROW()-1,FALSE))</f>
        <v>5.2680001259999996</v>
      </c>
      <c r="BG9" t="str">
        <f ca="1">IF(AND(ISNUMBER($BG$265),$B$258=1),$BG$265,HLOOKUP(INDIRECT(ADDRESS(2,COLUMN())),OFFSET($BN$2,0,0,ROW()-1,60),ROW()-1,FALSE))</f>
        <v/>
      </c>
      <c r="BH9" t="str">
        <f ca="1">IF(AND(ISNUMBER($BH$265),$B$258=1),$BH$265,HLOOKUP(INDIRECT(ADDRESS(2,COLUMN())),OFFSET($BN$2,0,0,ROW()-1,60),ROW()-1,FALSE))</f>
        <v/>
      </c>
      <c r="BI9" t="str">
        <f ca="1">IF(AND(ISNUMBER($BI$265),$B$258=1),$BI$265,HLOOKUP(INDIRECT(ADDRESS(2,COLUMN())),OFFSET($BN$2,0,0,ROW()-1,60),ROW()-1,FALSE))</f>
        <v/>
      </c>
      <c r="BJ9" t="str">
        <f ca="1">IF(AND(ISNUMBER($BJ$265),$B$258=1),$BJ$265,HLOOKUP(INDIRECT(ADDRESS(2,COLUMN())),OFFSET($BN$2,0,0,ROW()-1,60),ROW()-1,FALSE))</f>
        <v/>
      </c>
      <c r="BK9" t="str">
        <f ca="1">IF(AND(ISNUMBER($BK$265),$B$258=1),$BK$265,HLOOKUP(INDIRECT(ADDRESS(2,COLUMN())),OFFSET($BN$2,0,0,ROW()-1,60),ROW()-1,FALSE))</f>
        <v/>
      </c>
      <c r="BL9" t="str">
        <f ca="1">IF(AND(ISNUMBER($BL$265),$B$258=1),$BL$265,HLOOKUP(INDIRECT(ADDRESS(2,COLUMN())),OFFSET($BN$2,0,0,ROW()-1,60),ROW()-1,FALSE))</f>
        <v/>
      </c>
      <c r="BM9" t="str">
        <f ca="1">IF(AND(ISNUMBER($BM$265),$B$258=1),$BM$265,HLOOKUP(INDIRECT(ADDRESS(2,COLUMN())),OFFSET($BN$2,0,0,ROW()-1,60),ROW()-1,FALSE))</f>
        <v/>
      </c>
      <c r="BN9" t="str">
        <f>""</f>
        <v/>
      </c>
      <c r="BO9">
        <f>162.737</f>
        <v>162.73699999999999</v>
      </c>
      <c r="BP9">
        <f>147.55</f>
        <v>147.55000000000001</v>
      </c>
      <c r="BQ9">
        <f>138.036</f>
        <v>138.036</v>
      </c>
      <c r="BR9">
        <f>127.422</f>
        <v>127.422</v>
      </c>
      <c r="BS9">
        <f>124.545</f>
        <v>124.545</v>
      </c>
      <c r="BT9">
        <f>106.806</f>
        <v>106.806</v>
      </c>
      <c r="BU9">
        <f>100.063</f>
        <v>100.063</v>
      </c>
      <c r="BV9">
        <f>101.229</f>
        <v>101.229</v>
      </c>
      <c r="BW9">
        <f>97.285</f>
        <v>97.284999999999997</v>
      </c>
      <c r="BX9">
        <f>90.073</f>
        <v>90.072999999999993</v>
      </c>
      <c r="BY9">
        <f>71.953</f>
        <v>71.953000000000003</v>
      </c>
      <c r="BZ9">
        <f>70.383</f>
        <v>70.382999999999996</v>
      </c>
      <c r="CA9">
        <f>65.292317</f>
        <v>65.292316999999997</v>
      </c>
      <c r="CB9">
        <f>65.653</f>
        <v>65.653000000000006</v>
      </c>
      <c r="CC9">
        <f>61.369</f>
        <v>61.369</v>
      </c>
      <c r="CD9">
        <f>57.32</f>
        <v>57.32</v>
      </c>
      <c r="CE9">
        <f>52.540143</f>
        <v>52.540143</v>
      </c>
      <c r="CF9">
        <f>45.726</f>
        <v>45.725999999999999</v>
      </c>
      <c r="CG9">
        <f>43.031</f>
        <v>43.030999999999999</v>
      </c>
      <c r="CH9">
        <f>42.906</f>
        <v>42.905999999999999</v>
      </c>
      <c r="CI9">
        <f>41.476888</f>
        <v>41.476888000000002</v>
      </c>
      <c r="CJ9">
        <f>38.816</f>
        <v>38.816000000000003</v>
      </c>
      <c r="CK9">
        <f>37.391</f>
        <v>37.390999999999998</v>
      </c>
      <c r="CL9">
        <f>33.346</f>
        <v>33.345999999999997</v>
      </c>
      <c r="CM9">
        <f>28.760606</f>
        <v>28.760605999999999</v>
      </c>
      <c r="CN9">
        <f>29.403</f>
        <v>29.402999999999999</v>
      </c>
      <c r="CO9">
        <f>29.687</f>
        <v>29.687000000000001</v>
      </c>
      <c r="CP9">
        <f>29.065</f>
        <v>29.065000000000001</v>
      </c>
      <c r="CQ9">
        <f>24.283479</f>
        <v>24.283479</v>
      </c>
      <c r="CR9">
        <f>22.348</f>
        <v>22.347999999999999</v>
      </c>
      <c r="CS9">
        <f>24.094</f>
        <v>24.094000000000001</v>
      </c>
      <c r="CT9">
        <f>23.059</f>
        <v>23.059000000000001</v>
      </c>
      <c r="CU9">
        <f>22.755608</f>
        <v>22.755607999999999</v>
      </c>
      <c r="CV9">
        <f>24.126</f>
        <v>24.126000000000001</v>
      </c>
      <c r="CW9">
        <f>22.172</f>
        <v>22.172000000000001</v>
      </c>
      <c r="CX9">
        <f>24.55</f>
        <v>24.55</v>
      </c>
      <c r="CY9">
        <f>21.993608</f>
        <v>21.993607999999998</v>
      </c>
      <c r="CZ9">
        <f>25.099</f>
        <v>25.099</v>
      </c>
      <c r="DA9">
        <f>23.626</f>
        <v>23.626000000000001</v>
      </c>
      <c r="DB9">
        <f>16.631</f>
        <v>16.631</v>
      </c>
      <c r="DC9">
        <f>16.145446</f>
        <v>16.145446</v>
      </c>
      <c r="DD9">
        <f>14.610569</f>
        <v>14.610569</v>
      </c>
      <c r="DE9">
        <f>11.486802</f>
        <v>11.486802000000001</v>
      </c>
      <c r="DF9">
        <f>9.312529</f>
        <v>9.3125289999999996</v>
      </c>
      <c r="DG9">
        <f>11.919684</f>
        <v>11.919684</v>
      </c>
      <c r="DH9">
        <f>9.304692</f>
        <v>9.3046919999999993</v>
      </c>
      <c r="DI9">
        <f>8.556621</f>
        <v>8.5566209999999998</v>
      </c>
      <c r="DJ9">
        <f>8.265526</f>
        <v>8.2655259999999995</v>
      </c>
      <c r="DK9">
        <f>7.268094</f>
        <v>7.2680939999999996</v>
      </c>
      <c r="DL9">
        <f>6.971273</f>
        <v>6.9712730000000001</v>
      </c>
      <c r="DM9">
        <f>6.12462616</f>
        <v>6.12462616</v>
      </c>
      <c r="DN9">
        <f>5.268000126</f>
        <v>5.2680001259999996</v>
      </c>
      <c r="DO9" t="str">
        <f>""</f>
        <v/>
      </c>
      <c r="DP9" t="str">
        <f>""</f>
        <v/>
      </c>
      <c r="DQ9" t="str">
        <f>""</f>
        <v/>
      </c>
      <c r="DR9" t="str">
        <f>""</f>
        <v/>
      </c>
      <c r="DS9" t="str">
        <f>""</f>
        <v/>
      </c>
      <c r="DT9" t="str">
        <f>""</f>
        <v/>
      </c>
      <c r="DU9" t="str">
        <f>""</f>
        <v/>
      </c>
    </row>
    <row r="10" spans="1:125">
      <c r="A10" t="str">
        <f>"    Omega Healthcare Investors Inc"</f>
        <v xml:space="preserve">    Omega Healthcare Investors Inc</v>
      </c>
      <c r="B10" t="str">
        <f>"OHI US Equity"</f>
        <v>OHI US Equity</v>
      </c>
      <c r="C10" t="str">
        <f t="shared" si="0"/>
        <v>IS030</v>
      </c>
      <c r="D10" t="str">
        <f t="shared" si="1"/>
        <v>IS_RENT_INC</v>
      </c>
      <c r="E10" t="str">
        <f t="shared" si="2"/>
        <v>动态</v>
      </c>
      <c r="F10" t="str">
        <f ca="1">IF(AND(ISNUMBER($F$266),$B$258=1),$F$266,HLOOKUP(INDIRECT(ADDRESS(2,COLUMN())),OFFSET($BN$2,0,0,ROW()-1,60),ROW()-1,FALSE))</f>
        <v/>
      </c>
      <c r="G10">
        <f ca="1">IF(AND(ISNUMBER($G$266),$B$258=1),$G$266,HLOOKUP(INDIRECT(ADDRESS(2,COLUMN())),OFFSET($BN$2,0,0,ROW()-1,60),ROW()-1,FALSE))</f>
        <v>195.19300000000001</v>
      </c>
      <c r="H10">
        <f ca="1">IF(AND(ISNUMBER($H$266),$B$258=1),$H$266,HLOOKUP(INDIRECT(ADDRESS(2,COLUMN())),OFFSET($BN$2,0,0,ROW()-1,60),ROW()-1,FALSE))</f>
        <v>194.67699999999999</v>
      </c>
      <c r="I10">
        <f ca="1">IF(AND(ISNUMBER($I$266),$B$258=1),$I$266,HLOOKUP(INDIRECT(ADDRESS(2,COLUMN())),OFFSET($BN$2,0,0,ROW()-1,60),ROW()-1,FALSE))</f>
        <v>209.459</v>
      </c>
      <c r="J10">
        <f ca="1">IF(AND(ISNUMBER($J$266),$B$258=1),$J$266,HLOOKUP(INDIRECT(ADDRESS(2,COLUMN())),OFFSET($BN$2,0,0,ROW()-1,60),ROW()-1,FALSE))</f>
        <v>208.18299999999999</v>
      </c>
      <c r="K10">
        <f ca="1">IF(AND(ISNUMBER($K$266),$B$258=1),$K$266,HLOOKUP(INDIRECT(ADDRESS(2,COLUMN())),OFFSET($BN$2,0,0,ROW()-1,60),ROW()-1,FALSE))</f>
        <v>210.61500000000001</v>
      </c>
      <c r="L10">
        <f ca="1">IF(AND(ISNUMBER($L$266),$B$258=1),$L$266,HLOOKUP(INDIRECT(ADDRESS(2,COLUMN())),OFFSET($BN$2,0,0,ROW()-1,60),ROW()-1,FALSE))</f>
        <v>201.44800000000001</v>
      </c>
      <c r="M10">
        <f ca="1">IF(AND(ISNUMBER($M$266),$B$258=1),$M$266,HLOOKUP(INDIRECT(ADDRESS(2,COLUMN())),OFFSET($BN$2,0,0,ROW()-1,60),ROW()-1,FALSE))</f>
        <v>201.97499999999999</v>
      </c>
      <c r="N10">
        <f ca="1">IF(AND(ISNUMBER($N$266),$B$258=1),$N$266,HLOOKUP(INDIRECT(ADDRESS(2,COLUMN())),OFFSET($BN$2,0,0,ROW()-1,60),ROW()-1,FALSE))</f>
        <v>192.14500000000001</v>
      </c>
      <c r="O10">
        <f ca="1">IF(AND(ISNUMBER($O$266),$B$258=1),$O$266,HLOOKUP(INDIRECT(ADDRESS(2,COLUMN())),OFFSET($BN$2,0,0,ROW()-1,60),ROW()-1,FALSE))</f>
        <v>190.64599999999999</v>
      </c>
      <c r="P10">
        <f ca="1">IF(AND(ISNUMBER($P$266),$B$258=1),$P$266,HLOOKUP(INDIRECT(ADDRESS(2,COLUMN())),OFFSET($BN$2,0,0,ROW()-1,60),ROW()-1,FALSE))</f>
        <v>181.839</v>
      </c>
      <c r="Q10">
        <f ca="1">IF(AND(ISNUMBER($Q$266),$B$258=1),$Q$266,HLOOKUP(INDIRECT(ADDRESS(2,COLUMN())),OFFSET($BN$2,0,0,ROW()-1,60),ROW()-1,FALSE))</f>
        <v>178.13200000000001</v>
      </c>
      <c r="R10">
        <f ca="1">IF(AND(ISNUMBER($R$266),$B$258=1),$R$266,HLOOKUP(INDIRECT(ADDRESS(2,COLUMN())),OFFSET($BN$2,0,0,ROW()-1,60),ROW()-1,FALSE))</f>
        <v>115.31</v>
      </c>
      <c r="S10">
        <f ca="1">IF(AND(ISNUMBER($S$266),$B$258=1),$S$266,HLOOKUP(INDIRECT(ADDRESS(2,COLUMN())),OFFSET($BN$2,0,0,ROW()-1,60),ROW()-1,FALSE))</f>
        <v>113.02500000000001</v>
      </c>
      <c r="T10">
        <f ca="1">IF(AND(ISNUMBER($T$266),$B$258=1),$T$266,HLOOKUP(INDIRECT(ADDRESS(2,COLUMN())),OFFSET($BN$2,0,0,ROW()-1,60),ROW()-1,FALSE))</f>
        <v>111.747</v>
      </c>
      <c r="U10">
        <f ca="1">IF(AND(ISNUMBER($U$266),$B$258=1),$U$266,HLOOKUP(INDIRECT(ADDRESS(2,COLUMN())),OFFSET($BN$2,0,0,ROW()-1,60),ROW()-1,FALSE))</f>
        <v>110.38800000000001</v>
      </c>
      <c r="V10">
        <f ca="1">IF(AND(ISNUMBER($V$266),$B$258=1),$V$266,HLOOKUP(INDIRECT(ADDRESS(2,COLUMN())),OFFSET($BN$2,0,0,ROW()-1,60),ROW()-1,FALSE))</f>
        <v>110.002</v>
      </c>
      <c r="W10">
        <f ca="1">IF(AND(ISNUMBER($W$266),$B$258=1),$W$266,HLOOKUP(INDIRECT(ADDRESS(2,COLUMN())),OFFSET($BN$2,0,0,ROW()-1,60),ROW()-1,FALSE))</f>
        <v>100.32299999999999</v>
      </c>
      <c r="X10">
        <f ca="1">IF(AND(ISNUMBER($X$266),$B$258=1),$X$266,HLOOKUP(INDIRECT(ADDRESS(2,COLUMN())),OFFSET($BN$2,0,0,ROW()-1,60),ROW()-1,FALSE))</f>
        <v>93.837000000000003</v>
      </c>
      <c r="Y10">
        <f ca="1">IF(AND(ISNUMBER($Y$266),$B$258=1),$Y$266,HLOOKUP(INDIRECT(ADDRESS(2,COLUMN())),OFFSET($BN$2,0,0,ROW()-1,60),ROW()-1,FALSE))</f>
        <v>93.069000000000003</v>
      </c>
      <c r="Z10">
        <f ca="1">IF(AND(ISNUMBER($Z$266),$B$258=1),$Z$266,HLOOKUP(INDIRECT(ADDRESS(2,COLUMN())),OFFSET($BN$2,0,0,ROW()-1,60),ROW()-1,FALSE))</f>
        <v>93.108999999999995</v>
      </c>
      <c r="AA10">
        <f ca="1">IF(AND(ISNUMBER($AA$266),$B$258=1),$AA$266,HLOOKUP(INDIRECT(ADDRESS(2,COLUMN())),OFFSET($BN$2,0,0,ROW()-1,60),ROW()-1,FALSE))</f>
        <v>85.218999999999994</v>
      </c>
      <c r="AB10">
        <f ca="1">IF(AND(ISNUMBER($AB$266),$B$258=1),$AB$266,HLOOKUP(INDIRECT(ADDRESS(2,COLUMN())),OFFSET($BN$2,0,0,ROW()-1,60),ROW()-1,FALSE))</f>
        <v>78.17</v>
      </c>
      <c r="AC10">
        <f ca="1">IF(AND(ISNUMBER($AC$266),$B$258=1),$AC$266,HLOOKUP(INDIRECT(ADDRESS(2,COLUMN())),OFFSET($BN$2,0,0,ROW()-1,60),ROW()-1,FALSE))</f>
        <v>75.227999999999994</v>
      </c>
      <c r="AD10">
        <f ca="1">IF(AND(ISNUMBER($AD$266),$B$258=1),$AD$266,HLOOKUP(INDIRECT(ADDRESS(2,COLUMN())),OFFSET($BN$2,0,0,ROW()-1,60),ROW()-1,FALSE))</f>
        <v>75.974999999999994</v>
      </c>
      <c r="AE10">
        <f ca="1">IF(AND(ISNUMBER($AE$266),$B$258=1),$AE$266,HLOOKUP(INDIRECT(ADDRESS(2,COLUMN())),OFFSET($BN$2,0,0,ROW()-1,60),ROW()-1,FALSE))</f>
        <v>70.070999999999998</v>
      </c>
      <c r="AF10">
        <f ca="1">IF(AND(ISNUMBER($AF$266),$B$258=1),$AF$266,HLOOKUP(INDIRECT(ADDRESS(2,COLUMN())),OFFSET($BN$2,0,0,ROW()-1,60),ROW()-1,FALSE))</f>
        <v>68.622</v>
      </c>
      <c r="AG10">
        <f ca="1">IF(AND(ISNUMBER($AG$266),$B$258=1),$AG$266,HLOOKUP(INDIRECT(ADDRESS(2,COLUMN())),OFFSET($BN$2,0,0,ROW()-1,60),ROW()-1,FALSE))</f>
        <v>68.486999999999995</v>
      </c>
      <c r="AH10">
        <f ca="1">IF(AND(ISNUMBER($AH$266),$B$258=1),$AH$266,HLOOKUP(INDIRECT(ADDRESS(2,COLUMN())),OFFSET($BN$2,0,0,ROW()-1,60),ROW()-1,FALSE))</f>
        <v>66.337000000000003</v>
      </c>
      <c r="AI10">
        <f ca="1">IF(AND(ISNUMBER($AI$266),$B$258=1),$AI$266,HLOOKUP(INDIRECT(ADDRESS(2,COLUMN())),OFFSET($BN$2,0,0,ROW()-1,60),ROW()-1,FALSE))</f>
        <v>67.744</v>
      </c>
      <c r="AJ10">
        <f ca="1">IF(AND(ISNUMBER($AJ$266),$B$258=1),$AJ$266,HLOOKUP(INDIRECT(ADDRESS(2,COLUMN())),OFFSET($BN$2,0,0,ROW()-1,60),ROW()-1,FALSE))</f>
        <v>66.299000000000007</v>
      </c>
      <c r="AK10">
        <f ca="1">IF(AND(ISNUMBER($AK$266),$B$258=1),$AK$266,HLOOKUP(INDIRECT(ADDRESS(2,COLUMN())),OFFSET($BN$2,0,0,ROW()-1,60),ROW()-1,FALSE))</f>
        <v>51.52</v>
      </c>
      <c r="AL10">
        <f ca="1">IF(AND(ISNUMBER($AL$266),$B$258=1),$AL$266,HLOOKUP(INDIRECT(ADDRESS(2,COLUMN())),OFFSET($BN$2,0,0,ROW()-1,60),ROW()-1,FALSE))</f>
        <v>47.209000000000003</v>
      </c>
      <c r="AM10">
        <f ca="1">IF(AND(ISNUMBER($AM$266),$B$258=1),$AM$266,HLOOKUP(INDIRECT(ADDRESS(2,COLUMN())),OFFSET($BN$2,0,0,ROW()-1,60),ROW()-1,FALSE))</f>
        <v>40.841999999999999</v>
      </c>
      <c r="AN10">
        <f ca="1">IF(AND(ISNUMBER($AN$266),$B$258=1),$AN$266,HLOOKUP(INDIRECT(ADDRESS(2,COLUMN())),OFFSET($BN$2,0,0,ROW()-1,60),ROW()-1,FALSE))</f>
        <v>41.225999999999999</v>
      </c>
      <c r="AO10">
        <f ca="1">IF(AND(ISNUMBER($AO$266),$B$258=1),$AO$266,HLOOKUP(INDIRECT(ADDRESS(2,COLUMN())),OFFSET($BN$2,0,0,ROW()-1,60),ROW()-1,FALSE))</f>
        <v>41.225000000000001</v>
      </c>
      <c r="AP10">
        <f ca="1">IF(AND(ISNUMBER($AP$266),$B$258=1),$AP$266,HLOOKUP(INDIRECT(ADDRESS(2,COLUMN())),OFFSET($BN$2,0,0,ROW()-1,60),ROW()-1,FALSE))</f>
        <v>41.174999999999997</v>
      </c>
      <c r="AQ10">
        <f ca="1">IF(AND(ISNUMBER($AQ$266),$B$258=1),$AQ$266,HLOOKUP(INDIRECT(ADDRESS(2,COLUMN())),OFFSET($BN$2,0,0,ROW()-1,60),ROW()-1,FALSE))</f>
        <v>40.713000000000001</v>
      </c>
      <c r="AR10">
        <f ca="1">IF(AND(ISNUMBER($AR$266),$B$258=1),$AR$266,HLOOKUP(INDIRECT(ADDRESS(2,COLUMN())),OFFSET($BN$2,0,0,ROW()-1,60),ROW()-1,FALSE))</f>
        <v>37.265000000000001</v>
      </c>
      <c r="AS10">
        <f ca="1">IF(AND(ISNUMBER($AS$266),$B$258=1),$AS$266,HLOOKUP(INDIRECT(ADDRESS(2,COLUMN())),OFFSET($BN$2,0,0,ROW()-1,60),ROW()-1,FALSE))</f>
        <v>39.774000000000001</v>
      </c>
      <c r="AT10">
        <f ca="1">IF(AND(ISNUMBER($AT$266),$B$258=1),$AT$266,HLOOKUP(INDIRECT(ADDRESS(2,COLUMN())),OFFSET($BN$2,0,0,ROW()-1,60),ROW()-1,FALSE))</f>
        <v>38.012999999999998</v>
      </c>
      <c r="AU10">
        <f ca="1">IF(AND(ISNUMBER($AU$266),$B$258=1),$AU$266,HLOOKUP(INDIRECT(ADDRESS(2,COLUMN())),OFFSET($BN$2,0,0,ROW()-1,60),ROW()-1,FALSE))</f>
        <v>37.969000000000001</v>
      </c>
      <c r="AV10">
        <f ca="1">IF(AND(ISNUMBER($AV$266),$B$258=1),$AV$266,HLOOKUP(INDIRECT(ADDRESS(2,COLUMN())),OFFSET($BN$2,0,0,ROW()-1,60),ROW()-1,FALSE))</f>
        <v>37.113</v>
      </c>
      <c r="AW10">
        <f ca="1">IF(AND(ISNUMBER($AW$266),$B$258=1),$AW$266,HLOOKUP(INDIRECT(ADDRESS(2,COLUMN())),OFFSET($BN$2,0,0,ROW()-1,60),ROW()-1,FALSE))</f>
        <v>36.146999999999998</v>
      </c>
      <c r="AX10">
        <f ca="1">IF(AND(ISNUMBER($AX$266),$B$258=1),$AX$266,HLOOKUP(INDIRECT(ADDRESS(2,COLUMN())),OFFSET($BN$2,0,0,ROW()-1,60),ROW()-1,FALSE))</f>
        <v>40.832000000000001</v>
      </c>
      <c r="AY10">
        <f ca="1">IF(AND(ISNUMBER($AY$266),$B$258=1),$AY$266,HLOOKUP(INDIRECT(ADDRESS(2,COLUMN())),OFFSET($BN$2,0,0,ROW()-1,60),ROW()-1,FALSE))</f>
        <v>34.247999999999998</v>
      </c>
      <c r="AZ10">
        <f ca="1">IF(AND(ISNUMBER($AZ$266),$B$258=1),$AZ$266,HLOOKUP(INDIRECT(ADDRESS(2,COLUMN())),OFFSET($BN$2,0,0,ROW()-1,60),ROW()-1,FALSE))</f>
        <v>33.015999999999998</v>
      </c>
      <c r="BA10">
        <f ca="1">IF(AND(ISNUMBER($BA$266),$B$258=1),$BA$266,HLOOKUP(INDIRECT(ADDRESS(2,COLUMN())),OFFSET($BN$2,0,0,ROW()-1,60),ROW()-1,FALSE))</f>
        <v>29.88</v>
      </c>
      <c r="BB10">
        <f ca="1">IF(AND(ISNUMBER($BB$266),$B$258=1),$BB$266,HLOOKUP(INDIRECT(ADDRESS(2,COLUMN())),OFFSET($BN$2,0,0,ROW()-1,60),ROW()-1,FALSE))</f>
        <v>29.837</v>
      </c>
      <c r="BC10">
        <f ca="1">IF(AND(ISNUMBER($BC$266),$B$258=1),$BC$266,HLOOKUP(INDIRECT(ADDRESS(2,COLUMN())),OFFSET($BN$2,0,0,ROW()-1,60),ROW()-1,FALSE))</f>
        <v>26.318999999999999</v>
      </c>
      <c r="BD10">
        <f ca="1">IF(AND(ISNUMBER($BD$266),$B$258=1),$BD$266,HLOOKUP(INDIRECT(ADDRESS(2,COLUMN())),OFFSET($BN$2,0,0,ROW()-1,60),ROW()-1,FALSE))</f>
        <v>24.858000000000001</v>
      </c>
      <c r="BE10">
        <f ca="1">IF(AND(ISNUMBER($BE$266),$B$258=1),$BE$266,HLOOKUP(INDIRECT(ADDRESS(2,COLUMN())),OFFSET($BN$2,0,0,ROW()-1,60),ROW()-1,FALSE))</f>
        <v>22.513999999999999</v>
      </c>
      <c r="BF10">
        <f ca="1">IF(AND(ISNUMBER($BF$266),$B$258=1),$BF$266,HLOOKUP(INDIRECT(ADDRESS(2,COLUMN())),OFFSET($BN$2,0,0,ROW()-1,60),ROW()-1,FALSE))</f>
        <v>21.748000000000001</v>
      </c>
      <c r="BG10">
        <f ca="1">IF(AND(ISNUMBER($BG$266),$B$258=1),$BG$266,HLOOKUP(INDIRECT(ADDRESS(2,COLUMN())),OFFSET($BN$2,0,0,ROW()-1,60),ROW()-1,FALSE))</f>
        <v>14.473000000000001</v>
      </c>
      <c r="BH10">
        <f ca="1">IF(AND(ISNUMBER($BH$266),$B$258=1),$BH$266,HLOOKUP(INDIRECT(ADDRESS(2,COLUMN())),OFFSET($BN$2,0,0,ROW()-1,60),ROW()-1,FALSE))</f>
        <v>18.572000500000001</v>
      </c>
      <c r="BI10">
        <f ca="1">IF(AND(ISNUMBER($BI$266),$B$258=1),$BI$266,HLOOKUP(INDIRECT(ADDRESS(2,COLUMN())),OFFSET($BN$2,0,0,ROW()-1,60),ROW()-1,FALSE))</f>
        <v>18.170000080000001</v>
      </c>
      <c r="BJ10">
        <f ca="1">IF(AND(ISNUMBER($BJ$266),$B$258=1),$BJ$266,HLOOKUP(INDIRECT(ADDRESS(2,COLUMN())),OFFSET($BN$2,0,0,ROW()-1,60),ROW()-1,FALSE))</f>
        <v>17.122999190000002</v>
      </c>
      <c r="BK10">
        <f ca="1">IF(AND(ISNUMBER($BK$266),$B$258=1),$BK$266,HLOOKUP(INDIRECT(ADDRESS(2,COLUMN())),OFFSET($BN$2,0,0,ROW()-1,60),ROW()-1,FALSE))</f>
        <v>16.535999</v>
      </c>
      <c r="BL10">
        <f ca="1">IF(AND(ISNUMBER($BL$266),$B$258=1),$BL$266,HLOOKUP(INDIRECT(ADDRESS(2,COLUMN())),OFFSET($BN$2,0,0,ROW()-1,60),ROW()-1,FALSE))</f>
        <v>16.523000719999999</v>
      </c>
      <c r="BM10">
        <f ca="1">IF(AND(ISNUMBER($BM$266),$B$258=1),$BM$266,HLOOKUP(INDIRECT(ADDRESS(2,COLUMN())),OFFSET($BN$2,0,0,ROW()-1,60),ROW()-1,FALSE))</f>
        <v>16.152999879999999</v>
      </c>
      <c r="BN10" t="str">
        <f>""</f>
        <v/>
      </c>
      <c r="BO10">
        <f>195.193</f>
        <v>195.19300000000001</v>
      </c>
      <c r="BP10">
        <f>194.677</f>
        <v>194.67699999999999</v>
      </c>
      <c r="BQ10">
        <f>209.459</f>
        <v>209.459</v>
      </c>
      <c r="BR10">
        <f>208.183</f>
        <v>208.18299999999999</v>
      </c>
      <c r="BS10">
        <f>210.615</f>
        <v>210.61500000000001</v>
      </c>
      <c r="BT10">
        <f>201.448</f>
        <v>201.44800000000001</v>
      </c>
      <c r="BU10">
        <f>201.975</f>
        <v>201.97499999999999</v>
      </c>
      <c r="BV10">
        <f>192.145</f>
        <v>192.14500000000001</v>
      </c>
      <c r="BW10">
        <f>190.646</f>
        <v>190.64599999999999</v>
      </c>
      <c r="BX10">
        <f>181.839</f>
        <v>181.839</v>
      </c>
      <c r="BY10">
        <f>178.132</f>
        <v>178.13200000000001</v>
      </c>
      <c r="BZ10">
        <f>115.31</f>
        <v>115.31</v>
      </c>
      <c r="CA10">
        <f>113.025</f>
        <v>113.02500000000001</v>
      </c>
      <c r="CB10">
        <f>111.747</f>
        <v>111.747</v>
      </c>
      <c r="CC10">
        <f>110.388</f>
        <v>110.38800000000001</v>
      </c>
      <c r="CD10">
        <f>110.002</f>
        <v>110.002</v>
      </c>
      <c r="CE10">
        <f>100.323</f>
        <v>100.32299999999999</v>
      </c>
      <c r="CF10">
        <f>93.837</f>
        <v>93.837000000000003</v>
      </c>
      <c r="CG10">
        <f>93.069</f>
        <v>93.069000000000003</v>
      </c>
      <c r="CH10">
        <f>93.109</f>
        <v>93.108999999999995</v>
      </c>
      <c r="CI10">
        <f>85.219</f>
        <v>85.218999999999994</v>
      </c>
      <c r="CJ10">
        <f>78.17</f>
        <v>78.17</v>
      </c>
      <c r="CK10">
        <f>75.228</f>
        <v>75.227999999999994</v>
      </c>
      <c r="CL10">
        <f>75.975</f>
        <v>75.974999999999994</v>
      </c>
      <c r="CM10">
        <f>70.071</f>
        <v>70.070999999999998</v>
      </c>
      <c r="CN10">
        <f>68.622</f>
        <v>68.622</v>
      </c>
      <c r="CO10">
        <f>68.487</f>
        <v>68.486999999999995</v>
      </c>
      <c r="CP10">
        <f>66.337</f>
        <v>66.337000000000003</v>
      </c>
      <c r="CQ10">
        <f>67.744</f>
        <v>67.744</v>
      </c>
      <c r="CR10">
        <f>66.299</f>
        <v>66.299000000000007</v>
      </c>
      <c r="CS10">
        <f>51.52</f>
        <v>51.52</v>
      </c>
      <c r="CT10">
        <f>47.209</f>
        <v>47.209000000000003</v>
      </c>
      <c r="CU10">
        <f>40.842</f>
        <v>40.841999999999999</v>
      </c>
      <c r="CV10">
        <f>41.226</f>
        <v>41.225999999999999</v>
      </c>
      <c r="CW10">
        <f>41.225</f>
        <v>41.225000000000001</v>
      </c>
      <c r="CX10">
        <f>41.175</f>
        <v>41.174999999999997</v>
      </c>
      <c r="CY10">
        <f>40.713</f>
        <v>40.713000000000001</v>
      </c>
      <c r="CZ10">
        <f>37.265</f>
        <v>37.265000000000001</v>
      </c>
      <c r="DA10">
        <f>39.774</f>
        <v>39.774000000000001</v>
      </c>
      <c r="DB10">
        <f>38.013</f>
        <v>38.012999999999998</v>
      </c>
      <c r="DC10">
        <f>37.969</f>
        <v>37.969000000000001</v>
      </c>
      <c r="DD10">
        <f>37.113</f>
        <v>37.113</v>
      </c>
      <c r="DE10">
        <f>36.147</f>
        <v>36.146999999999998</v>
      </c>
      <c r="DF10">
        <f>40.832</f>
        <v>40.832000000000001</v>
      </c>
      <c r="DG10">
        <f>34.248</f>
        <v>34.247999999999998</v>
      </c>
      <c r="DH10">
        <f>33.016</f>
        <v>33.015999999999998</v>
      </c>
      <c r="DI10">
        <f>29.88</f>
        <v>29.88</v>
      </c>
      <c r="DJ10">
        <f>29.837</f>
        <v>29.837</v>
      </c>
      <c r="DK10">
        <f>26.319</f>
        <v>26.318999999999999</v>
      </c>
      <c r="DL10">
        <f>24.858</f>
        <v>24.858000000000001</v>
      </c>
      <c r="DM10">
        <f>22.514</f>
        <v>22.513999999999999</v>
      </c>
      <c r="DN10">
        <f>21.748</f>
        <v>21.748000000000001</v>
      </c>
      <c r="DO10">
        <f>14.473</f>
        <v>14.473000000000001</v>
      </c>
      <c r="DP10">
        <f>18.5720005</f>
        <v>18.572000500000001</v>
      </c>
      <c r="DQ10">
        <f>18.17000008</f>
        <v>18.170000080000001</v>
      </c>
      <c r="DR10">
        <f>17.12299919</f>
        <v>17.122999190000002</v>
      </c>
      <c r="DS10">
        <f>16.535999</f>
        <v>16.535999</v>
      </c>
      <c r="DT10">
        <f>16.52300072</f>
        <v>16.523000719999999</v>
      </c>
      <c r="DU10">
        <f>16.15299988</f>
        <v>16.152999879999999</v>
      </c>
    </row>
    <row r="11" spans="1:125">
      <c r="A11" t="str">
        <f>"    Sabra Health Care REIT Inc"</f>
        <v xml:space="preserve">    Sabra Health Care REIT Inc</v>
      </c>
      <c r="B11" t="str">
        <f>"SBRA US Equity"</f>
        <v>SBRA US Equity</v>
      </c>
      <c r="C11" t="str">
        <f t="shared" si="0"/>
        <v>IS030</v>
      </c>
      <c r="D11" t="str">
        <f t="shared" si="1"/>
        <v>IS_RENT_INC</v>
      </c>
      <c r="E11" t="str">
        <f t="shared" si="2"/>
        <v>动态</v>
      </c>
      <c r="F11" t="str">
        <f ca="1">IF(AND(ISNUMBER($F$267),$B$258=1),$F$267,HLOOKUP(INDIRECT(ADDRESS(2,COLUMN())),OFFSET($BN$2,0,0,ROW()-1,60),ROW()-1,FALSE))</f>
        <v/>
      </c>
      <c r="G11">
        <f ca="1">IF(AND(ISNUMBER($G$267),$B$258=1),$G$267,HLOOKUP(INDIRECT(ADDRESS(2,COLUMN())),OFFSET($BN$2,0,0,ROW()-1,60),ROW()-1,FALSE))</f>
        <v>159.50800000000001</v>
      </c>
      <c r="H11">
        <f ca="1">IF(AND(ISNUMBER($H$267),$B$258=1),$H$267,HLOOKUP(INDIRECT(ADDRESS(2,COLUMN())),OFFSET($BN$2,0,0,ROW()-1,60),ROW()-1,FALSE))</f>
        <v>107.699</v>
      </c>
      <c r="I11">
        <f ca="1">IF(AND(ISNUMBER($I$267),$B$258=1),$I$267,HLOOKUP(INDIRECT(ADDRESS(2,COLUMN())),OFFSET($BN$2,0,0,ROW()-1,60),ROW()-1,FALSE))</f>
        <v>62.709000000000003</v>
      </c>
      <c r="J11">
        <f ca="1">IF(AND(ISNUMBER($J$267),$B$258=1),$J$267,HLOOKUP(INDIRECT(ADDRESS(2,COLUMN())),OFFSET($BN$2,0,0,ROW()-1,60),ROW()-1,FALSE))</f>
        <v>60.704999999999998</v>
      </c>
      <c r="K11">
        <f ca="1">IF(AND(ISNUMBER($K$267),$B$258=1),$K$267,HLOOKUP(INDIRECT(ADDRESS(2,COLUMN())),OFFSET($BN$2,0,0,ROW()-1,60),ROW()-1,FALSE))</f>
        <v>59.81</v>
      </c>
      <c r="L11">
        <f ca="1">IF(AND(ISNUMBER($L$267),$B$258=1),$L$267,HLOOKUP(INDIRECT(ADDRESS(2,COLUMN())),OFFSET($BN$2,0,0,ROW()-1,60),ROW()-1,FALSE))</f>
        <v>58.77</v>
      </c>
      <c r="M11">
        <f ca="1">IF(AND(ISNUMBER($M$267),$B$258=1),$M$267,HLOOKUP(INDIRECT(ADDRESS(2,COLUMN())),OFFSET($BN$2,0,0,ROW()-1,60),ROW()-1,FALSE))</f>
        <v>57.256</v>
      </c>
      <c r="N11">
        <f ca="1">IF(AND(ISNUMBER($N$267),$B$258=1),$N$267,HLOOKUP(INDIRECT(ADDRESS(2,COLUMN())),OFFSET($BN$2,0,0,ROW()-1,60),ROW()-1,FALSE))</f>
        <v>57.226999999999997</v>
      </c>
      <c r="O11">
        <f ca="1">IF(AND(ISNUMBER($O$267),$B$258=1),$O$267,HLOOKUP(INDIRECT(ADDRESS(2,COLUMN())),OFFSET($BN$2,0,0,ROW()-1,60),ROW()-1,FALSE))</f>
        <v>58.862000000000002</v>
      </c>
      <c r="P11">
        <f ca="1">IF(AND(ISNUMBER($P$267),$B$258=1),$P$267,HLOOKUP(INDIRECT(ADDRESS(2,COLUMN())),OFFSET($BN$2,0,0,ROW()-1,60),ROW()-1,FALSE))</f>
        <v>53.173000000000002</v>
      </c>
      <c r="Q11">
        <f ca="1">IF(AND(ISNUMBER($Q$267),$B$258=1),$Q$267,HLOOKUP(INDIRECT(ADDRESS(2,COLUMN())),OFFSET($BN$2,0,0,ROW()-1,60),ROW()-1,FALSE))</f>
        <v>49.896000000000001</v>
      </c>
      <c r="R11">
        <f ca="1">IF(AND(ISNUMBER($R$267),$B$258=1),$R$267,HLOOKUP(INDIRECT(ADDRESS(2,COLUMN())),OFFSET($BN$2,0,0,ROW()-1,60),ROW()-1,FALSE))</f>
        <v>49.505000000000003</v>
      </c>
      <c r="S11">
        <f ca="1">IF(AND(ISNUMBER($S$267),$B$258=1),$S$267,HLOOKUP(INDIRECT(ADDRESS(2,COLUMN())),OFFSET($BN$2,0,0,ROW()-1,60),ROW()-1,FALSE))</f>
        <v>49.74</v>
      </c>
      <c r="T11">
        <f ca="1">IF(AND(ISNUMBER($T$267),$B$258=1),$T$267,HLOOKUP(INDIRECT(ADDRESS(2,COLUMN())),OFFSET($BN$2,0,0,ROW()-1,60),ROW()-1,FALSE))</f>
        <v>38.164999999999999</v>
      </c>
      <c r="U11">
        <f ca="1">IF(AND(ISNUMBER($U$267),$B$258=1),$U$267,HLOOKUP(INDIRECT(ADDRESS(2,COLUMN())),OFFSET($BN$2,0,0,ROW()-1,60),ROW()-1,FALSE))</f>
        <v>37.484999999999999</v>
      </c>
      <c r="V11">
        <f ca="1">IF(AND(ISNUMBER($V$267),$B$258=1),$V$267,HLOOKUP(INDIRECT(ADDRESS(2,COLUMN())),OFFSET($BN$2,0,0,ROW()-1,60),ROW()-1,FALSE))</f>
        <v>36.093000000000004</v>
      </c>
      <c r="W11">
        <f ca="1">IF(AND(ISNUMBER($W$267),$B$258=1),$W$267,HLOOKUP(INDIRECT(ADDRESS(2,COLUMN())),OFFSET($BN$2,0,0,ROW()-1,60),ROW()-1,FALSE))</f>
        <v>34.295999999999999</v>
      </c>
      <c r="X11">
        <f ca="1">IF(AND(ISNUMBER($X$267),$B$258=1),$X$267,HLOOKUP(INDIRECT(ADDRESS(2,COLUMN())),OFFSET($BN$2,0,0,ROW()-1,60),ROW()-1,FALSE))</f>
        <v>31.699000000000002</v>
      </c>
      <c r="Y11">
        <f ca="1">IF(AND(ISNUMBER($Y$267),$B$258=1),$Y$267,HLOOKUP(INDIRECT(ADDRESS(2,COLUMN())),OFFSET($BN$2,0,0,ROW()-1,60),ROW()-1,FALSE))</f>
        <v>31.518000000000001</v>
      </c>
      <c r="Z11">
        <f ca="1">IF(AND(ISNUMBER($Z$267),$B$258=1),$Z$267,HLOOKUP(INDIRECT(ADDRESS(2,COLUMN())),OFFSET($BN$2,0,0,ROW()-1,60),ROW()-1,FALSE))</f>
        <v>31.475000000000001</v>
      </c>
      <c r="AA11">
        <f ca="1">IF(AND(ISNUMBER($AA$267),$B$258=1),$AA$267,HLOOKUP(INDIRECT(ADDRESS(2,COLUMN())),OFFSET($BN$2,0,0,ROW()-1,60),ROW()-1,FALSE))</f>
        <v>27.838000000000001</v>
      </c>
      <c r="AB11">
        <f ca="1">IF(AND(ISNUMBER($AB$267),$B$258=1),$AB$267,HLOOKUP(INDIRECT(ADDRESS(2,COLUMN())),OFFSET($BN$2,0,0,ROW()-1,60),ROW()-1,FALSE))</f>
        <v>25.42</v>
      </c>
      <c r="AC11">
        <f ca="1">IF(AND(ISNUMBER($AC$267),$B$258=1),$AC$267,HLOOKUP(INDIRECT(ADDRESS(2,COLUMN())),OFFSET($BN$2,0,0,ROW()-1,60),ROW()-1,FALSE))</f>
        <v>24.82</v>
      </c>
      <c r="AD11">
        <f ca="1">IF(AND(ISNUMBER($AD$267),$B$258=1),$AD$267,HLOOKUP(INDIRECT(ADDRESS(2,COLUMN())),OFFSET($BN$2,0,0,ROW()-1,60),ROW()-1,FALSE))</f>
        <v>23.663</v>
      </c>
      <c r="AE11">
        <f ca="1">IF(AND(ISNUMBER($AE$267),$B$258=1),$AE$267,HLOOKUP(INDIRECT(ADDRESS(2,COLUMN())),OFFSET($BN$2,0,0,ROW()-1,60),ROW()-1,FALSE))</f>
        <v>23.195</v>
      </c>
      <c r="AF11">
        <f ca="1">IF(AND(ISNUMBER($AF$267),$B$258=1),$AF$267,HLOOKUP(INDIRECT(ADDRESS(2,COLUMN())),OFFSET($BN$2,0,0,ROW()-1,60),ROW()-1,FALSE))</f>
        <v>21.294</v>
      </c>
      <c r="AG11">
        <f ca="1">IF(AND(ISNUMBER($AG$267),$B$258=1),$AG$267,HLOOKUP(INDIRECT(ADDRESS(2,COLUMN())),OFFSET($BN$2,0,0,ROW()-1,60),ROW()-1,FALSE))</f>
        <v>18.628</v>
      </c>
      <c r="AH11">
        <f ca="1">IF(AND(ISNUMBER($AH$267),$B$258=1),$AH$267,HLOOKUP(INDIRECT(ADDRESS(2,COLUMN())),OFFSET($BN$2,0,0,ROW()-1,60),ROW()-1,FALSE))</f>
        <v>17.561</v>
      </c>
      <c r="AI11" t="str">
        <f ca="1">IF(AND(ISNUMBER($AI$267),$B$258=1),$AI$267,HLOOKUP(INDIRECT(ADDRESS(2,COLUMN())),OFFSET($BN$2,0,0,ROW()-1,60),ROW()-1,FALSE))</f>
        <v/>
      </c>
      <c r="AJ11" t="str">
        <f ca="1">IF(AND(ISNUMBER($AJ$267),$B$258=1),$AJ$267,HLOOKUP(INDIRECT(ADDRESS(2,COLUMN())),OFFSET($BN$2,0,0,ROW()-1,60),ROW()-1,FALSE))</f>
        <v/>
      </c>
      <c r="AK11" t="str">
        <f ca="1">IF(AND(ISNUMBER($AK$267),$B$258=1),$AK$267,HLOOKUP(INDIRECT(ADDRESS(2,COLUMN())),OFFSET($BN$2,0,0,ROW()-1,60),ROW()-1,FALSE))</f>
        <v/>
      </c>
      <c r="AL11" t="str">
        <f ca="1">IF(AND(ISNUMBER($AL$267),$B$258=1),$AL$267,HLOOKUP(INDIRECT(ADDRESS(2,COLUMN())),OFFSET($BN$2,0,0,ROW()-1,60),ROW()-1,FALSE))</f>
        <v/>
      </c>
      <c r="AM11" t="str">
        <f ca="1">IF(AND(ISNUMBER($AM$267),$B$258=1),$AM$267,HLOOKUP(INDIRECT(ADDRESS(2,COLUMN())),OFFSET($BN$2,0,0,ROW()-1,60),ROW()-1,FALSE))</f>
        <v/>
      </c>
      <c r="AN11" t="str">
        <f ca="1">IF(AND(ISNUMBER($AN$267),$B$258=1),$AN$267,HLOOKUP(INDIRECT(ADDRESS(2,COLUMN())),OFFSET($BN$2,0,0,ROW()-1,60),ROW()-1,FALSE))</f>
        <v/>
      </c>
      <c r="AO11" t="str">
        <f ca="1">IF(AND(ISNUMBER($AO$267),$B$258=1),$AO$267,HLOOKUP(INDIRECT(ADDRESS(2,COLUMN())),OFFSET($BN$2,0,0,ROW()-1,60),ROW()-1,FALSE))</f>
        <v/>
      </c>
      <c r="AP11" t="str">
        <f ca="1">IF(AND(ISNUMBER($AP$267),$B$258=1),$AP$267,HLOOKUP(INDIRECT(ADDRESS(2,COLUMN())),OFFSET($BN$2,0,0,ROW()-1,60),ROW()-1,FALSE))</f>
        <v/>
      </c>
      <c r="AQ11" t="str">
        <f ca="1">IF(AND(ISNUMBER($AQ$267),$B$258=1),$AQ$267,HLOOKUP(INDIRECT(ADDRESS(2,COLUMN())),OFFSET($BN$2,0,0,ROW()-1,60),ROW()-1,FALSE))</f>
        <v/>
      </c>
      <c r="AR11" t="str">
        <f ca="1">IF(AND(ISNUMBER($AR$267),$B$258=1),$AR$267,HLOOKUP(INDIRECT(ADDRESS(2,COLUMN())),OFFSET($BN$2,0,0,ROW()-1,60),ROW()-1,FALSE))</f>
        <v/>
      </c>
      <c r="AS11" t="str">
        <f ca="1">IF(AND(ISNUMBER($AS$267),$B$258=1),$AS$267,HLOOKUP(INDIRECT(ADDRESS(2,COLUMN())),OFFSET($BN$2,0,0,ROW()-1,60),ROW()-1,FALSE))</f>
        <v/>
      </c>
      <c r="AT11" t="str">
        <f ca="1">IF(AND(ISNUMBER($AT$267),$B$258=1),$AT$267,HLOOKUP(INDIRECT(ADDRESS(2,COLUMN())),OFFSET($BN$2,0,0,ROW()-1,60),ROW()-1,FALSE))</f>
        <v/>
      </c>
      <c r="AU11" t="str">
        <f ca="1">IF(AND(ISNUMBER($AU$267),$B$258=1),$AU$267,HLOOKUP(INDIRECT(ADDRESS(2,COLUMN())),OFFSET($BN$2,0,0,ROW()-1,60),ROW()-1,FALSE))</f>
        <v/>
      </c>
      <c r="AV11" t="str">
        <f ca="1">IF(AND(ISNUMBER($AV$267),$B$258=1),$AV$267,HLOOKUP(INDIRECT(ADDRESS(2,COLUMN())),OFFSET($BN$2,0,0,ROW()-1,60),ROW()-1,FALSE))</f>
        <v/>
      </c>
      <c r="AW11" t="str">
        <f ca="1">IF(AND(ISNUMBER($AW$267),$B$258=1),$AW$267,HLOOKUP(INDIRECT(ADDRESS(2,COLUMN())),OFFSET($BN$2,0,0,ROW()-1,60),ROW()-1,FALSE))</f>
        <v/>
      </c>
      <c r="AX11" t="str">
        <f ca="1">IF(AND(ISNUMBER($AX$267),$B$258=1),$AX$267,HLOOKUP(INDIRECT(ADDRESS(2,COLUMN())),OFFSET($BN$2,0,0,ROW()-1,60),ROW()-1,FALSE))</f>
        <v/>
      </c>
      <c r="AY11" t="str">
        <f ca="1">IF(AND(ISNUMBER($AY$267),$B$258=1),$AY$267,HLOOKUP(INDIRECT(ADDRESS(2,COLUMN())),OFFSET($BN$2,0,0,ROW()-1,60),ROW()-1,FALSE))</f>
        <v/>
      </c>
      <c r="AZ11" t="str">
        <f ca="1">IF(AND(ISNUMBER($AZ$267),$B$258=1),$AZ$267,HLOOKUP(INDIRECT(ADDRESS(2,COLUMN())),OFFSET($BN$2,0,0,ROW()-1,60),ROW()-1,FALSE))</f>
        <v/>
      </c>
      <c r="BA11" t="str">
        <f ca="1">IF(AND(ISNUMBER($BA$267),$B$258=1),$BA$267,HLOOKUP(INDIRECT(ADDRESS(2,COLUMN())),OFFSET($BN$2,0,0,ROW()-1,60),ROW()-1,FALSE))</f>
        <v/>
      </c>
      <c r="BB11" t="str">
        <f ca="1">IF(AND(ISNUMBER($BB$267),$B$258=1),$BB$267,HLOOKUP(INDIRECT(ADDRESS(2,COLUMN())),OFFSET($BN$2,0,0,ROW()-1,60),ROW()-1,FALSE))</f>
        <v/>
      </c>
      <c r="BC11" t="str">
        <f ca="1">IF(AND(ISNUMBER($BC$267),$B$258=1),$BC$267,HLOOKUP(INDIRECT(ADDRESS(2,COLUMN())),OFFSET($BN$2,0,0,ROW()-1,60),ROW()-1,FALSE))</f>
        <v/>
      </c>
      <c r="BD11" t="str">
        <f ca="1">IF(AND(ISNUMBER($BD$267),$B$258=1),$BD$267,HLOOKUP(INDIRECT(ADDRESS(2,COLUMN())),OFFSET($BN$2,0,0,ROW()-1,60),ROW()-1,FALSE))</f>
        <v/>
      </c>
      <c r="BE11" t="str">
        <f ca="1">IF(AND(ISNUMBER($BE$267),$B$258=1),$BE$267,HLOOKUP(INDIRECT(ADDRESS(2,COLUMN())),OFFSET($BN$2,0,0,ROW()-1,60),ROW()-1,FALSE))</f>
        <v/>
      </c>
      <c r="BF11" t="str">
        <f ca="1">IF(AND(ISNUMBER($BF$267),$B$258=1),$BF$267,HLOOKUP(INDIRECT(ADDRESS(2,COLUMN())),OFFSET($BN$2,0,0,ROW()-1,60),ROW()-1,FALSE))</f>
        <v/>
      </c>
      <c r="BG11" t="str">
        <f ca="1">IF(AND(ISNUMBER($BG$267),$B$258=1),$BG$267,HLOOKUP(INDIRECT(ADDRESS(2,COLUMN())),OFFSET($BN$2,0,0,ROW()-1,60),ROW()-1,FALSE))</f>
        <v/>
      </c>
      <c r="BH11" t="str">
        <f ca="1">IF(AND(ISNUMBER($BH$267),$B$258=1),$BH$267,HLOOKUP(INDIRECT(ADDRESS(2,COLUMN())),OFFSET($BN$2,0,0,ROW()-1,60),ROW()-1,FALSE))</f>
        <v/>
      </c>
      <c r="BI11" t="str">
        <f ca="1">IF(AND(ISNUMBER($BI$267),$B$258=1),$BI$267,HLOOKUP(INDIRECT(ADDRESS(2,COLUMN())),OFFSET($BN$2,0,0,ROW()-1,60),ROW()-1,FALSE))</f>
        <v/>
      </c>
      <c r="BJ11" t="str">
        <f ca="1">IF(AND(ISNUMBER($BJ$267),$B$258=1),$BJ$267,HLOOKUP(INDIRECT(ADDRESS(2,COLUMN())),OFFSET($BN$2,0,0,ROW()-1,60),ROW()-1,FALSE))</f>
        <v/>
      </c>
      <c r="BK11" t="str">
        <f ca="1">IF(AND(ISNUMBER($BK$267),$B$258=1),$BK$267,HLOOKUP(INDIRECT(ADDRESS(2,COLUMN())),OFFSET($BN$2,0,0,ROW()-1,60),ROW()-1,FALSE))</f>
        <v/>
      </c>
      <c r="BL11" t="str">
        <f ca="1">IF(AND(ISNUMBER($BL$267),$B$258=1),$BL$267,HLOOKUP(INDIRECT(ADDRESS(2,COLUMN())),OFFSET($BN$2,0,0,ROW()-1,60),ROW()-1,FALSE))</f>
        <v/>
      </c>
      <c r="BM11" t="str">
        <f ca="1">IF(AND(ISNUMBER($BM$267),$B$258=1),$BM$267,HLOOKUP(INDIRECT(ADDRESS(2,COLUMN())),OFFSET($BN$2,0,0,ROW()-1,60),ROW()-1,FALSE))</f>
        <v/>
      </c>
      <c r="BN11" t="str">
        <f>""</f>
        <v/>
      </c>
      <c r="BO11">
        <f>159.508</f>
        <v>159.50800000000001</v>
      </c>
      <c r="BP11">
        <f>107.699</f>
        <v>107.699</v>
      </c>
      <c r="BQ11">
        <f>62.709</f>
        <v>62.709000000000003</v>
      </c>
      <c r="BR11">
        <f>60.705</f>
        <v>60.704999999999998</v>
      </c>
      <c r="BS11">
        <f>59.81</f>
        <v>59.81</v>
      </c>
      <c r="BT11">
        <f>58.77</f>
        <v>58.77</v>
      </c>
      <c r="BU11">
        <f>57.256</f>
        <v>57.256</v>
      </c>
      <c r="BV11">
        <f>57.227</f>
        <v>57.226999999999997</v>
      </c>
      <c r="BW11">
        <f>58.862</f>
        <v>58.862000000000002</v>
      </c>
      <c r="BX11">
        <f>53.173</f>
        <v>53.173000000000002</v>
      </c>
      <c r="BY11">
        <f>49.896</f>
        <v>49.896000000000001</v>
      </c>
      <c r="BZ11">
        <f>49.505</f>
        <v>49.505000000000003</v>
      </c>
      <c r="CA11">
        <f>49.74</f>
        <v>49.74</v>
      </c>
      <c r="CB11">
        <f>38.165</f>
        <v>38.164999999999999</v>
      </c>
      <c r="CC11">
        <f>37.485</f>
        <v>37.484999999999999</v>
      </c>
      <c r="CD11">
        <f>36.093</f>
        <v>36.093000000000004</v>
      </c>
      <c r="CE11">
        <f>34.296</f>
        <v>34.295999999999999</v>
      </c>
      <c r="CF11">
        <f>31.699</f>
        <v>31.699000000000002</v>
      </c>
      <c r="CG11">
        <f>31.518</f>
        <v>31.518000000000001</v>
      </c>
      <c r="CH11">
        <f>31.475</f>
        <v>31.475000000000001</v>
      </c>
      <c r="CI11">
        <f>27.838</f>
        <v>27.838000000000001</v>
      </c>
      <c r="CJ11">
        <f>25.42</f>
        <v>25.42</v>
      </c>
      <c r="CK11">
        <f>24.82</f>
        <v>24.82</v>
      </c>
      <c r="CL11">
        <f>23.663</f>
        <v>23.663</v>
      </c>
      <c r="CM11">
        <f>23.195</f>
        <v>23.195</v>
      </c>
      <c r="CN11">
        <f>21.294</f>
        <v>21.294</v>
      </c>
      <c r="CO11">
        <f>18.628</f>
        <v>18.628</v>
      </c>
      <c r="CP11">
        <f>17.561</f>
        <v>17.561</v>
      </c>
      <c r="CQ11" t="str">
        <f>""</f>
        <v/>
      </c>
      <c r="CR11" t="str">
        <f>""</f>
        <v/>
      </c>
      <c r="CS11" t="str">
        <f>""</f>
        <v/>
      </c>
      <c r="CT11" t="str">
        <f>""</f>
        <v/>
      </c>
      <c r="CU11" t="str">
        <f>""</f>
        <v/>
      </c>
      <c r="CV11" t="str">
        <f>""</f>
        <v/>
      </c>
      <c r="CW11" t="str">
        <f>""</f>
        <v/>
      </c>
      <c r="CX11" t="str">
        <f>""</f>
        <v/>
      </c>
      <c r="CY11" t="str">
        <f>""</f>
        <v/>
      </c>
      <c r="CZ11" t="str">
        <f>""</f>
        <v/>
      </c>
      <c r="DA11" t="str">
        <f>""</f>
        <v/>
      </c>
      <c r="DB11" t="str">
        <f>""</f>
        <v/>
      </c>
      <c r="DC11" t="str">
        <f>""</f>
        <v/>
      </c>
      <c r="DD11" t="str">
        <f>""</f>
        <v/>
      </c>
      <c r="DE11" t="str">
        <f>""</f>
        <v/>
      </c>
      <c r="DF11" t="str">
        <f>""</f>
        <v/>
      </c>
      <c r="DG11" t="str">
        <f>""</f>
        <v/>
      </c>
      <c r="DH11" t="str">
        <f>""</f>
        <v/>
      </c>
      <c r="DI11" t="str">
        <f>""</f>
        <v/>
      </c>
      <c r="DJ11" t="str">
        <f>""</f>
        <v/>
      </c>
      <c r="DK11" t="str">
        <f>""</f>
        <v/>
      </c>
      <c r="DL11" t="str">
        <f>""</f>
        <v/>
      </c>
      <c r="DM11" t="str">
        <f>""</f>
        <v/>
      </c>
      <c r="DN11" t="str">
        <f>""</f>
        <v/>
      </c>
      <c r="DO11" t="str">
        <f>""</f>
        <v/>
      </c>
      <c r="DP11" t="str">
        <f>""</f>
        <v/>
      </c>
      <c r="DQ11" t="str">
        <f>""</f>
        <v/>
      </c>
      <c r="DR11" t="str">
        <f>""</f>
        <v/>
      </c>
      <c r="DS11" t="str">
        <f>""</f>
        <v/>
      </c>
      <c r="DT11" t="str">
        <f>""</f>
        <v/>
      </c>
      <c r="DU11" t="str">
        <f>""</f>
        <v/>
      </c>
    </row>
    <row r="12" spans="1:125">
      <c r="A12" t="str">
        <f>"    Senior Housing Properties Trus"</f>
        <v xml:space="preserve">    Senior Housing Properties Trus</v>
      </c>
      <c r="B12" t="str">
        <f>"SNH US Equity"</f>
        <v>SNH US Equity</v>
      </c>
      <c r="C12" t="str">
        <f t="shared" si="0"/>
        <v>IS030</v>
      </c>
      <c r="D12" t="str">
        <f t="shared" si="1"/>
        <v>IS_RENT_INC</v>
      </c>
      <c r="E12" t="str">
        <f t="shared" si="2"/>
        <v>动态</v>
      </c>
      <c r="F12" t="str">
        <f ca="1">IF(AND(ISNUMBER($F$268),$B$258=1),$F$268,HLOOKUP(INDIRECT(ADDRESS(2,COLUMN())),OFFSET($BN$2,0,0,ROW()-1,60),ROW()-1,FALSE))</f>
        <v/>
      </c>
      <c r="G12">
        <f ca="1">IF(AND(ISNUMBER($G$268),$B$258=1),$G$268,HLOOKUP(INDIRECT(ADDRESS(2,COLUMN())),OFFSET($BN$2,0,0,ROW()-1,60),ROW()-1,FALSE))</f>
        <v>179.58500000000001</v>
      </c>
      <c r="H12">
        <f ca="1">IF(AND(ISNUMBER($H$268),$B$258=1),$H$268,HLOOKUP(INDIRECT(ADDRESS(2,COLUMN())),OFFSET($BN$2,0,0,ROW()-1,60),ROW()-1,FALSE))</f>
        <v>168.34800000000001</v>
      </c>
      <c r="I12">
        <f ca="1">IF(AND(ISNUMBER($I$268),$B$258=1),$I$268,HLOOKUP(INDIRECT(ADDRESS(2,COLUMN())),OFFSET($BN$2,0,0,ROW()-1,60),ROW()-1,FALSE))</f>
        <v>166.64699999999999</v>
      </c>
      <c r="J12">
        <f ca="1">IF(AND(ISNUMBER($J$268),$B$258=1),$J$268,HLOOKUP(INDIRECT(ADDRESS(2,COLUMN())),OFFSET($BN$2,0,0,ROW()-1,60),ROW()-1,FALSE))</f>
        <v>166.44300000000001</v>
      </c>
      <c r="K12">
        <f ca="1">IF(AND(ISNUMBER($K$268),$B$258=1),$K$268,HLOOKUP(INDIRECT(ADDRESS(2,COLUMN())),OFFSET($BN$2,0,0,ROW()-1,60),ROW()-1,FALSE))</f>
        <v>175.27699999999999</v>
      </c>
      <c r="L12">
        <f ca="1">IF(AND(ISNUMBER($L$268),$B$258=1),$L$268,HLOOKUP(INDIRECT(ADDRESS(2,COLUMN())),OFFSET($BN$2,0,0,ROW()-1,60),ROW()-1,FALSE))</f>
        <v>165.50299999999999</v>
      </c>
      <c r="M12">
        <f ca="1">IF(AND(ISNUMBER($M$268),$B$258=1),$M$268,HLOOKUP(INDIRECT(ADDRESS(2,COLUMN())),OFFSET($BN$2,0,0,ROW()-1,60),ROW()-1,FALSE))</f>
        <v>163.99700000000001</v>
      </c>
      <c r="N12">
        <f ca="1">IF(AND(ISNUMBER($N$268),$B$258=1),$N$268,HLOOKUP(INDIRECT(ADDRESS(2,COLUMN())),OFFSET($BN$2,0,0,ROW()-1,60),ROW()-1,FALSE))</f>
        <v>161.42099999999999</v>
      </c>
      <c r="O12">
        <f ca="1">IF(AND(ISNUMBER($O$268),$B$258=1),$O$268,HLOOKUP(INDIRECT(ADDRESS(2,COLUMN())),OFFSET($BN$2,0,0,ROW()-1,60),ROW()-1,FALSE))</f>
        <v>170.70599999999999</v>
      </c>
      <c r="P12">
        <f ca="1">IF(AND(ISNUMBER($P$268),$B$258=1),$P$268,HLOOKUP(INDIRECT(ADDRESS(2,COLUMN())),OFFSET($BN$2,0,0,ROW()-1,60),ROW()-1,FALSE))</f>
        <v>158.863</v>
      </c>
      <c r="Q12">
        <f ca="1">IF(AND(ISNUMBER($Q$268),$B$258=1),$Q$268,HLOOKUP(INDIRECT(ADDRESS(2,COLUMN())),OFFSET($BN$2,0,0,ROW()-1,60),ROW()-1,FALSE))</f>
        <v>155.54599999999999</v>
      </c>
      <c r="R12">
        <f ca="1">IF(AND(ISNUMBER($R$268),$B$258=1),$R$268,HLOOKUP(INDIRECT(ADDRESS(2,COLUMN())),OFFSET($BN$2,0,0,ROW()-1,60),ROW()-1,FALSE))</f>
        <v>145.78399999999999</v>
      </c>
      <c r="S12">
        <f ca="1">IF(AND(ISNUMBER($S$268),$B$258=1),$S$268,HLOOKUP(INDIRECT(ADDRESS(2,COLUMN())),OFFSET($BN$2,0,0,ROW()-1,60),ROW()-1,FALSE))</f>
        <v>149.364</v>
      </c>
      <c r="T12">
        <f ca="1">IF(AND(ISNUMBER($T$268),$B$258=1),$T$268,HLOOKUP(INDIRECT(ADDRESS(2,COLUMN())),OFFSET($BN$2,0,0,ROW()-1,60),ROW()-1,FALSE))</f>
        <v>137.614</v>
      </c>
      <c r="U12">
        <f ca="1">IF(AND(ISNUMBER($U$268),$B$258=1),$U$268,HLOOKUP(INDIRECT(ADDRESS(2,COLUMN())),OFFSET($BN$2,0,0,ROW()-1,60),ROW()-1,FALSE))</f>
        <v>127.669</v>
      </c>
      <c r="V12">
        <f ca="1">IF(AND(ISNUMBER($V$268),$B$258=1),$V$268,HLOOKUP(INDIRECT(ADDRESS(2,COLUMN())),OFFSET($BN$2,0,0,ROW()-1,60),ROW()-1,FALSE))</f>
        <v>112.05500000000001</v>
      </c>
      <c r="W12">
        <f ca="1">IF(AND(ISNUMBER($W$268),$B$258=1),$W$268,HLOOKUP(INDIRECT(ADDRESS(2,COLUMN())),OFFSET($BN$2,0,0,ROW()-1,60),ROW()-1,FALSE))</f>
        <v>122.91200000000001</v>
      </c>
      <c r="X12">
        <f ca="1">IF(AND(ISNUMBER($X$268),$B$258=1),$X$268,HLOOKUP(INDIRECT(ADDRESS(2,COLUMN())),OFFSET($BN$2,0,0,ROW()-1,60),ROW()-1,FALSE))</f>
        <v>112.319</v>
      </c>
      <c r="Y12">
        <f ca="1">IF(AND(ISNUMBER($Y$268),$B$258=1),$Y$268,HLOOKUP(INDIRECT(ADDRESS(2,COLUMN())),OFFSET($BN$2,0,0,ROW()-1,60),ROW()-1,FALSE))</f>
        <v>112.297</v>
      </c>
      <c r="Z12">
        <f ca="1">IF(AND(ISNUMBER($Z$268),$B$258=1),$Z$268,HLOOKUP(INDIRECT(ADDRESS(2,COLUMN())),OFFSET($BN$2,0,0,ROW()-1,60),ROW()-1,FALSE))</f>
        <v>111.852</v>
      </c>
      <c r="AA12">
        <f ca="1">IF(AND(ISNUMBER($AA$268),$B$258=1),$AA$268,HLOOKUP(INDIRECT(ADDRESS(2,COLUMN())),OFFSET($BN$2,0,0,ROW()-1,60),ROW()-1,FALSE))</f>
        <v>124.039</v>
      </c>
      <c r="AB12">
        <f ca="1">IF(AND(ISNUMBER($AB$268),$B$258=1),$AB$268,HLOOKUP(INDIRECT(ADDRESS(2,COLUMN())),OFFSET($BN$2,0,0,ROW()-1,60),ROW()-1,FALSE))</f>
        <v>113.756</v>
      </c>
      <c r="AC12">
        <f ca="1">IF(AND(ISNUMBER($AC$268),$B$258=1),$AC$268,HLOOKUP(INDIRECT(ADDRESS(2,COLUMN())),OFFSET($BN$2,0,0,ROW()-1,60),ROW()-1,FALSE))</f>
        <v>108.407</v>
      </c>
      <c r="AD12">
        <f ca="1">IF(AND(ISNUMBER($AD$268),$B$258=1),$AD$268,HLOOKUP(INDIRECT(ADDRESS(2,COLUMN())),OFFSET($BN$2,0,0,ROW()-1,60),ROW()-1,FALSE))</f>
        <v>109.505</v>
      </c>
      <c r="AE12">
        <f ca="1">IF(AND(ISNUMBER($AE$268),$B$258=1),$AE$268,HLOOKUP(INDIRECT(ADDRESS(2,COLUMN())),OFFSET($BN$2,0,0,ROW()-1,60),ROW()-1,FALSE))</f>
        <v>120.327</v>
      </c>
      <c r="AF12">
        <f ca="1">IF(AND(ISNUMBER($AF$268),$B$258=1),$AF$268,HLOOKUP(INDIRECT(ADDRESS(2,COLUMN())),OFFSET($BN$2,0,0,ROW()-1,60),ROW()-1,FALSE))</f>
        <v>113.7</v>
      </c>
      <c r="AG12">
        <f ca="1">IF(AND(ISNUMBER($AG$268),$B$258=1),$AG$268,HLOOKUP(INDIRECT(ADDRESS(2,COLUMN())),OFFSET($BN$2,0,0,ROW()-1,60),ROW()-1,FALSE))</f>
        <v>100.318</v>
      </c>
      <c r="AH12">
        <f ca="1">IF(AND(ISNUMBER($AH$268),$B$258=1),$AH$268,HLOOKUP(INDIRECT(ADDRESS(2,COLUMN())),OFFSET($BN$2,0,0,ROW()-1,60),ROW()-1,FALSE))</f>
        <v>98.552000000000007</v>
      </c>
      <c r="AI12">
        <f ca="1">IF(AND(ISNUMBER($AI$268),$B$258=1),$AI$268,HLOOKUP(INDIRECT(ADDRESS(2,COLUMN())),OFFSET($BN$2,0,0,ROW()-1,60),ROW()-1,FALSE))</f>
        <v>97.363</v>
      </c>
      <c r="AJ12">
        <f ca="1">IF(AND(ISNUMBER($AJ$268),$B$258=1),$AJ$268,HLOOKUP(INDIRECT(ADDRESS(2,COLUMN())),OFFSET($BN$2,0,0,ROW()-1,60),ROW()-1,FALSE))</f>
        <v>80.960999999999999</v>
      </c>
      <c r="AK12">
        <f ca="1">IF(AND(ISNUMBER($AK$268),$B$258=1),$AK$268,HLOOKUP(INDIRECT(ADDRESS(2,COLUMN())),OFFSET($BN$2,0,0,ROW()-1,60),ROW()-1,FALSE))</f>
        <v>80.765000000000001</v>
      </c>
      <c r="AL12">
        <f ca="1">IF(AND(ISNUMBER($AL$268),$B$258=1),$AL$268,HLOOKUP(INDIRECT(ADDRESS(2,COLUMN())),OFFSET($BN$2,0,0,ROW()-1,60),ROW()-1,FALSE))</f>
        <v>80.447000000000003</v>
      </c>
      <c r="AM12">
        <f ca="1">IF(AND(ISNUMBER($AM$268),$B$258=1),$AM$268,HLOOKUP(INDIRECT(ADDRESS(2,COLUMN())),OFFSET($BN$2,0,0,ROW()-1,60),ROW()-1,FALSE))</f>
        <v>86.992000000000004</v>
      </c>
      <c r="AN12">
        <f ca="1">IF(AND(ISNUMBER($AN$268),$B$258=1),$AN$268,HLOOKUP(INDIRECT(ADDRESS(2,COLUMN())),OFFSET($BN$2,0,0,ROW()-1,60),ROW()-1,FALSE))</f>
        <v>72.010000000000005</v>
      </c>
      <c r="AO12">
        <f ca="1">IF(AND(ISNUMBER($AO$268),$B$258=1),$AO$268,HLOOKUP(INDIRECT(ADDRESS(2,COLUMN())),OFFSET($BN$2,0,0,ROW()-1,60),ROW()-1,FALSE))</f>
        <v>69.399000000000001</v>
      </c>
      <c r="AP12">
        <f ca="1">IF(AND(ISNUMBER($AP$268),$B$258=1),$AP$268,HLOOKUP(INDIRECT(ADDRESS(2,COLUMN())),OFFSET($BN$2,0,0,ROW()-1,60),ROW()-1,FALSE))</f>
        <v>68.376999999999995</v>
      </c>
      <c r="AQ12">
        <f ca="1">IF(AND(ISNUMBER($AQ$268),$B$258=1),$AQ$268,HLOOKUP(INDIRECT(ADDRESS(2,COLUMN())),OFFSET($BN$2,0,0,ROW()-1,60),ROW()-1,FALSE))</f>
        <v>72.619</v>
      </c>
      <c r="AR12">
        <f ca="1">IF(AND(ISNUMBER($AR$268),$B$258=1),$AR$268,HLOOKUP(INDIRECT(ADDRESS(2,COLUMN())),OFFSET($BN$2,0,0,ROW()-1,60),ROW()-1,FALSE))</f>
        <v>58.896999999999998</v>
      </c>
      <c r="AS12">
        <f ca="1">IF(AND(ISNUMBER($AS$268),$B$258=1),$AS$268,HLOOKUP(INDIRECT(ADDRESS(2,COLUMN())),OFFSET($BN$2,0,0,ROW()-1,60),ROW()-1,FALSE))</f>
        <v>52.707999999999998</v>
      </c>
      <c r="AT12">
        <f ca="1">IF(AND(ISNUMBER($AT$268),$B$258=1),$AT$268,HLOOKUP(INDIRECT(ADDRESS(2,COLUMN())),OFFSET($BN$2,0,0,ROW()-1,60),ROW()-1,FALSE))</f>
        <v>48.982999999999997</v>
      </c>
      <c r="AU12">
        <f ca="1">IF(AND(ISNUMBER($AU$268),$B$258=1),$AU$268,HLOOKUP(INDIRECT(ADDRESS(2,COLUMN())),OFFSET($BN$2,0,0,ROW()-1,60),ROW()-1,FALSE))</f>
        <v>52.591000000000001</v>
      </c>
      <c r="AV12">
        <f ca="1">IF(AND(ISNUMBER($AV$268),$B$258=1),$AV$268,HLOOKUP(INDIRECT(ADDRESS(2,COLUMN())),OFFSET($BN$2,0,0,ROW()-1,60),ROW()-1,FALSE))</f>
        <v>44.652999999999999</v>
      </c>
      <c r="AW12">
        <f ca="1">IF(AND(ISNUMBER($AW$268),$B$258=1),$AW$268,HLOOKUP(INDIRECT(ADDRESS(2,COLUMN())),OFFSET($BN$2,0,0,ROW()-1,60),ROW()-1,FALSE))</f>
        <v>44.405999999999999</v>
      </c>
      <c r="AX12">
        <f ca="1">IF(AND(ISNUMBER($AX$268),$B$258=1),$AX$268,HLOOKUP(INDIRECT(ADDRESS(2,COLUMN())),OFFSET($BN$2,0,0,ROW()-1,60),ROW()-1,FALSE))</f>
        <v>44.301000000000002</v>
      </c>
      <c r="AY12">
        <f ca="1">IF(AND(ISNUMBER($AY$268),$B$258=1),$AY$268,HLOOKUP(INDIRECT(ADDRESS(2,COLUMN())),OFFSET($BN$2,0,0,ROW()-1,60),ROW()-1,FALSE))</f>
        <v>54.645000000000003</v>
      </c>
      <c r="AZ12">
        <f ca="1">IF(AND(ISNUMBER($AZ$268),$B$258=1),$AZ$268,HLOOKUP(INDIRECT(ADDRESS(2,COLUMN())),OFFSET($BN$2,0,0,ROW()-1,60),ROW()-1,FALSE))</f>
        <v>41.982999999999997</v>
      </c>
      <c r="BA12">
        <f ca="1">IF(AND(ISNUMBER($BA$268),$B$258=1),$BA$268,HLOOKUP(INDIRECT(ADDRESS(2,COLUMN())),OFFSET($BN$2,0,0,ROW()-1,60),ROW()-1,FALSE))</f>
        <v>40.920999999999999</v>
      </c>
      <c r="BB12">
        <f ca="1">IF(AND(ISNUMBER($BB$268),$B$258=1),$BB$268,HLOOKUP(INDIRECT(ADDRESS(2,COLUMN())),OFFSET($BN$2,0,0,ROW()-1,60),ROW()-1,FALSE))</f>
        <v>40.823</v>
      </c>
      <c r="BC12">
        <f ca="1">IF(AND(ISNUMBER($BC$268),$B$258=1),$BC$268,HLOOKUP(INDIRECT(ADDRESS(2,COLUMN())),OFFSET($BN$2,0,0,ROW()-1,60),ROW()-1,FALSE))</f>
        <v>43.777000000000001</v>
      </c>
      <c r="BD12">
        <f ca="1">IF(AND(ISNUMBER($BD$268),$B$258=1),$BD$268,HLOOKUP(INDIRECT(ADDRESS(2,COLUMN())),OFFSET($BN$2,0,0,ROW()-1,60),ROW()-1,FALSE))</f>
        <v>39.506000520000001</v>
      </c>
      <c r="BE12">
        <f ca="1">IF(AND(ISNUMBER($BE$268),$B$258=1),$BE$268,HLOOKUP(INDIRECT(ADDRESS(2,COLUMN())),OFFSET($BN$2,0,0,ROW()-1,60),ROW()-1,FALSE))</f>
        <v>39.094001769999998</v>
      </c>
      <c r="BF12">
        <f ca="1">IF(AND(ISNUMBER($BF$268),$B$258=1),$BF$268,HLOOKUP(INDIRECT(ADDRESS(2,COLUMN())),OFFSET($BN$2,0,0,ROW()-1,60),ROW()-1,FALSE))</f>
        <v>38.888000490000003</v>
      </c>
      <c r="BG12">
        <f ca="1">IF(AND(ISNUMBER($BG$268),$B$258=1),$BG$268,HLOOKUP(INDIRECT(ADDRESS(2,COLUMN())),OFFSET($BN$2,0,0,ROW()-1,60),ROW()-1,FALSE))</f>
        <v>40.286000000000001</v>
      </c>
      <c r="BH12">
        <f ca="1">IF(AND(ISNUMBER($BH$268),$B$258=1),$BH$268,HLOOKUP(INDIRECT(ADDRESS(2,COLUMN())),OFFSET($BN$2,0,0,ROW()-1,60),ROW()-1,FALSE))</f>
        <v>35.42599869</v>
      </c>
      <c r="BI12">
        <f ca="1">IF(AND(ISNUMBER($BI$268),$B$258=1),$BI$268,HLOOKUP(INDIRECT(ADDRESS(2,COLUMN())),OFFSET($BN$2,0,0,ROW()-1,60),ROW()-1,FALSE))</f>
        <v>35.188999180000003</v>
      </c>
      <c r="BJ12">
        <f ca="1">IF(AND(ISNUMBER($BJ$268),$B$258=1),$BJ$268,HLOOKUP(INDIRECT(ADDRESS(2,COLUMN())),OFFSET($BN$2,0,0,ROW()-1,60),ROW()-1,FALSE))</f>
        <v>34.828998570000003</v>
      </c>
      <c r="BK12">
        <f ca="1">IF(AND(ISNUMBER($BK$268),$B$258=1),$BK$268,HLOOKUP(INDIRECT(ADDRESS(2,COLUMN())),OFFSET($BN$2,0,0,ROW()-1,60),ROW()-1,FALSE))</f>
        <v>35.541000369999999</v>
      </c>
      <c r="BL12">
        <f ca="1">IF(AND(ISNUMBER($BL$268),$B$258=1),$BL$268,HLOOKUP(INDIRECT(ADDRESS(2,COLUMN())),OFFSET($BN$2,0,0,ROW()-1,60),ROW()-1,FALSE))</f>
        <v>31.805</v>
      </c>
      <c r="BM12">
        <f ca="1">IF(AND(ISNUMBER($BM$268),$B$258=1),$BM$268,HLOOKUP(INDIRECT(ADDRESS(2,COLUMN())),OFFSET($BN$2,0,0,ROW()-1,60),ROW()-1,FALSE))</f>
        <v>31.568000000000001</v>
      </c>
      <c r="BN12" t="str">
        <f>""</f>
        <v/>
      </c>
      <c r="BO12">
        <f>179.585</f>
        <v>179.58500000000001</v>
      </c>
      <c r="BP12">
        <f>168.348</f>
        <v>168.34800000000001</v>
      </c>
      <c r="BQ12">
        <f>166.647</f>
        <v>166.64699999999999</v>
      </c>
      <c r="BR12">
        <f>166.443</f>
        <v>166.44300000000001</v>
      </c>
      <c r="BS12">
        <f>175.277</f>
        <v>175.27699999999999</v>
      </c>
      <c r="BT12">
        <f>165.503</f>
        <v>165.50299999999999</v>
      </c>
      <c r="BU12">
        <f>163.997</f>
        <v>163.99700000000001</v>
      </c>
      <c r="BV12">
        <f>161.421</f>
        <v>161.42099999999999</v>
      </c>
      <c r="BW12">
        <f>170.706</f>
        <v>170.70599999999999</v>
      </c>
      <c r="BX12">
        <f>158.863</f>
        <v>158.863</v>
      </c>
      <c r="BY12">
        <f>155.546</f>
        <v>155.54599999999999</v>
      </c>
      <c r="BZ12">
        <f>145.784</f>
        <v>145.78399999999999</v>
      </c>
      <c r="CA12">
        <f>149.364</f>
        <v>149.364</v>
      </c>
      <c r="CB12">
        <f>137.614</f>
        <v>137.614</v>
      </c>
      <c r="CC12">
        <f>127.669</f>
        <v>127.669</v>
      </c>
      <c r="CD12">
        <f>112.055</f>
        <v>112.05500000000001</v>
      </c>
      <c r="CE12">
        <f>122.912</f>
        <v>122.91200000000001</v>
      </c>
      <c r="CF12">
        <f>112.319</f>
        <v>112.319</v>
      </c>
      <c r="CG12">
        <f>112.297</f>
        <v>112.297</v>
      </c>
      <c r="CH12">
        <f>111.852</f>
        <v>111.852</v>
      </c>
      <c r="CI12">
        <f>124.039</f>
        <v>124.039</v>
      </c>
      <c r="CJ12">
        <f>113.756</f>
        <v>113.756</v>
      </c>
      <c r="CK12">
        <f>108.407</f>
        <v>108.407</v>
      </c>
      <c r="CL12">
        <f>109.505</f>
        <v>109.505</v>
      </c>
      <c r="CM12">
        <f>120.327</f>
        <v>120.327</v>
      </c>
      <c r="CN12">
        <f>113.7</f>
        <v>113.7</v>
      </c>
      <c r="CO12">
        <f>100.318</f>
        <v>100.318</v>
      </c>
      <c r="CP12">
        <f>98.552</f>
        <v>98.552000000000007</v>
      </c>
      <c r="CQ12">
        <f>97.363</f>
        <v>97.363</v>
      </c>
      <c r="CR12">
        <f>80.961</f>
        <v>80.960999999999999</v>
      </c>
      <c r="CS12">
        <f>80.765</f>
        <v>80.765000000000001</v>
      </c>
      <c r="CT12">
        <f>80.447</f>
        <v>80.447000000000003</v>
      </c>
      <c r="CU12">
        <f>86.992</f>
        <v>86.992000000000004</v>
      </c>
      <c r="CV12">
        <f>72.01</f>
        <v>72.010000000000005</v>
      </c>
      <c r="CW12">
        <f>69.399</f>
        <v>69.399000000000001</v>
      </c>
      <c r="CX12">
        <f>68.377</f>
        <v>68.376999999999995</v>
      </c>
      <c r="CY12">
        <f>72.619</f>
        <v>72.619</v>
      </c>
      <c r="CZ12">
        <f>58.897</f>
        <v>58.896999999999998</v>
      </c>
      <c r="DA12">
        <f>52.708</f>
        <v>52.707999999999998</v>
      </c>
      <c r="DB12">
        <f>48.983</f>
        <v>48.982999999999997</v>
      </c>
      <c r="DC12">
        <f>52.591</f>
        <v>52.591000000000001</v>
      </c>
      <c r="DD12">
        <f>44.653</f>
        <v>44.652999999999999</v>
      </c>
      <c r="DE12">
        <f>44.406</f>
        <v>44.405999999999999</v>
      </c>
      <c r="DF12">
        <f>44.301</f>
        <v>44.301000000000002</v>
      </c>
      <c r="DG12">
        <f>54.645</f>
        <v>54.645000000000003</v>
      </c>
      <c r="DH12">
        <f>41.983</f>
        <v>41.982999999999997</v>
      </c>
      <c r="DI12">
        <f>40.921</f>
        <v>40.920999999999999</v>
      </c>
      <c r="DJ12">
        <f>40.823</f>
        <v>40.823</v>
      </c>
      <c r="DK12">
        <f>43.777</f>
        <v>43.777000000000001</v>
      </c>
      <c r="DL12">
        <f>39.50600052</f>
        <v>39.506000520000001</v>
      </c>
      <c r="DM12">
        <f>39.09400177</f>
        <v>39.094001769999998</v>
      </c>
      <c r="DN12">
        <f>38.88800049</f>
        <v>38.888000490000003</v>
      </c>
      <c r="DO12">
        <f>40.286</f>
        <v>40.286000000000001</v>
      </c>
      <c r="DP12">
        <f>35.42599869</f>
        <v>35.42599869</v>
      </c>
      <c r="DQ12">
        <f>35.18899918</f>
        <v>35.188999180000003</v>
      </c>
      <c r="DR12">
        <f>34.82899857</f>
        <v>34.828998570000003</v>
      </c>
      <c r="DS12">
        <f>35.54100037</f>
        <v>35.541000369999999</v>
      </c>
      <c r="DT12">
        <f>31.805</f>
        <v>31.805</v>
      </c>
      <c r="DU12">
        <f>31.568</f>
        <v>31.568000000000001</v>
      </c>
    </row>
    <row r="13" spans="1:125">
      <c r="A13" t="str">
        <f>"    Ventas Inc"</f>
        <v xml:space="preserve">    Ventas Inc</v>
      </c>
      <c r="B13" t="str">
        <f>"VTR US Equity"</f>
        <v>VTR US Equity</v>
      </c>
      <c r="C13" t="str">
        <f t="shared" si="0"/>
        <v>IS030</v>
      </c>
      <c r="D13" t="str">
        <f t="shared" si="1"/>
        <v>IS_RENT_INC</v>
      </c>
      <c r="E13" t="str">
        <f t="shared" si="2"/>
        <v>动态</v>
      </c>
      <c r="F13" t="str">
        <f ca="1">IF(AND(ISNUMBER($F$269),$B$258=1),$F$269,HLOOKUP(INDIRECT(ADDRESS(2,COLUMN())),OFFSET($BN$2,0,0,ROW()-1,60),ROW()-1,FALSE))</f>
        <v/>
      </c>
      <c r="G13">
        <f ca="1">IF(AND(ISNUMBER($G$269),$B$258=1),$G$269,HLOOKUP(INDIRECT(ADDRESS(2,COLUMN())),OFFSET($BN$2,0,0,ROW()-1,60),ROW()-1,FALSE))</f>
        <v>205.17599999999999</v>
      </c>
      <c r="H13">
        <f ca="1">IF(AND(ISNUMBER($H$269),$B$258=1),$H$269,HLOOKUP(INDIRECT(ADDRESS(2,COLUMN())),OFFSET($BN$2,0,0,ROW()-1,60),ROW()-1,FALSE))</f>
        <v>212.37</v>
      </c>
      <c r="I13">
        <f ca="1">IF(AND(ISNUMBER($I$269),$B$258=1),$I$269,HLOOKUP(INDIRECT(ADDRESS(2,COLUMN())),OFFSET($BN$2,0,0,ROW()-1,60),ROW()-1,FALSE))</f>
        <v>213.25800000000001</v>
      </c>
      <c r="J13">
        <f ca="1">IF(AND(ISNUMBER($J$269),$B$258=1),$J$269,HLOOKUP(INDIRECT(ADDRESS(2,COLUMN())),OFFSET($BN$2,0,0,ROW()-1,60),ROW()-1,FALSE))</f>
        <v>209.327</v>
      </c>
      <c r="K13">
        <f ca="1">IF(AND(ISNUMBER($K$269),$B$258=1),$K$269,HLOOKUP(INDIRECT(ADDRESS(2,COLUMN())),OFFSET($BN$2,0,0,ROW()-1,60),ROW()-1,FALSE))</f>
        <v>210.804</v>
      </c>
      <c r="L13">
        <f ca="1">IF(AND(ISNUMBER($L$269),$B$258=1),$L$269,HLOOKUP(INDIRECT(ADDRESS(2,COLUMN())),OFFSET($BN$2,0,0,ROW()-1,60),ROW()-1,FALSE))</f>
        <v>210.42400000000001</v>
      </c>
      <c r="M13">
        <f ca="1">IF(AND(ISNUMBER($M$269),$B$258=1),$M$269,HLOOKUP(INDIRECT(ADDRESS(2,COLUMN())),OFFSET($BN$2,0,0,ROW()-1,60),ROW()-1,FALSE))</f>
        <v>210.119</v>
      </c>
      <c r="N13">
        <f ca="1">IF(AND(ISNUMBER($N$269),$B$258=1),$N$269,HLOOKUP(INDIRECT(ADDRESS(2,COLUMN())),OFFSET($BN$2,0,0,ROW()-1,60),ROW()-1,FALSE))</f>
        <v>214.48699999999999</v>
      </c>
      <c r="O13">
        <f ca="1">IF(AND(ISNUMBER($O$269),$B$258=1),$O$269,HLOOKUP(INDIRECT(ADDRESS(2,COLUMN())),OFFSET($BN$2,0,0,ROW()-1,60),ROW()-1,FALSE))</f>
        <v>208.21</v>
      </c>
      <c r="P13">
        <f ca="1">IF(AND(ISNUMBER($P$269),$B$258=1),$P$269,HLOOKUP(INDIRECT(ADDRESS(2,COLUMN())),OFFSET($BN$2,0,0,ROW()-1,60),ROW()-1,FALSE))</f>
        <v>201.02799999999999</v>
      </c>
      <c r="Q13">
        <f ca="1">IF(AND(ISNUMBER($Q$269),$B$258=1),$Q$269,HLOOKUP(INDIRECT(ADDRESS(2,COLUMN())),OFFSET($BN$2,0,0,ROW()-1,60),ROW()-1,FALSE))</f>
        <v>182.006</v>
      </c>
      <c r="R13">
        <f ca="1">IF(AND(ISNUMBER($R$269),$B$258=1),$R$269,HLOOKUP(INDIRECT(ADDRESS(2,COLUMN())),OFFSET($BN$2,0,0,ROW()-1,60),ROW()-1,FALSE))</f>
        <v>188.55699999999999</v>
      </c>
      <c r="S13">
        <f ca="1">IF(AND(ISNUMBER($S$269),$B$258=1),$S$269,HLOOKUP(INDIRECT(ADDRESS(2,COLUMN())),OFFSET($BN$2,0,0,ROW()-1,60),ROW()-1,FALSE))</f>
        <v>174.5</v>
      </c>
      <c r="T13">
        <f ca="1">IF(AND(ISNUMBER($T$269),$B$258=1),$T$269,HLOOKUP(INDIRECT(ADDRESS(2,COLUMN())),OFFSET($BN$2,0,0,ROW()-1,60),ROW()-1,FALSE))</f>
        <v>170.87299999999999</v>
      </c>
      <c r="U13">
        <f ca="1">IF(AND(ISNUMBER($U$269),$B$258=1),$U$269,HLOOKUP(INDIRECT(ADDRESS(2,COLUMN())),OFFSET($BN$2,0,0,ROW()-1,60),ROW()-1,FALSE))</f>
        <v>242.726</v>
      </c>
      <c r="V13">
        <f ca="1">IF(AND(ISNUMBER($V$269),$B$258=1),$V$269,HLOOKUP(INDIRECT(ADDRESS(2,COLUMN())),OFFSET($BN$2,0,0,ROW()-1,60),ROW()-1,FALSE))</f>
        <v>237.846</v>
      </c>
      <c r="W13">
        <f ca="1">IF(AND(ISNUMBER($W$269),$B$258=1),$W$269,HLOOKUP(INDIRECT(ADDRESS(2,COLUMN())),OFFSET($BN$2,0,0,ROW()-1,60),ROW()-1,FALSE))</f>
        <v>232.87299999999999</v>
      </c>
      <c r="X13">
        <f ca="1">IF(AND(ISNUMBER($X$269),$B$258=1),$X$269,HLOOKUP(INDIRECT(ADDRESS(2,COLUMN())),OFFSET($BN$2,0,0,ROW()-1,60),ROW()-1,FALSE))</f>
        <v>218.69800000000001</v>
      </c>
      <c r="Y13">
        <f ca="1">IF(AND(ISNUMBER($Y$269),$B$258=1),$Y$269,HLOOKUP(INDIRECT(ADDRESS(2,COLUMN())),OFFSET($BN$2,0,0,ROW()-1,60),ROW()-1,FALSE))</f>
        <v>213.17099999999999</v>
      </c>
      <c r="Z13">
        <f ca="1">IF(AND(ISNUMBER($Z$269),$B$258=1),$Z$269,HLOOKUP(INDIRECT(ADDRESS(2,COLUMN())),OFFSET($BN$2,0,0,ROW()-1,60),ROW()-1,FALSE))</f>
        <v>212.53399999999999</v>
      </c>
      <c r="AA13">
        <f ca="1">IF(AND(ISNUMBER($AA$269),$B$258=1),$AA$269,HLOOKUP(INDIRECT(ADDRESS(2,COLUMN())),OFFSET($BN$2,0,0,ROW()-1,60),ROW()-1,FALSE))</f>
        <v>206.18799999999999</v>
      </c>
      <c r="AB13">
        <f ca="1">IF(AND(ISNUMBER($AB$269),$B$258=1),$AB$269,HLOOKUP(INDIRECT(ADDRESS(2,COLUMN())),OFFSET($BN$2,0,0,ROW()-1,60),ROW()-1,FALSE))</f>
        <v>207.37200000000001</v>
      </c>
      <c r="AC13">
        <f ca="1">IF(AND(ISNUMBER($AC$269),$B$258=1),$AC$269,HLOOKUP(INDIRECT(ADDRESS(2,COLUMN())),OFFSET($BN$2,0,0,ROW()-1,60),ROW()-1,FALSE))</f>
        <v>204.56100000000001</v>
      </c>
      <c r="AD13">
        <f ca="1">IF(AND(ISNUMBER($AD$269),$B$258=1),$AD$269,HLOOKUP(INDIRECT(ADDRESS(2,COLUMN())),OFFSET($BN$2,0,0,ROW()-1,60),ROW()-1,FALSE))</f>
        <v>203.57499999999999</v>
      </c>
      <c r="AE13">
        <f ca="1">IF(AND(ISNUMBER($AE$269),$B$258=1),$AE$269,HLOOKUP(INDIRECT(ADDRESS(2,COLUMN())),OFFSET($BN$2,0,0,ROW()-1,60),ROW()-1,FALSE))</f>
        <v>204.16900000000001</v>
      </c>
      <c r="AF13">
        <f ca="1">IF(AND(ISNUMBER($AF$269),$B$258=1),$AF$269,HLOOKUP(INDIRECT(ADDRESS(2,COLUMN())),OFFSET($BN$2,0,0,ROW()-1,60),ROW()-1,FALSE))</f>
        <v>203.209</v>
      </c>
      <c r="AG13">
        <f ca="1">IF(AND(ISNUMBER($AG$269),$B$258=1),$AG$269,HLOOKUP(INDIRECT(ADDRESS(2,COLUMN())),OFFSET($BN$2,0,0,ROW()-1,60),ROW()-1,FALSE))</f>
        <v>116.15</v>
      </c>
      <c r="AH13">
        <f ca="1">IF(AND(ISNUMBER($AH$269),$B$258=1),$AH$269,HLOOKUP(INDIRECT(ADDRESS(2,COLUMN())),OFFSET($BN$2,0,0,ROW()-1,60),ROW()-1,FALSE))</f>
        <v>116.574</v>
      </c>
      <c r="AI13">
        <f ca="1">IF(AND(ISNUMBER($AI$269),$B$258=1),$AI$269,HLOOKUP(INDIRECT(ADDRESS(2,COLUMN())),OFFSET($BN$2,0,0,ROW()-1,60),ROW()-1,FALSE))</f>
        <v>116.17100000000001</v>
      </c>
      <c r="AJ13">
        <f ca="1">IF(AND(ISNUMBER($AJ$269),$B$258=1),$AJ$269,HLOOKUP(INDIRECT(ADDRESS(2,COLUMN())),OFFSET($BN$2,0,0,ROW()-1,60),ROW()-1,FALSE))</f>
        <v>117.90600000000001</v>
      </c>
      <c r="AK13">
        <f ca="1">IF(AND(ISNUMBER($AK$269),$B$258=1),$AK$269,HLOOKUP(INDIRECT(ADDRESS(2,COLUMN())),OFFSET($BN$2,0,0,ROW()-1,60),ROW()-1,FALSE))</f>
        <v>117.386</v>
      </c>
      <c r="AL13">
        <f ca="1">IF(AND(ISNUMBER($AL$269),$B$258=1),$AL$269,HLOOKUP(INDIRECT(ADDRESS(2,COLUMN())),OFFSET($BN$2,0,0,ROW()-1,60),ROW()-1,FALSE))</f>
        <v>116.333</v>
      </c>
      <c r="AM13">
        <f ca="1">IF(AND(ISNUMBER($AM$269),$B$258=1),$AM$269,HLOOKUP(INDIRECT(ADDRESS(2,COLUMN())),OFFSET($BN$2,0,0,ROW()-1,60),ROW()-1,FALSE))</f>
        <v>126.063</v>
      </c>
      <c r="AN13">
        <f ca="1">IF(AND(ISNUMBER($AN$269),$B$258=1),$AN$269,HLOOKUP(INDIRECT(ADDRESS(2,COLUMN())),OFFSET($BN$2,0,0,ROW()-1,60),ROW()-1,FALSE))</f>
        <v>115.752</v>
      </c>
      <c r="AO13">
        <f ca="1">IF(AND(ISNUMBER($AO$269),$B$258=1),$AO$269,HLOOKUP(INDIRECT(ADDRESS(2,COLUMN())),OFFSET($BN$2,0,0,ROW()-1,60),ROW()-1,FALSE))</f>
        <v>124.61199999999999</v>
      </c>
      <c r="AP13">
        <f ca="1">IF(AND(ISNUMBER($AP$269),$B$258=1),$AP$269,HLOOKUP(INDIRECT(ADDRESS(2,COLUMN())),OFFSET($BN$2,0,0,ROW()-1,60),ROW()-1,FALSE))</f>
        <v>122.398</v>
      </c>
      <c r="AQ13">
        <f ca="1">IF(AND(ISNUMBER($AQ$269),$B$258=1),$AQ$269,HLOOKUP(INDIRECT(ADDRESS(2,COLUMN())),OFFSET($BN$2,0,0,ROW()-1,60),ROW()-1,FALSE))</f>
        <v>122.673</v>
      </c>
      <c r="AR13">
        <f ca="1">IF(AND(ISNUMBER($AR$269),$B$258=1),$AR$269,HLOOKUP(INDIRECT(ADDRESS(2,COLUMN())),OFFSET($BN$2,0,0,ROW()-1,60),ROW()-1,FALSE))</f>
        <v>121.172</v>
      </c>
      <c r="AS13">
        <f ca="1">IF(AND(ISNUMBER($AS$269),$B$258=1),$AS$269,HLOOKUP(INDIRECT(ADDRESS(2,COLUMN())),OFFSET($BN$2,0,0,ROW()-1,60),ROW()-1,FALSE))</f>
        <v>119.441</v>
      </c>
      <c r="AT13">
        <f ca="1">IF(AND(ISNUMBER($AT$269),$B$258=1),$AT$269,HLOOKUP(INDIRECT(ADDRESS(2,COLUMN())),OFFSET($BN$2,0,0,ROW()-1,60),ROW()-1,FALSE))</f>
        <v>119.661</v>
      </c>
      <c r="AU13">
        <f ca="1">IF(AND(ISNUMBER($AU$269),$B$258=1),$AU$269,HLOOKUP(INDIRECT(ADDRESS(2,COLUMN())),OFFSET($BN$2,0,0,ROW()-1,60),ROW()-1,FALSE))</f>
        <v>119.83499999999999</v>
      </c>
      <c r="AV13">
        <f ca="1">IF(AND(ISNUMBER($AV$269),$B$258=1),$AV$269,HLOOKUP(INDIRECT(ADDRESS(2,COLUMN())),OFFSET($BN$2,0,0,ROW()-1,60),ROW()-1,FALSE))</f>
        <v>118.36499999999999</v>
      </c>
      <c r="AW13">
        <f ca="1">IF(AND(ISNUMBER($AW$269),$B$258=1),$AW$269,HLOOKUP(INDIRECT(ADDRESS(2,COLUMN())),OFFSET($BN$2,0,0,ROW()-1,60),ROW()-1,FALSE))</f>
        <v>118.252</v>
      </c>
      <c r="AX13">
        <f ca="1">IF(AND(ISNUMBER($AX$269),$B$258=1),$AX$269,HLOOKUP(INDIRECT(ADDRESS(2,COLUMN())),OFFSET($BN$2,0,0,ROW()-1,60),ROW()-1,FALSE))</f>
        <v>116.345</v>
      </c>
      <c r="AY13">
        <f ca="1">IF(AND(ISNUMBER($AY$269),$B$258=1),$AY$269,HLOOKUP(INDIRECT(ADDRESS(2,COLUMN())),OFFSET($BN$2,0,0,ROW()-1,60),ROW()-1,FALSE))</f>
        <v>109.91800000000001</v>
      </c>
      <c r="AZ13">
        <f ca="1">IF(AND(ISNUMBER($AZ$269),$B$258=1),$AZ$269,HLOOKUP(INDIRECT(ADDRESS(2,COLUMN())),OFFSET($BN$2,0,0,ROW()-1,60),ROW()-1,FALSE))</f>
        <v>104.00423000000001</v>
      </c>
      <c r="BA13">
        <f ca="1">IF(AND(ISNUMBER($BA$269),$B$258=1),$BA$269,HLOOKUP(INDIRECT(ADDRESS(2,COLUMN())),OFFSET($BN$2,0,0,ROW()-1,60),ROW()-1,FALSE))</f>
        <v>95.525000000000006</v>
      </c>
      <c r="BB13">
        <f ca="1">IF(AND(ISNUMBER($BB$269),$B$258=1),$BB$269,HLOOKUP(INDIRECT(ADDRESS(2,COLUMN())),OFFSET($BN$2,0,0,ROW()-1,60),ROW()-1,FALSE))</f>
        <v>96.504999999999995</v>
      </c>
      <c r="BC13">
        <f ca="1">IF(AND(ISNUMBER($BC$269),$B$258=1),$BC$269,HLOOKUP(INDIRECT(ADDRESS(2,COLUMN())),OFFSET($BN$2,0,0,ROW()-1,60),ROW()-1,FALSE))</f>
        <v>96.274000000000001</v>
      </c>
      <c r="BD13">
        <f ca="1">IF(AND(ISNUMBER($BD$269),$B$258=1),$BD$269,HLOOKUP(INDIRECT(ADDRESS(2,COLUMN())),OFFSET($BN$2,0,0,ROW()-1,60),ROW()-1,FALSE))</f>
        <v>93.569000000000003</v>
      </c>
      <c r="BE13">
        <f ca="1">IF(AND(ISNUMBER($BE$269),$B$258=1),$BE$269,HLOOKUP(INDIRECT(ADDRESS(2,COLUMN())),OFFSET($BN$2,0,0,ROW()-1,60),ROW()-1,FALSE))</f>
        <v>72.34</v>
      </c>
      <c r="BF13">
        <f ca="1">IF(AND(ISNUMBER($BF$269),$B$258=1),$BF$269,HLOOKUP(INDIRECT(ADDRESS(2,COLUMN())),OFFSET($BN$2,0,0,ROW()-1,60),ROW()-1,FALSE))</f>
        <v>62.738999999999997</v>
      </c>
      <c r="BG13">
        <f ca="1">IF(AND(ISNUMBER($BG$269),$B$258=1),$BG$269,HLOOKUP(INDIRECT(ADDRESS(2,COLUMN())),OFFSET($BN$2,0,0,ROW()-1,60),ROW()-1,FALSE))</f>
        <v>61.326999999999998</v>
      </c>
      <c r="BH13">
        <f ca="1">IF(AND(ISNUMBER($BH$269),$B$258=1),$BH$269,HLOOKUP(INDIRECT(ADDRESS(2,COLUMN())),OFFSET($BN$2,0,0,ROW()-1,60),ROW()-1,FALSE))</f>
        <v>60.31</v>
      </c>
      <c r="BI13">
        <f ca="1">IF(AND(ISNUMBER($BI$269),$B$258=1),$BI$269,HLOOKUP(INDIRECT(ADDRESS(2,COLUMN())),OFFSET($BN$2,0,0,ROW()-1,60),ROW()-1,FALSE))</f>
        <v>58.71</v>
      </c>
      <c r="BJ13">
        <f ca="1">IF(AND(ISNUMBER($BJ$269),$B$258=1),$BJ$269,HLOOKUP(INDIRECT(ADDRESS(2,COLUMN())),OFFSET($BN$2,0,0,ROW()-1,60),ROW()-1,FALSE))</f>
        <v>53.24</v>
      </c>
      <c r="BK13">
        <f ca="1">IF(AND(ISNUMBER($BK$269),$B$258=1),$BK$269,HLOOKUP(INDIRECT(ADDRESS(2,COLUMN())),OFFSET($BN$2,0,0,ROW()-1,60),ROW()-1,FALSE))</f>
        <v>49.07400131</v>
      </c>
      <c r="BL13">
        <f ca="1">IF(AND(ISNUMBER($BL$269),$B$258=1),$BL$269,HLOOKUP(INDIRECT(ADDRESS(2,COLUMN())),OFFSET($BN$2,0,0,ROW()-1,60),ROW()-1,FALSE))</f>
        <v>49.354999540000001</v>
      </c>
      <c r="BM13">
        <f ca="1">IF(AND(ISNUMBER($BM$269),$B$258=1),$BM$269,HLOOKUP(INDIRECT(ADDRESS(2,COLUMN())),OFFSET($BN$2,0,0,ROW()-1,60),ROW()-1,FALSE))</f>
        <v>46.704999999999998</v>
      </c>
      <c r="BN13" t="str">
        <f>""</f>
        <v/>
      </c>
      <c r="BO13">
        <f>205.176</f>
        <v>205.17599999999999</v>
      </c>
      <c r="BP13">
        <f>212.37</f>
        <v>212.37</v>
      </c>
      <c r="BQ13">
        <f>213.258</f>
        <v>213.25800000000001</v>
      </c>
      <c r="BR13">
        <f>209.327</f>
        <v>209.327</v>
      </c>
      <c r="BS13">
        <f>210.804</f>
        <v>210.804</v>
      </c>
      <c r="BT13">
        <f>210.424</f>
        <v>210.42400000000001</v>
      </c>
      <c r="BU13">
        <f>210.119</f>
        <v>210.119</v>
      </c>
      <c r="BV13">
        <f>214.487</f>
        <v>214.48699999999999</v>
      </c>
      <c r="BW13">
        <f>208.21</f>
        <v>208.21</v>
      </c>
      <c r="BX13">
        <f>201.028</f>
        <v>201.02799999999999</v>
      </c>
      <c r="BY13">
        <f>182.006</f>
        <v>182.006</v>
      </c>
      <c r="BZ13">
        <f>188.557</f>
        <v>188.55699999999999</v>
      </c>
      <c r="CA13">
        <f>174.5</f>
        <v>174.5</v>
      </c>
      <c r="CB13">
        <f>170.873</f>
        <v>170.87299999999999</v>
      </c>
      <c r="CC13">
        <f>242.726</f>
        <v>242.726</v>
      </c>
      <c r="CD13">
        <f>237.846</f>
        <v>237.846</v>
      </c>
      <c r="CE13">
        <f>232.873</f>
        <v>232.87299999999999</v>
      </c>
      <c r="CF13">
        <f>218.698</f>
        <v>218.69800000000001</v>
      </c>
      <c r="CG13">
        <f>213.171</f>
        <v>213.17099999999999</v>
      </c>
      <c r="CH13">
        <f>212.534</f>
        <v>212.53399999999999</v>
      </c>
      <c r="CI13">
        <f>206.188</f>
        <v>206.18799999999999</v>
      </c>
      <c r="CJ13">
        <f>207.372</f>
        <v>207.37200000000001</v>
      </c>
      <c r="CK13">
        <f>204.561</f>
        <v>204.56100000000001</v>
      </c>
      <c r="CL13">
        <f>203.575</f>
        <v>203.57499999999999</v>
      </c>
      <c r="CM13">
        <f>204.169</f>
        <v>204.16900000000001</v>
      </c>
      <c r="CN13">
        <f>203.209</f>
        <v>203.209</v>
      </c>
      <c r="CO13">
        <f>116.15</f>
        <v>116.15</v>
      </c>
      <c r="CP13">
        <f>116.574</f>
        <v>116.574</v>
      </c>
      <c r="CQ13">
        <f>116.171</f>
        <v>116.17100000000001</v>
      </c>
      <c r="CR13">
        <f>117.906</f>
        <v>117.90600000000001</v>
      </c>
      <c r="CS13">
        <f>117.386</f>
        <v>117.386</v>
      </c>
      <c r="CT13">
        <f>116.333</f>
        <v>116.333</v>
      </c>
      <c r="CU13">
        <f>126.063</f>
        <v>126.063</v>
      </c>
      <c r="CV13">
        <f>115.752</f>
        <v>115.752</v>
      </c>
      <c r="CW13">
        <f>124.612</f>
        <v>124.61199999999999</v>
      </c>
      <c r="CX13">
        <f>122.398</f>
        <v>122.398</v>
      </c>
      <c r="CY13">
        <f>122.673</f>
        <v>122.673</v>
      </c>
      <c r="CZ13">
        <f>121.172</f>
        <v>121.172</v>
      </c>
      <c r="DA13">
        <f>119.441</f>
        <v>119.441</v>
      </c>
      <c r="DB13">
        <f>119.661</f>
        <v>119.661</v>
      </c>
      <c r="DC13">
        <f>119.835</f>
        <v>119.83499999999999</v>
      </c>
      <c r="DD13">
        <f>118.365</f>
        <v>118.36499999999999</v>
      </c>
      <c r="DE13">
        <f>118.252</f>
        <v>118.252</v>
      </c>
      <c r="DF13">
        <f>116.345</f>
        <v>116.345</v>
      </c>
      <c r="DG13">
        <f>109.918</f>
        <v>109.91800000000001</v>
      </c>
      <c r="DH13">
        <f>104.00423</f>
        <v>104.00423000000001</v>
      </c>
      <c r="DI13">
        <f>95.525</f>
        <v>95.525000000000006</v>
      </c>
      <c r="DJ13">
        <f>96.505</f>
        <v>96.504999999999995</v>
      </c>
      <c r="DK13">
        <f>96.274</f>
        <v>96.274000000000001</v>
      </c>
      <c r="DL13">
        <f>93.569</f>
        <v>93.569000000000003</v>
      </c>
      <c r="DM13">
        <f>72.34</f>
        <v>72.34</v>
      </c>
      <c r="DN13">
        <f>62.739</f>
        <v>62.738999999999997</v>
      </c>
      <c r="DO13">
        <f>61.327</f>
        <v>61.326999999999998</v>
      </c>
      <c r="DP13">
        <f>60.31</f>
        <v>60.31</v>
      </c>
      <c r="DQ13">
        <f>58.71</f>
        <v>58.71</v>
      </c>
      <c r="DR13">
        <f>53.24</f>
        <v>53.24</v>
      </c>
      <c r="DS13">
        <f>49.07400131</f>
        <v>49.07400131</v>
      </c>
      <c r="DT13">
        <f>49.35499954</f>
        <v>49.354999540000001</v>
      </c>
      <c r="DU13">
        <f>46.705</f>
        <v>46.704999999999998</v>
      </c>
    </row>
    <row r="14" spans="1:125">
      <c r="A14" t="str">
        <f>"    Welltower Inc"</f>
        <v xml:space="preserve">    Welltower Inc</v>
      </c>
      <c r="B14" t="str">
        <f>"HCN US Equity"</f>
        <v>HCN US Equity</v>
      </c>
      <c r="C14" t="str">
        <f t="shared" si="0"/>
        <v>IS030</v>
      </c>
      <c r="D14" t="str">
        <f t="shared" si="1"/>
        <v>IS_RENT_INC</v>
      </c>
      <c r="E14" t="str">
        <f t="shared" si="2"/>
        <v>动态</v>
      </c>
      <c r="F14" t="str">
        <f ca="1">IF(AND(ISNUMBER($F$270),$B$258=1),$F$270,HLOOKUP(INDIRECT(ADDRESS(2,COLUMN())),OFFSET($BN$2,0,0,ROW()-1,60),ROW()-1,FALSE))</f>
        <v/>
      </c>
      <c r="G14">
        <f ca="1">IF(AND(ISNUMBER($G$270),$B$258=1),$G$270,HLOOKUP(INDIRECT(ADDRESS(2,COLUMN())),OFFSET($BN$2,0,0,ROW()-1,60),ROW()-1,FALSE))</f>
        <v>1089.915</v>
      </c>
      <c r="H14">
        <f ca="1">IF(AND(ISNUMBER($H$270),$B$258=1),$H$270,HLOOKUP(INDIRECT(ADDRESS(2,COLUMN())),OFFSET($BN$2,0,0,ROW()-1,60),ROW()-1,FALSE))</f>
        <v>1065.26</v>
      </c>
      <c r="I14">
        <f ca="1">IF(AND(ISNUMBER($I$270),$B$258=1),$I$270,HLOOKUP(INDIRECT(ADDRESS(2,COLUMN())),OFFSET($BN$2,0,0,ROW()-1,60),ROW()-1,FALSE))</f>
        <v>1032.6389999999999</v>
      </c>
      <c r="J14">
        <f ca="1">IF(AND(ISNUMBER($J$270),$B$258=1),$J$270,HLOOKUP(INDIRECT(ADDRESS(2,COLUMN())),OFFSET($BN$2,0,0,ROW()-1,60),ROW()-1,FALSE))</f>
        <v>1037.4780000000001</v>
      </c>
      <c r="K14">
        <f ca="1">IF(AND(ISNUMBER($K$270),$B$258=1),$K$270,HLOOKUP(INDIRECT(ADDRESS(2,COLUMN())),OFFSET($BN$2,0,0,ROW()-1,60),ROW()-1,FALSE))</f>
        <v>1046.7170000000001</v>
      </c>
      <c r="L14">
        <f ca="1">IF(AND(ISNUMBER($L$270),$B$258=1),$L$270,HLOOKUP(INDIRECT(ADDRESS(2,COLUMN())),OFFSET($BN$2,0,0,ROW()-1,60),ROW()-1,FALSE))</f>
        <v>1051.1690000000001</v>
      </c>
      <c r="M14">
        <f ca="1">IF(AND(ISNUMBER($M$270),$B$258=1),$M$270,HLOOKUP(INDIRECT(ADDRESS(2,COLUMN())),OFFSET($BN$2,0,0,ROW()-1,60),ROW()-1,FALSE))</f>
        <v>1037.848</v>
      </c>
      <c r="N14">
        <f ca="1">IF(AND(ISNUMBER($N$270),$B$258=1),$N$270,HLOOKUP(INDIRECT(ADDRESS(2,COLUMN())),OFFSET($BN$2,0,0,ROW()-1,60),ROW()-1,FALSE))</f>
        <v>1017.812</v>
      </c>
      <c r="O14">
        <f ca="1">IF(AND(ISNUMBER($O$270),$B$258=1),$O$270,HLOOKUP(INDIRECT(ADDRESS(2,COLUMN())),OFFSET($BN$2,0,0,ROW()-1,60),ROW()-1,FALSE))</f>
        <v>998.15899999999999</v>
      </c>
      <c r="P14">
        <f ca="1">IF(AND(ISNUMBER($P$270),$B$258=1),$P$270,HLOOKUP(INDIRECT(ADDRESS(2,COLUMN())),OFFSET($BN$2,0,0,ROW()-1,60),ROW()-1,FALSE))</f>
        <v>954.54499999999996</v>
      </c>
      <c r="Q14">
        <f ca="1">IF(AND(ISNUMBER($Q$270),$B$258=1),$Q$270,HLOOKUP(INDIRECT(ADDRESS(2,COLUMN())),OFFSET($BN$2,0,0,ROW()-1,60),ROW()-1,FALSE))</f>
        <v>932.17899999999997</v>
      </c>
      <c r="R14">
        <f ca="1">IF(AND(ISNUMBER($R$270),$B$258=1),$R$270,HLOOKUP(INDIRECT(ADDRESS(2,COLUMN())),OFFSET($BN$2,0,0,ROW()-1,60),ROW()-1,FALSE))</f>
        <v>872.09699999999998</v>
      </c>
      <c r="S14">
        <f ca="1">IF(AND(ISNUMBER($S$270),$B$258=1),$S$270,HLOOKUP(INDIRECT(ADDRESS(2,COLUMN())),OFFSET($BN$2,0,0,ROW()-1,60),ROW()-1,FALSE))</f>
        <v>853.23699999999997</v>
      </c>
      <c r="T14">
        <f ca="1">IF(AND(ISNUMBER($T$270),$B$258=1),$T$270,HLOOKUP(INDIRECT(ADDRESS(2,COLUMN())),OFFSET($BN$2,0,0,ROW()-1,60),ROW()-1,FALSE))</f>
        <v>836.56</v>
      </c>
      <c r="U14">
        <f ca="1">IF(AND(ISNUMBER($U$270),$B$258=1),$U$270,HLOOKUP(INDIRECT(ADDRESS(2,COLUMN())),OFFSET($BN$2,0,0,ROW()-1,60),ROW()-1,FALSE))</f>
        <v>815.48599999999999</v>
      </c>
      <c r="V14">
        <f ca="1">IF(AND(ISNUMBER($V$270),$B$258=1),$V$270,HLOOKUP(INDIRECT(ADDRESS(2,COLUMN())),OFFSET($BN$2,0,0,ROW()-1,60),ROW()-1,FALSE))</f>
        <v>792.72</v>
      </c>
      <c r="W14">
        <f ca="1">IF(AND(ISNUMBER($W$270),$B$258=1),$W$270,HLOOKUP(INDIRECT(ADDRESS(2,COLUMN())),OFFSET($BN$2,0,0,ROW()-1,60),ROW()-1,FALSE))</f>
        <v>779.34100000000001</v>
      </c>
      <c r="X14">
        <f ca="1">IF(AND(ISNUMBER($X$270),$B$258=1),$X$270,HLOOKUP(INDIRECT(ADDRESS(2,COLUMN())),OFFSET($BN$2,0,0,ROW()-1,60),ROW()-1,FALSE))</f>
        <v>774.63900000000001</v>
      </c>
      <c r="Y14">
        <f ca="1">IF(AND(ISNUMBER($Y$270),$B$258=1),$Y$270,HLOOKUP(INDIRECT(ADDRESS(2,COLUMN())),OFFSET($BN$2,0,0,ROW()-1,60),ROW()-1,FALSE))</f>
        <v>669.86800000000005</v>
      </c>
      <c r="Z14">
        <f ca="1">IF(AND(ISNUMBER($Z$270),$B$258=1),$Z$270,HLOOKUP(INDIRECT(ADDRESS(2,COLUMN())),OFFSET($BN$2,0,0,ROW()-1,60),ROW()-1,FALSE))</f>
        <v>619.96699999999998</v>
      </c>
      <c r="AA14">
        <f ca="1">IF(AND(ISNUMBER($AA$270),$B$258=1),$AA$270,HLOOKUP(INDIRECT(ADDRESS(2,COLUMN())),OFFSET($BN$2,0,0,ROW()-1,60),ROW()-1,FALSE))</f>
        <v>481.26299999999998</v>
      </c>
      <c r="AB14">
        <f ca="1">IF(AND(ISNUMBER($AB$270),$B$258=1),$AB$270,HLOOKUP(INDIRECT(ADDRESS(2,COLUMN())),OFFSET($BN$2,0,0,ROW()-1,60),ROW()-1,FALSE))</f>
        <v>452.38299999999998</v>
      </c>
      <c r="AC14">
        <f ca="1">IF(AND(ISNUMBER($AC$270),$B$258=1),$AC$270,HLOOKUP(INDIRECT(ADDRESS(2,COLUMN())),OFFSET($BN$2,0,0,ROW()-1,60),ROW()-1,FALSE))</f>
        <v>429.358</v>
      </c>
      <c r="AD14">
        <f ca="1">IF(AND(ISNUMBER($AD$270),$B$258=1),$AD$270,HLOOKUP(INDIRECT(ADDRESS(2,COLUMN())),OFFSET($BN$2,0,0,ROW()-1,60),ROW()-1,FALSE))</f>
        <v>408.16899999999998</v>
      </c>
      <c r="AE14">
        <f ca="1">IF(AND(ISNUMBER($AE$270),$B$258=1),$AE$270,HLOOKUP(INDIRECT(ADDRESS(2,COLUMN())),OFFSET($BN$2,0,0,ROW()-1,60),ROW()-1,FALSE))</f>
        <v>374.61099999999999</v>
      </c>
      <c r="AF14">
        <f ca="1">IF(AND(ISNUMBER($AF$270),$B$258=1),$AF$270,HLOOKUP(INDIRECT(ADDRESS(2,COLUMN())),OFFSET($BN$2,0,0,ROW()-1,60),ROW()-1,FALSE))</f>
        <v>361.06299999999999</v>
      </c>
      <c r="AG14">
        <f ca="1">IF(AND(ISNUMBER($AG$270),$B$258=1),$AG$270,HLOOKUP(INDIRECT(ADDRESS(2,COLUMN())),OFFSET($BN$2,0,0,ROW()-1,60),ROW()-1,FALSE))</f>
        <v>351.39499999999998</v>
      </c>
      <c r="AH14">
        <f ca="1">IF(AND(ISNUMBER($AH$270),$B$258=1),$AH$270,HLOOKUP(INDIRECT(ADDRESS(2,COLUMN())),OFFSET($BN$2,0,0,ROW()-1,60),ROW()-1,FALSE))</f>
        <v>231.22300000000001</v>
      </c>
      <c r="AI14">
        <f ca="1">IF(AND(ISNUMBER($AI$270),$B$258=1),$AI$270,HLOOKUP(INDIRECT(ADDRESS(2,COLUMN())),OFFSET($BN$2,0,0,ROW()-1,60),ROW()-1,FALSE))</f>
        <v>181.56100000000001</v>
      </c>
      <c r="AJ14">
        <f ca="1">IF(AND(ISNUMBER($AJ$270),$B$258=1),$AJ$270,HLOOKUP(INDIRECT(ADDRESS(2,COLUMN())),OFFSET($BN$2,0,0,ROW()-1,60),ROW()-1,FALSE))</f>
        <v>157.733</v>
      </c>
      <c r="AK14">
        <f ca="1">IF(AND(ISNUMBER($AK$270),$B$258=1),$AK$270,HLOOKUP(INDIRECT(ADDRESS(2,COLUMN())),OFFSET($BN$2,0,0,ROW()-1,60),ROW()-1,FALSE))</f>
        <v>141.76400000000001</v>
      </c>
      <c r="AL14">
        <f ca="1">IF(AND(ISNUMBER($AL$270),$B$258=1),$AL$270,HLOOKUP(INDIRECT(ADDRESS(2,COLUMN())),OFFSET($BN$2,0,0,ROW()-1,60),ROW()-1,FALSE))</f>
        <v>135.333</v>
      </c>
      <c r="AM14">
        <f ca="1">IF(AND(ISNUMBER($AM$270),$B$258=1),$AM$270,HLOOKUP(INDIRECT(ADDRESS(2,COLUMN())),OFFSET($BN$2,0,0,ROW()-1,60),ROW()-1,FALSE))</f>
        <v>129.57900000000001</v>
      </c>
      <c r="AN14">
        <f ca="1">IF(AND(ISNUMBER($AN$270),$B$258=1),$AN$270,HLOOKUP(INDIRECT(ADDRESS(2,COLUMN())),OFFSET($BN$2,0,0,ROW()-1,60),ROW()-1,FALSE))</f>
        <v>128.52699999999999</v>
      </c>
      <c r="AO14">
        <f ca="1">IF(AND(ISNUMBER($AO$270),$B$258=1),$AO$270,HLOOKUP(INDIRECT(ADDRESS(2,COLUMN())),OFFSET($BN$2,0,0,ROW()-1,60),ROW()-1,FALSE))</f>
        <v>127.64400000000001</v>
      </c>
      <c r="AP14">
        <f ca="1">IF(AND(ISNUMBER($AP$270),$B$258=1),$AP$270,HLOOKUP(INDIRECT(ADDRESS(2,COLUMN())),OFFSET($BN$2,0,0,ROW()-1,60),ROW()-1,FALSE))</f>
        <v>127.40900000000001</v>
      </c>
      <c r="AQ14">
        <f ca="1">IF(AND(ISNUMBER($AQ$270),$B$258=1),$AQ$270,HLOOKUP(INDIRECT(ADDRESS(2,COLUMN())),OFFSET($BN$2,0,0,ROW()-1,60),ROW()-1,FALSE))</f>
        <v>115.488</v>
      </c>
      <c r="AR14">
        <f ca="1">IF(AND(ISNUMBER($AR$270),$B$258=1),$AR$270,HLOOKUP(INDIRECT(ADDRESS(2,COLUMN())),OFFSET($BN$2,0,0,ROW()-1,60),ROW()-1,FALSE))</f>
        <v>126.384</v>
      </c>
      <c r="AS14">
        <f ca="1">IF(AND(ISNUMBER($AS$270),$B$258=1),$AS$270,HLOOKUP(INDIRECT(ADDRESS(2,COLUMN())),OFFSET($BN$2,0,0,ROW()-1,60),ROW()-1,FALSE))</f>
        <v>118.125</v>
      </c>
      <c r="AT14">
        <f ca="1">IF(AND(ISNUMBER($AT$270),$B$258=1),$AT$270,HLOOKUP(INDIRECT(ADDRESS(2,COLUMN())),OFFSET($BN$2,0,0,ROW()-1,60),ROW()-1,FALSE))</f>
        <v>115.825</v>
      </c>
      <c r="AU14">
        <f ca="1">IF(AND(ISNUMBER($AU$270),$B$258=1),$AU$270,HLOOKUP(INDIRECT(ADDRESS(2,COLUMN())),OFFSET($BN$2,0,0,ROW()-1,60),ROW()-1,FALSE))</f>
        <v>111.036</v>
      </c>
      <c r="AV14">
        <f ca="1">IF(AND(ISNUMBER($AV$270),$B$258=1),$AV$270,HLOOKUP(INDIRECT(ADDRESS(2,COLUMN())),OFFSET($BN$2,0,0,ROW()-1,60),ROW()-1,FALSE))</f>
        <v>111.599</v>
      </c>
      <c r="AW14">
        <f ca="1">IF(AND(ISNUMBER($AW$270),$B$258=1),$AW$270,HLOOKUP(INDIRECT(ADDRESS(2,COLUMN())),OFFSET($BN$2,0,0,ROW()-1,60),ROW()-1,FALSE))</f>
        <v>105.023</v>
      </c>
      <c r="AX14">
        <f ca="1">IF(AND(ISNUMBER($AX$270),$B$258=1),$AX$270,HLOOKUP(INDIRECT(ADDRESS(2,COLUMN())),OFFSET($BN$2,0,0,ROW()-1,60),ROW()-1,FALSE))</f>
        <v>103.496</v>
      </c>
      <c r="AY14">
        <f ca="1">IF(AND(ISNUMBER($AY$270),$B$258=1),$AY$270,HLOOKUP(INDIRECT(ADDRESS(2,COLUMN())),OFFSET($BN$2,0,0,ROW()-1,60),ROW()-1,FALSE))</f>
        <v>81.260999999999996</v>
      </c>
      <c r="AZ14">
        <f ca="1">IF(AND(ISNUMBER($AZ$270),$B$258=1),$AZ$270,HLOOKUP(INDIRECT(ADDRESS(2,COLUMN())),OFFSET($BN$2,0,0,ROW()-1,60),ROW()-1,FALSE))</f>
        <v>73.328000000000003</v>
      </c>
      <c r="BA14">
        <f ca="1">IF(AND(ISNUMBER($BA$270),$B$258=1),$BA$270,HLOOKUP(INDIRECT(ADDRESS(2,COLUMN())),OFFSET($BN$2,0,0,ROW()-1,60),ROW()-1,FALSE))</f>
        <v>71.757000000000005</v>
      </c>
      <c r="BB14">
        <f ca="1">IF(AND(ISNUMBER($BB$270),$B$258=1),$BB$270,HLOOKUP(INDIRECT(ADDRESS(2,COLUMN())),OFFSET($BN$2,0,0,ROW()-1,60),ROW()-1,FALSE))</f>
        <v>71.38</v>
      </c>
      <c r="BC14">
        <f ca="1">IF(AND(ISNUMBER($BC$270),$B$258=1),$BC$270,HLOOKUP(INDIRECT(ADDRESS(2,COLUMN())),OFFSET($BN$2,0,0,ROW()-1,60),ROW()-1,FALSE))</f>
        <v>65.463999999999999</v>
      </c>
      <c r="BD14">
        <f ca="1">IF(AND(ISNUMBER($BD$270),$B$258=1),$BD$270,HLOOKUP(INDIRECT(ADDRESS(2,COLUMN())),OFFSET($BN$2,0,0,ROW()-1,60),ROW()-1,FALSE))</f>
        <v>64.516000000000005</v>
      </c>
      <c r="BE14">
        <f ca="1">IF(AND(ISNUMBER($BE$270),$B$258=1),$BE$270,HLOOKUP(INDIRECT(ADDRESS(2,COLUMN())),OFFSET($BN$2,0,0,ROW()-1,60),ROW()-1,FALSE))</f>
        <v>59.576999999999998</v>
      </c>
      <c r="BF14">
        <f ca="1">IF(AND(ISNUMBER($BF$270),$B$258=1),$BF$270,HLOOKUP(INDIRECT(ADDRESS(2,COLUMN())),OFFSET($BN$2,0,0,ROW()-1,60),ROW()-1,FALSE))</f>
        <v>58.792999999999999</v>
      </c>
      <c r="BG14">
        <f ca="1">IF(AND(ISNUMBER($BG$270),$B$258=1),$BG$270,HLOOKUP(INDIRECT(ADDRESS(2,COLUMN())),OFFSET($BN$2,0,0,ROW()-1,60),ROW()-1,FALSE))</f>
        <v>48.898000000000003</v>
      </c>
      <c r="BH14">
        <f ca="1">IF(AND(ISNUMBER($BH$270),$B$258=1),$BH$270,HLOOKUP(INDIRECT(ADDRESS(2,COLUMN())),OFFSET($BN$2,0,0,ROW()-1,60),ROW()-1,FALSE))</f>
        <v>57.475999999999999</v>
      </c>
      <c r="BI14">
        <f ca="1">IF(AND(ISNUMBER($BI$270),$B$258=1),$BI$270,HLOOKUP(INDIRECT(ADDRESS(2,COLUMN())),OFFSET($BN$2,0,0,ROW()-1,60),ROW()-1,FALSE))</f>
        <v>52.845999999999997</v>
      </c>
      <c r="BJ14">
        <f ca="1">IF(AND(ISNUMBER($BJ$270),$B$258=1),$BJ$270,HLOOKUP(INDIRECT(ADDRESS(2,COLUMN())),OFFSET($BN$2,0,0,ROW()-1,60),ROW()-1,FALSE))</f>
        <v>54.534999999999997</v>
      </c>
      <c r="BK14">
        <f ca="1">IF(AND(ISNUMBER($BK$270),$B$258=1),$BK$270,HLOOKUP(INDIRECT(ADDRESS(2,COLUMN())),OFFSET($BN$2,0,0,ROW()-1,60),ROW()-1,FALSE))</f>
        <v>54.748001000000002</v>
      </c>
      <c r="BL14">
        <f ca="1">IF(AND(ISNUMBER($BL$270),$B$258=1),$BL$270,HLOOKUP(INDIRECT(ADDRESS(2,COLUMN())),OFFSET($BN$2,0,0,ROW()-1,60),ROW()-1,FALSE))</f>
        <v>42.417000000000002</v>
      </c>
      <c r="BM14">
        <f ca="1">IF(AND(ISNUMBER($BM$270),$B$258=1),$BM$270,HLOOKUP(INDIRECT(ADDRESS(2,COLUMN())),OFFSET($BN$2,0,0,ROW()-1,60),ROW()-1,FALSE))</f>
        <v>38.988999999999997</v>
      </c>
      <c r="BN14" t="str">
        <f>""</f>
        <v/>
      </c>
      <c r="BO14">
        <f>1089.915</f>
        <v>1089.915</v>
      </c>
      <c r="BP14">
        <f>1065.26</f>
        <v>1065.26</v>
      </c>
      <c r="BQ14">
        <f>1032.639</f>
        <v>1032.6389999999999</v>
      </c>
      <c r="BR14">
        <f>1037.478</f>
        <v>1037.4780000000001</v>
      </c>
      <c r="BS14">
        <f>1046.717</f>
        <v>1046.7170000000001</v>
      </c>
      <c r="BT14">
        <f>1051.169</f>
        <v>1051.1690000000001</v>
      </c>
      <c r="BU14">
        <f>1037.848</f>
        <v>1037.848</v>
      </c>
      <c r="BV14">
        <f>1017.812</f>
        <v>1017.812</v>
      </c>
      <c r="BW14">
        <f>998.159</f>
        <v>998.15899999999999</v>
      </c>
      <c r="BX14">
        <f>954.545</f>
        <v>954.54499999999996</v>
      </c>
      <c r="BY14">
        <f>932.179</f>
        <v>932.17899999999997</v>
      </c>
      <c r="BZ14">
        <f>872.097</f>
        <v>872.09699999999998</v>
      </c>
      <c r="CA14">
        <f>853.237</f>
        <v>853.23699999999997</v>
      </c>
      <c r="CB14">
        <f>836.56</f>
        <v>836.56</v>
      </c>
      <c r="CC14">
        <f>815.486</f>
        <v>815.48599999999999</v>
      </c>
      <c r="CD14">
        <f>792.72</f>
        <v>792.72</v>
      </c>
      <c r="CE14">
        <f>779.341</f>
        <v>779.34100000000001</v>
      </c>
      <c r="CF14">
        <f>774.639</f>
        <v>774.63900000000001</v>
      </c>
      <c r="CG14">
        <f>669.868</f>
        <v>669.86800000000005</v>
      </c>
      <c r="CH14">
        <f>619.967</f>
        <v>619.96699999999998</v>
      </c>
      <c r="CI14">
        <f>481.263</f>
        <v>481.26299999999998</v>
      </c>
      <c r="CJ14">
        <f>452.383</f>
        <v>452.38299999999998</v>
      </c>
      <c r="CK14">
        <f>429.358</f>
        <v>429.358</v>
      </c>
      <c r="CL14">
        <f>408.169</f>
        <v>408.16899999999998</v>
      </c>
      <c r="CM14">
        <f>374.611</f>
        <v>374.61099999999999</v>
      </c>
      <c r="CN14">
        <f>361.063</f>
        <v>361.06299999999999</v>
      </c>
      <c r="CO14">
        <f>351.395</f>
        <v>351.39499999999998</v>
      </c>
      <c r="CP14">
        <f>231.223</f>
        <v>231.22300000000001</v>
      </c>
      <c r="CQ14">
        <f>181.561</f>
        <v>181.56100000000001</v>
      </c>
      <c r="CR14">
        <f>157.733</f>
        <v>157.733</v>
      </c>
      <c r="CS14">
        <f>141.764</f>
        <v>141.76400000000001</v>
      </c>
      <c r="CT14">
        <f>135.333</f>
        <v>135.333</v>
      </c>
      <c r="CU14">
        <f>129.579</f>
        <v>129.57900000000001</v>
      </c>
      <c r="CV14">
        <f>128.527</f>
        <v>128.52699999999999</v>
      </c>
      <c r="CW14">
        <f>127.644</f>
        <v>127.64400000000001</v>
      </c>
      <c r="CX14">
        <f>127.409</f>
        <v>127.40900000000001</v>
      </c>
      <c r="CY14">
        <f>115.488</f>
        <v>115.488</v>
      </c>
      <c r="CZ14">
        <f>126.384</f>
        <v>126.384</v>
      </c>
      <c r="DA14">
        <f>118.125</f>
        <v>118.125</v>
      </c>
      <c r="DB14">
        <f>115.825</f>
        <v>115.825</v>
      </c>
      <c r="DC14">
        <f>111.036</f>
        <v>111.036</v>
      </c>
      <c r="DD14">
        <f>111.599</f>
        <v>111.599</v>
      </c>
      <c r="DE14">
        <f>105.023</f>
        <v>105.023</v>
      </c>
      <c r="DF14">
        <f>103.496</f>
        <v>103.496</v>
      </c>
      <c r="DG14">
        <f>81.261</f>
        <v>81.260999999999996</v>
      </c>
      <c r="DH14">
        <f>73.328</f>
        <v>73.328000000000003</v>
      </c>
      <c r="DI14">
        <f>71.757</f>
        <v>71.757000000000005</v>
      </c>
      <c r="DJ14">
        <f>71.38</f>
        <v>71.38</v>
      </c>
      <c r="DK14">
        <f>65.464</f>
        <v>65.463999999999999</v>
      </c>
      <c r="DL14">
        <f>64.516</f>
        <v>64.516000000000005</v>
      </c>
      <c r="DM14">
        <f>59.577</f>
        <v>59.576999999999998</v>
      </c>
      <c r="DN14">
        <f>58.793</f>
        <v>58.792999999999999</v>
      </c>
      <c r="DO14">
        <f>48.898</f>
        <v>48.898000000000003</v>
      </c>
      <c r="DP14">
        <f>57.476</f>
        <v>57.475999999999999</v>
      </c>
      <c r="DQ14">
        <f>52.846</f>
        <v>52.845999999999997</v>
      </c>
      <c r="DR14">
        <f>54.535</f>
        <v>54.534999999999997</v>
      </c>
      <c r="DS14">
        <f>54.748001</f>
        <v>54.748001000000002</v>
      </c>
      <c r="DT14">
        <f>42.417</f>
        <v>42.417000000000002</v>
      </c>
      <c r="DU14">
        <f>38.989</f>
        <v>38.988999999999997</v>
      </c>
    </row>
    <row r="15" spans="1:125">
      <c r="A15" t="str">
        <f>"其他租赁收入"</f>
        <v>其他租赁收入</v>
      </c>
      <c r="B15" t="str">
        <f>""</f>
        <v/>
      </c>
      <c r="E15" t="str">
        <f>"Median"</f>
        <v>Median</v>
      </c>
      <c r="F15" t="str">
        <f ca="1">IF(ISERROR(IF(MEDIAN($F$16:$F$26) = 0, "", MEDIAN($F$16:$F$26))), "", (IF(MEDIAN($F$16:$F$26) = 0, "", MEDIAN($F$16:$F$26))))</f>
        <v/>
      </c>
      <c r="G15">
        <f ca="1">IF(ISERROR(IF(MEDIAN($G$16:$G$26) = 0, "", MEDIAN($G$16:$G$26))), "", (IF(MEDIAN($G$16:$G$26) = 0, "", MEDIAN($G$16:$G$26))))</f>
        <v>314.65949999999998</v>
      </c>
      <c r="H15">
        <f ca="1">IF(ISERROR(IF(MEDIAN($H$16:$H$26) = 0, "", MEDIAN($H$16:$H$26))), "", (IF(MEDIAN($H$16:$H$26) = 0, "", MEDIAN($H$16:$H$26))))</f>
        <v>310.70499999999998</v>
      </c>
      <c r="I15">
        <f ca="1">IF(ISERROR(IF(MEDIAN($I$16:$I$26) = 0, "", MEDIAN($I$16:$I$26))), "", (IF(MEDIAN($I$16:$I$26) = 0, "", MEDIAN($I$16:$I$26))))</f>
        <v>307.37099999999998</v>
      </c>
      <c r="J15">
        <f ca="1">IF(ISERROR(IF(MEDIAN($J$16:$J$26) = 0, "", MEDIAN($J$16:$J$26))), "", (IF(MEDIAN($J$16:$J$26) = 0, "", MEDIAN($J$16:$J$26))))</f>
        <v>323.67750000000001</v>
      </c>
      <c r="K15">
        <f ca="1">IF(ISERROR(IF(MEDIAN($K$16:$K$26) = 0, "", MEDIAN($K$16:$K$26))), "", (IF(MEDIAN($K$16:$K$26) = 0, "", MEDIAN($K$16:$K$26))))</f>
        <v>337.59500000000003</v>
      </c>
      <c r="L15">
        <f ca="1">IF(ISERROR(IF(MEDIAN($L$16:$L$26) = 0, "", MEDIAN($L$16:$L$26))), "", (IF(MEDIAN($L$16:$L$26) = 0, "", MEDIAN($L$16:$L$26))))</f>
        <v>320.92849999999999</v>
      </c>
      <c r="M15">
        <f ca="1">IF(ISERROR(IF(MEDIAN($M$16:$M$26) = 0, "", MEDIAN($M$16:$M$26))), "", (IF(MEDIAN($M$16:$M$26) = 0, "", MEDIAN($M$16:$M$26))))</f>
        <v>316.82749999999999</v>
      </c>
      <c r="N15">
        <f ca="1">IF(ISERROR(IF(MEDIAN($N$16:$N$26) = 0, "", MEDIAN($N$16:$N$26))), "", (IF(MEDIAN($N$16:$N$26) = 0, "", MEDIAN($N$16:$N$26))))</f>
        <v>314.66449999999998</v>
      </c>
      <c r="O15">
        <f ca="1">IF(ISERROR(IF(MEDIAN($O$16:$O$26) = 0, "", MEDIAN($O$16:$O$26))), "", (IF(MEDIAN($O$16:$O$26) = 0, "", MEDIAN($O$16:$O$26))))</f>
        <v>311.75249999999994</v>
      </c>
      <c r="P15">
        <f ca="1">IF(ISERROR(IF(MEDIAN($P$16:$P$26) = 0, "", MEDIAN($P$16:$P$26))), "", (IF(MEDIAN($P$16:$P$26) = 0, "", MEDIAN($P$16:$P$26))))</f>
        <v>379.94200000000001</v>
      </c>
      <c r="Q15">
        <f ca="1">IF(ISERROR(IF(MEDIAN($Q$16:$Q$26) = 0, "", MEDIAN($Q$16:$Q$26))), "", (IF(MEDIAN($Q$16:$Q$26) = 0, "", MEDIAN($Q$16:$Q$26))))</f>
        <v>345.779</v>
      </c>
      <c r="R15">
        <f ca="1">IF(ISERROR(IF(MEDIAN($R$16:$R$26) = 0, "", MEDIAN($R$16:$R$26))), "", (IF(MEDIAN($R$16:$R$26) = 0, "", MEDIAN($R$16:$R$26))))</f>
        <v>345.39049999999997</v>
      </c>
      <c r="S15">
        <f ca="1">IF(ISERROR(IF(MEDIAN($S$16:$S$26) = 0, "", MEDIAN($S$16:$S$26))), "", (IF(MEDIAN($S$16:$S$26) = 0, "", MEDIAN($S$16:$S$26))))</f>
        <v>345.88499999999999</v>
      </c>
      <c r="T15">
        <f ca="1">IF(ISERROR(IF(MEDIAN($T$16:$T$26) = 0, "", MEDIAN($T$16:$T$26))), "", (IF(MEDIAN($T$16:$T$26) = 0, "", MEDIAN($T$16:$T$26))))</f>
        <v>343.53449999999998</v>
      </c>
      <c r="U15">
        <f ca="1">IF(ISERROR(IF(MEDIAN($U$16:$U$26) = 0, "", MEDIAN($U$16:$U$26))), "", (IF(MEDIAN($U$16:$U$26) = 0, "", MEDIAN($U$16:$U$26))))</f>
        <v>313.31100000000004</v>
      </c>
      <c r="V15">
        <f ca="1">IF(ISERROR(IF(MEDIAN($V$16:$V$26) = 0, "", MEDIAN($V$16:$V$26))), "", (IF(MEDIAN($V$16:$V$26) = 0, "", MEDIAN($V$16:$V$26))))</f>
        <v>308.99149999999997</v>
      </c>
      <c r="W15">
        <f ca="1">IF(ISERROR(IF(MEDIAN($W$16:$W$26) = 0, "", MEDIAN($W$16:$W$26))), "", (IF(MEDIAN($W$16:$W$26) = 0, "", MEDIAN($W$16:$W$26))))</f>
        <v>306.30900000000003</v>
      </c>
      <c r="X15">
        <f ca="1">IF(ISERROR(IF(MEDIAN($X$16:$X$26) = 0, "", MEDIAN($X$16:$X$26))), "", (IF(MEDIAN($X$16:$X$26) = 0, "", MEDIAN($X$16:$X$26))))</f>
        <v>296.87349999999998</v>
      </c>
      <c r="Y15">
        <f ca="1">IF(ISERROR(IF(MEDIAN($Y$16:$Y$26) = 0, "", MEDIAN($Y$16:$Y$26))), "", (IF(MEDIAN($Y$16:$Y$26) = 0, "", MEDIAN($Y$16:$Y$26))))</f>
        <v>293.471</v>
      </c>
      <c r="Z15">
        <f ca="1">IF(ISERROR(IF(MEDIAN($Z$16:$Z$26) = 0, "", MEDIAN($Z$16:$Z$26))), "", (IF(MEDIAN($Z$16:$Z$26) = 0, "", MEDIAN($Z$16:$Z$26))))</f>
        <v>292.84049999999996</v>
      </c>
      <c r="AA15">
        <f ca="1">IF(ISERROR(IF(MEDIAN($AA$16:$AA$26) = 0, "", MEDIAN($AA$16:$AA$26))), "", (IF(MEDIAN($AA$16:$AA$26) = 0, "", MEDIAN($AA$16:$AA$26))))</f>
        <v>288.666</v>
      </c>
      <c r="AB15">
        <f ca="1">IF(ISERROR(IF(MEDIAN($AB$16:$AB$26) = 0, "", MEDIAN($AB$16:$AB$26))), "", (IF(MEDIAN($AB$16:$AB$26) = 0, "", MEDIAN($AB$16:$AB$26))))</f>
        <v>270.05950000000001</v>
      </c>
      <c r="AC15">
        <f ca="1">IF(ISERROR(IF(MEDIAN($AC$16:$AC$26) = 0, "", MEDIAN($AC$16:$AC$26))), "", (IF(MEDIAN($AC$16:$AC$26) = 0, "", MEDIAN($AC$16:$AC$26))))</f>
        <v>269.73849999999999</v>
      </c>
      <c r="AD15">
        <f ca="1">IF(ISERROR(IF(MEDIAN($AD$16:$AD$26) = 0, "", MEDIAN($AD$16:$AD$26))), "", (IF(MEDIAN($AD$16:$AD$26) = 0, "", MEDIAN($AD$16:$AD$26))))</f>
        <v>266.53300000000002</v>
      </c>
      <c r="AE15">
        <f ca="1">IF(ISERROR(IF(MEDIAN($AE$16:$AE$26) = 0, "", MEDIAN($AE$16:$AE$26))), "", (IF(MEDIAN($AE$16:$AE$26) = 0, "", MEDIAN($AE$16:$AE$26))))</f>
        <v>269.64400000000001</v>
      </c>
      <c r="AF15">
        <f ca="1">IF(ISERROR(IF(MEDIAN($AF$16:$AF$26) = 0, "", MEDIAN($AF$16:$AF$26))), "", (IF(MEDIAN($AF$16:$AF$26) = 0, "", MEDIAN($AF$16:$AF$26))))</f>
        <v>259.31599999999997</v>
      </c>
      <c r="AG15">
        <f ca="1">IF(ISERROR(IF(MEDIAN($AG$16:$AG$26) = 0, "", MEDIAN($AG$16:$AG$26))), "", (IF(MEDIAN($AG$16:$AG$26) = 0, "", MEDIAN($AG$16:$AG$26))))</f>
        <v>256.95100000000002</v>
      </c>
      <c r="AH15">
        <f ca="1">IF(ISERROR(IF(MEDIAN($AH$16:$AH$26) = 0, "", MEDIAN($AH$16:$AH$26))), "", (IF(MEDIAN($AH$16:$AH$26) = 0, "", MEDIAN($AH$16:$AH$26))))</f>
        <v>187.61700000000002</v>
      </c>
      <c r="AI15">
        <f ca="1">IF(ISERROR(IF(MEDIAN($AI$16:$AI$26) = 0, "", MEDIAN($AI$16:$AI$26))), "", (IF(MEDIAN($AI$16:$AI$26) = 0, "", MEDIAN($AI$16:$AI$26))))</f>
        <v>182.78550000000001</v>
      </c>
      <c r="AJ15">
        <f ca="1">IF(ISERROR(IF(MEDIAN($AJ$16:$AJ$26) = 0, "", MEDIAN($AJ$16:$AJ$26))), "", (IF(MEDIAN($AJ$16:$AJ$26) = 0, "", MEDIAN($AJ$16:$AJ$26))))</f>
        <v>172.77550000000002</v>
      </c>
      <c r="AK15">
        <f ca="1">IF(ISERROR(IF(MEDIAN($AK$16:$AK$26) = 0, "", MEDIAN($AK$16:$AK$26))), "", (IF(MEDIAN($AK$16:$AK$26) = 0, "", MEDIAN($AK$16:$AK$26))))</f>
        <v>165.9375</v>
      </c>
      <c r="AL15">
        <f ca="1">IF(ISERROR(IF(MEDIAN($AL$16:$AL$26) = 0, "", MEDIAN($AL$16:$AL$26))), "", (IF(MEDIAN($AL$16:$AL$26) = 0, "", MEDIAN($AL$16:$AL$26))))</f>
        <v>162.67099999999999</v>
      </c>
      <c r="AM15">
        <f ca="1">IF(ISERROR(IF(MEDIAN($AM$16:$AM$26) = 0, "", MEDIAN($AM$16:$AM$26))), "", (IF(MEDIAN($AM$16:$AM$26) = 0, "", MEDIAN($AM$16:$AM$26))))</f>
        <v>161.57</v>
      </c>
      <c r="AN15">
        <f ca="1">IF(ISERROR(IF(MEDIAN($AN$16:$AN$26) = 0, "", MEDIAN($AN$16:$AN$26))), "", (IF(MEDIAN($AN$16:$AN$26) = 0, "", MEDIAN($AN$16:$AN$26))))</f>
        <v>158.88049999999998</v>
      </c>
      <c r="AO15">
        <f ca="1">IF(ISERROR(IF(MEDIAN($AO$16:$AO$26) = 0, "", MEDIAN($AO$16:$AO$26))), "", (IF(MEDIAN($AO$16:$AO$26) = 0, "", MEDIAN($AO$16:$AO$26))))</f>
        <v>165.24349999999998</v>
      </c>
      <c r="AP15">
        <f ca="1">IF(ISERROR(IF(MEDIAN($AP$16:$AP$26) = 0, "", MEDIAN($AP$16:$AP$26))), "", (IF(MEDIAN($AP$16:$AP$26) = 0, "", MEDIAN($AP$16:$AP$26))))</f>
        <v>164.58100000000002</v>
      </c>
      <c r="AQ15" t="str">
        <f ca="1">IF(ISERROR(IF(MEDIAN($AQ$16:$AQ$26) = 0, "", MEDIAN($AQ$16:$AQ$26))), "", (IF(MEDIAN($AQ$16:$AQ$26) = 0, "", MEDIAN($AQ$16:$AQ$26))))</f>
        <v/>
      </c>
      <c r="AR15" t="str">
        <f ca="1">IF(ISERROR(IF(MEDIAN($AR$16:$AR$26) = 0, "", MEDIAN($AR$16:$AR$26))), "", (IF(MEDIAN($AR$16:$AR$26) = 0, "", MEDIAN($AR$16:$AR$26))))</f>
        <v/>
      </c>
      <c r="AS15" t="str">
        <f ca="1">IF(ISERROR(IF(MEDIAN($AS$16:$AS$26) = 0, "", MEDIAN($AS$16:$AS$26))), "", (IF(MEDIAN($AS$16:$AS$26) = 0, "", MEDIAN($AS$16:$AS$26))))</f>
        <v/>
      </c>
      <c r="AT15" t="str">
        <f ca="1">IF(ISERROR(IF(MEDIAN($AT$16:$AT$26) = 0, "", MEDIAN($AT$16:$AT$26))), "", (IF(MEDIAN($AT$16:$AT$26) = 0, "", MEDIAN($AT$16:$AT$26))))</f>
        <v/>
      </c>
      <c r="AU15" t="str">
        <f ca="1">IF(ISERROR(IF(MEDIAN($AU$16:$AU$26) = 0, "", MEDIAN($AU$16:$AU$26))), "", (IF(MEDIAN($AU$16:$AU$26) = 0, "", MEDIAN($AU$16:$AU$26))))</f>
        <v/>
      </c>
      <c r="AV15" t="str">
        <f ca="1">IF(ISERROR(IF(MEDIAN($AV$16:$AV$26) = 0, "", MEDIAN($AV$16:$AV$26))), "", (IF(MEDIAN($AV$16:$AV$26) = 0, "", MEDIAN($AV$16:$AV$26))))</f>
        <v/>
      </c>
      <c r="AW15" t="str">
        <f ca="1">IF(ISERROR(IF(MEDIAN($AW$16:$AW$26) = 0, "", MEDIAN($AW$16:$AW$26))), "", (IF(MEDIAN($AW$16:$AW$26) = 0, "", MEDIAN($AW$16:$AW$26))))</f>
        <v/>
      </c>
      <c r="AX15" t="str">
        <f ca="1">IF(ISERROR(IF(MEDIAN($AX$16:$AX$26) = 0, "", MEDIAN($AX$16:$AX$26))), "", (IF(MEDIAN($AX$16:$AX$26) = 0, "", MEDIAN($AX$16:$AX$26))))</f>
        <v/>
      </c>
      <c r="AY15" t="str">
        <f ca="1">IF(ISERROR(IF(MEDIAN($AY$16:$AY$26) = 0, "", MEDIAN($AY$16:$AY$26))), "", (IF(MEDIAN($AY$16:$AY$26) = 0, "", MEDIAN($AY$16:$AY$26))))</f>
        <v/>
      </c>
      <c r="AZ15" t="str">
        <f ca="1">IF(ISERROR(IF(MEDIAN($AZ$16:$AZ$26) = 0, "", MEDIAN($AZ$16:$AZ$26))), "", (IF(MEDIAN($AZ$16:$AZ$26) = 0, "", MEDIAN($AZ$16:$AZ$26))))</f>
        <v/>
      </c>
      <c r="BA15" t="str">
        <f ca="1">IF(ISERROR(IF(MEDIAN($BA$16:$BA$26) = 0, "", MEDIAN($BA$16:$BA$26))), "", (IF(MEDIAN($BA$16:$BA$26) = 0, "", MEDIAN($BA$16:$BA$26))))</f>
        <v/>
      </c>
      <c r="BB15" t="str">
        <f ca="1">IF(ISERROR(IF(MEDIAN($BB$16:$BB$26) = 0, "", MEDIAN($BB$16:$BB$26))), "", (IF(MEDIAN($BB$16:$BB$26) = 0, "", MEDIAN($BB$16:$BB$26))))</f>
        <v/>
      </c>
      <c r="BC15" t="str">
        <f ca="1">IF(ISERROR(IF(MEDIAN($BC$16:$BC$26) = 0, "", MEDIAN($BC$16:$BC$26))), "", (IF(MEDIAN($BC$16:$BC$26) = 0, "", MEDIAN($BC$16:$BC$26))))</f>
        <v/>
      </c>
      <c r="BD15" t="str">
        <f ca="1">IF(ISERROR(IF(MEDIAN($BD$16:$BD$26) = 0, "", MEDIAN($BD$16:$BD$26))), "", (IF(MEDIAN($BD$16:$BD$26) = 0, "", MEDIAN($BD$16:$BD$26))))</f>
        <v/>
      </c>
      <c r="BE15" t="str">
        <f ca="1">IF(ISERROR(IF(MEDIAN($BE$16:$BE$26) = 0, "", MEDIAN($BE$16:$BE$26))), "", (IF(MEDIAN($BE$16:$BE$26) = 0, "", MEDIAN($BE$16:$BE$26))))</f>
        <v/>
      </c>
      <c r="BF15" t="str">
        <f ca="1">IF(ISERROR(IF(MEDIAN($BF$16:$BF$26) = 0, "", MEDIAN($BF$16:$BF$26))), "", (IF(MEDIAN($BF$16:$BF$26) = 0, "", MEDIAN($BF$16:$BF$26))))</f>
        <v/>
      </c>
      <c r="BG15" t="str">
        <f ca="1">IF(ISERROR(IF(MEDIAN($BG$16:$BG$26) = 0, "", MEDIAN($BG$16:$BG$26))), "", (IF(MEDIAN($BG$16:$BG$26) = 0, "", MEDIAN($BG$16:$BG$26))))</f>
        <v/>
      </c>
      <c r="BH15" t="str">
        <f ca="1">IF(ISERROR(IF(MEDIAN($BH$16:$BH$26) = 0, "", MEDIAN($BH$16:$BH$26))), "", (IF(MEDIAN($BH$16:$BH$26) = 0, "", MEDIAN($BH$16:$BH$26))))</f>
        <v/>
      </c>
      <c r="BI15" t="str">
        <f ca="1">IF(ISERROR(IF(MEDIAN($BI$16:$BI$26) = 0, "", MEDIAN($BI$16:$BI$26))), "", (IF(MEDIAN($BI$16:$BI$26) = 0, "", MEDIAN($BI$16:$BI$26))))</f>
        <v/>
      </c>
      <c r="BJ15" t="str">
        <f ca="1">IF(ISERROR(IF(MEDIAN($BJ$16:$BJ$26) = 0, "", MEDIAN($BJ$16:$BJ$26))), "", (IF(MEDIAN($BJ$16:$BJ$26) = 0, "", MEDIAN($BJ$16:$BJ$26))))</f>
        <v/>
      </c>
      <c r="BK15" t="str">
        <f ca="1">IF(ISERROR(IF(MEDIAN($BK$16:$BK$26) = 0, "", MEDIAN($BK$16:$BK$26))), "", (IF(MEDIAN($BK$16:$BK$26) = 0, "", MEDIAN($BK$16:$BK$26))))</f>
        <v/>
      </c>
      <c r="BL15" t="str">
        <f ca="1">IF(ISERROR(IF(MEDIAN($BL$16:$BL$26) = 0, "", MEDIAN($BL$16:$BL$26))), "", (IF(MEDIAN($BL$16:$BL$26) = 0, "", MEDIAN($BL$16:$BL$26))))</f>
        <v/>
      </c>
      <c r="BM15" t="str">
        <f ca="1">IF(ISERROR(IF(MEDIAN($BM$16:$BM$26) = 0, "", MEDIAN($BM$16:$BM$26))), "", (IF(MEDIAN($BM$16:$BM$26) = 0, "", MEDIAN($BM$16:$BM$26))))</f>
        <v/>
      </c>
      <c r="BN15" t="str">
        <f>""</f>
        <v/>
      </c>
      <c r="BO15">
        <f>314.6595</f>
        <v>314.65949999999998</v>
      </c>
      <c r="BP15">
        <f>310.705</f>
        <v>310.70499999999998</v>
      </c>
      <c r="BQ15">
        <f>307.371</f>
        <v>307.37099999999998</v>
      </c>
      <c r="BR15">
        <f>323.6775</f>
        <v>323.67750000000001</v>
      </c>
      <c r="BS15">
        <f>337.595</f>
        <v>337.59500000000003</v>
      </c>
      <c r="BT15">
        <f>320.9285</f>
        <v>320.92849999999999</v>
      </c>
      <c r="BU15">
        <f>316.8275</f>
        <v>316.82749999999999</v>
      </c>
      <c r="BV15">
        <f>314.6645</f>
        <v>314.66449999999998</v>
      </c>
      <c r="BW15">
        <f>311.7525</f>
        <v>311.7525</v>
      </c>
      <c r="BX15">
        <f>379.942</f>
        <v>379.94200000000001</v>
      </c>
      <c r="BY15">
        <f>345.779</f>
        <v>345.779</v>
      </c>
      <c r="BZ15">
        <f>345.3905</f>
        <v>345.39049999999997</v>
      </c>
      <c r="CA15">
        <f>345.885</f>
        <v>345.88499999999999</v>
      </c>
      <c r="CB15">
        <f>343.5345</f>
        <v>343.53449999999998</v>
      </c>
      <c r="CC15">
        <f>313.311</f>
        <v>313.31099999999998</v>
      </c>
      <c r="CD15">
        <f>308.9915</f>
        <v>308.99149999999997</v>
      </c>
      <c r="CE15">
        <f>306.309</f>
        <v>306.30900000000003</v>
      </c>
      <c r="CF15">
        <f>296.8735</f>
        <v>296.87349999999998</v>
      </c>
      <c r="CG15">
        <f>293.471</f>
        <v>293.471</v>
      </c>
      <c r="CH15">
        <f>292.8405</f>
        <v>292.84050000000002</v>
      </c>
      <c r="CI15">
        <f>288.666</f>
        <v>288.666</v>
      </c>
      <c r="CJ15">
        <f>270.0595</f>
        <v>270.05950000000001</v>
      </c>
      <c r="CK15">
        <f>269.7385</f>
        <v>269.73849999999999</v>
      </c>
      <c r="CL15">
        <f>266.533</f>
        <v>266.53300000000002</v>
      </c>
      <c r="CM15">
        <f>269.644</f>
        <v>269.64400000000001</v>
      </c>
      <c r="CN15">
        <f>259.316</f>
        <v>259.31599999999997</v>
      </c>
      <c r="CO15">
        <f>256.951</f>
        <v>256.95100000000002</v>
      </c>
      <c r="CP15">
        <f>187.617</f>
        <v>187.61699999999999</v>
      </c>
      <c r="CQ15">
        <f>182.7855</f>
        <v>182.78550000000001</v>
      </c>
      <c r="CR15">
        <f>172.7755</f>
        <v>172.77549999999999</v>
      </c>
      <c r="CS15">
        <f>165.9375</f>
        <v>165.9375</v>
      </c>
      <c r="CT15">
        <f>162.671</f>
        <v>162.67099999999999</v>
      </c>
      <c r="CU15">
        <f>161.57</f>
        <v>161.57</v>
      </c>
      <c r="CV15">
        <f>158.8805</f>
        <v>158.88050000000001</v>
      </c>
      <c r="CW15">
        <f>165.2435</f>
        <v>165.24350000000001</v>
      </c>
      <c r="CX15">
        <f>164.581</f>
        <v>164.58099999999999</v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>
      <c r="A16" t="str">
        <f>"    Alexandria Real Estate Equitie"</f>
        <v xml:space="preserve">    Alexandria Real Estate Equitie</v>
      </c>
      <c r="B16" t="str">
        <f>"ARE US Equity"</f>
        <v>ARE US Equity</v>
      </c>
      <c r="C16" t="str">
        <f t="shared" ref="C16:C26" si="3">"IM275"</f>
        <v>IM275</v>
      </c>
      <c r="D16" t="str">
        <f t="shared" ref="D16:D26" si="4">"IS_OTHER_RENTAL_INCOME"</f>
        <v>IS_OTHER_RENTAL_INCOME</v>
      </c>
      <c r="E16" t="str">
        <f t="shared" ref="E16:E26" si="5">"动态"</f>
        <v>动态</v>
      </c>
      <c r="F16" t="str">
        <f ca="1">IF(AND(ISNUMBER($F$271),$B$258=1),$F$271,HLOOKUP(INDIRECT(ADDRESS(2,COLUMN())),OFFSET($BN$2,0,0,ROW()-1,60),ROW()-1,FALSE))</f>
        <v/>
      </c>
      <c r="G16">
        <f ca="1">IF(AND(ISNUMBER($G$271),$B$258=1),$G$271,HLOOKUP(INDIRECT(ADDRESS(2,COLUMN())),OFFSET($BN$2,0,0,ROW()-1,60),ROW()-1,FALSE))</f>
        <v>228.02500000000001</v>
      </c>
      <c r="H16">
        <f ca="1">IF(AND(ISNUMBER($H$271),$B$258=1),$H$271,HLOOKUP(INDIRECT(ADDRESS(2,COLUMN())),OFFSET($BN$2,0,0,ROW()-1,60),ROW()-1,FALSE))</f>
        <v>216.02099999999999</v>
      </c>
      <c r="I16">
        <f ca="1">IF(AND(ISNUMBER($I$271),$B$258=1),$I$271,HLOOKUP(INDIRECT(ADDRESS(2,COLUMN())),OFFSET($BN$2,0,0,ROW()-1,60),ROW()-1,FALSE))</f>
        <v>211.94200000000001</v>
      </c>
      <c r="J16">
        <f ca="1">IF(AND(ISNUMBER($J$271),$B$258=1),$J$271,HLOOKUP(INDIRECT(ADDRESS(2,COLUMN())),OFFSET($BN$2,0,0,ROW()-1,60),ROW()-1,FALSE))</f>
        <v>207.19300000000001</v>
      </c>
      <c r="K16">
        <f ca="1">IF(AND(ISNUMBER($K$271),$B$258=1),$K$271,HLOOKUP(INDIRECT(ADDRESS(2,COLUMN())),OFFSET($BN$2,0,0,ROW()-1,60),ROW()-1,FALSE))</f>
        <v>187.315</v>
      </c>
      <c r="L16">
        <f ca="1">IF(AND(ISNUMBER($L$271),$B$258=1),$L$271,HLOOKUP(INDIRECT(ADDRESS(2,COLUMN())),OFFSET($BN$2,0,0,ROW()-1,60),ROW()-1,FALSE))</f>
        <v>166.59100000000001</v>
      </c>
      <c r="M16">
        <f ca="1">IF(AND(ISNUMBER($M$271),$B$258=1),$M$271,HLOOKUP(INDIRECT(ADDRESS(2,COLUMN())),OFFSET($BN$2,0,0,ROW()-1,60),ROW()-1,FALSE))</f>
        <v>161.63800000000001</v>
      </c>
      <c r="N16">
        <f ca="1">IF(AND(ISNUMBER($N$271),$B$258=1),$N$271,HLOOKUP(INDIRECT(ADDRESS(2,COLUMN())),OFFSET($BN$2,0,0,ROW()-1,60),ROW()-1,FALSE))</f>
        <v>158.27600000000001</v>
      </c>
      <c r="O16">
        <f ca="1">IF(AND(ISNUMBER($O$271),$B$258=1),$O$271,HLOOKUP(INDIRECT(ADDRESS(2,COLUMN())),OFFSET($BN$2,0,0,ROW()-1,60),ROW()-1,FALSE))</f>
        <v>158.1</v>
      </c>
      <c r="P16">
        <f ca="1">IF(AND(ISNUMBER($P$271),$B$258=1),$P$271,HLOOKUP(INDIRECT(ADDRESS(2,COLUMN())),OFFSET($BN$2,0,0,ROW()-1,60),ROW()-1,FALSE))</f>
        <v>155.31100000000001</v>
      </c>
      <c r="Q16">
        <f ca="1">IF(AND(ISNUMBER($Q$271),$B$258=1),$Q$271,HLOOKUP(INDIRECT(ADDRESS(2,COLUMN())),OFFSET($BN$2,0,0,ROW()-1,60),ROW()-1,FALSE))</f>
        <v>151.80500000000001</v>
      </c>
      <c r="R16">
        <f ca="1">IF(AND(ISNUMBER($R$271),$B$258=1),$R$271,HLOOKUP(INDIRECT(ADDRESS(2,COLUMN())),OFFSET($BN$2,0,0,ROW()-1,60),ROW()-1,FALSE))</f>
        <v>143.608</v>
      </c>
      <c r="S16">
        <f ca="1">IF(AND(ISNUMBER($S$271),$B$258=1),$S$271,HLOOKUP(INDIRECT(ADDRESS(2,COLUMN())),OFFSET($BN$2,0,0,ROW()-1,60),ROW()-1,FALSE))</f>
        <v>140.87299999999999</v>
      </c>
      <c r="T16">
        <f ca="1">IF(AND(ISNUMBER($T$271),$B$258=1),$T$271,HLOOKUP(INDIRECT(ADDRESS(2,COLUMN())),OFFSET($BN$2,0,0,ROW()-1,60),ROW()-1,FALSE))</f>
        <v>137.71799999999999</v>
      </c>
      <c r="U16">
        <f ca="1">IF(AND(ISNUMBER($U$271),$B$258=1),$U$271,HLOOKUP(INDIRECT(ADDRESS(2,COLUMN())),OFFSET($BN$2,0,0,ROW()-1,60),ROW()-1,FALSE))</f>
        <v>134.99199999999999</v>
      </c>
      <c r="V16">
        <f ca="1">IF(AND(ISNUMBER($V$271),$B$258=1),$V$271,HLOOKUP(INDIRECT(ADDRESS(2,COLUMN())),OFFSET($BN$2,0,0,ROW()-1,60),ROW()-1,FALSE))</f>
        <v>130.57</v>
      </c>
      <c r="W16">
        <f ca="1">IF(AND(ISNUMBER($W$271),$B$258=1),$W$271,HLOOKUP(INDIRECT(ADDRESS(2,COLUMN())),OFFSET($BN$2,0,0,ROW()-1,60),ROW()-1,FALSE))</f>
        <v>125.693</v>
      </c>
      <c r="X16">
        <f ca="1">IF(AND(ISNUMBER($X$271),$B$258=1),$X$271,HLOOKUP(INDIRECT(ADDRESS(2,COLUMN())),OFFSET($BN$2,0,0,ROW()-1,60),ROW()-1,FALSE))</f>
        <v>116.05200000000001</v>
      </c>
      <c r="Y16">
        <f ca="1">IF(AND(ISNUMBER($Y$271),$B$258=1),$Y$271,HLOOKUP(INDIRECT(ADDRESS(2,COLUMN())),OFFSET($BN$2,0,0,ROW()-1,60),ROW()-1,FALSE))</f>
        <v>114.49299999999999</v>
      </c>
      <c r="Z16">
        <f ca="1">IF(AND(ISNUMBER($Z$271),$B$258=1),$Z$271,HLOOKUP(INDIRECT(ADDRESS(2,COLUMN())),OFFSET($BN$2,0,0,ROW()-1,60),ROW()-1,FALSE))</f>
        <v>111.526</v>
      </c>
      <c r="AA16">
        <f ca="1">IF(AND(ISNUMBER($AA$271),$B$258=1),$AA$271,HLOOKUP(INDIRECT(ADDRESS(2,COLUMN())),OFFSET($BN$2,0,0,ROW()-1,60),ROW()-1,FALSE))</f>
        <v>111.798</v>
      </c>
      <c r="AB16">
        <f ca="1">IF(AND(ISNUMBER($AB$271),$B$258=1),$AB$271,HLOOKUP(INDIRECT(ADDRESS(2,COLUMN())),OFFSET($BN$2,0,0,ROW()-1,60),ROW()-1,FALSE))</f>
        <v>106.21599999999999</v>
      </c>
      <c r="AC16">
        <f ca="1">IF(AND(ISNUMBER($AC$271),$B$258=1),$AC$271,HLOOKUP(INDIRECT(ADDRESS(2,COLUMN())),OFFSET($BN$2,0,0,ROW()-1,60),ROW()-1,FALSE))</f>
        <v>104.32899999999999</v>
      </c>
      <c r="AD16">
        <f ca="1">IF(AND(ISNUMBER($AD$271),$B$258=1),$AD$271,HLOOKUP(INDIRECT(ADDRESS(2,COLUMN())),OFFSET($BN$2,0,0,ROW()-1,60),ROW()-1,FALSE))</f>
        <v>101.20099999999999</v>
      </c>
      <c r="AE16">
        <f ca="1">IF(AND(ISNUMBER($AE$271),$B$258=1),$AE$271,HLOOKUP(INDIRECT(ADDRESS(2,COLUMN())),OFFSET($BN$2,0,0,ROW()-1,60),ROW()-1,FALSE))</f>
        <v>104.634</v>
      </c>
      <c r="AF16">
        <f ca="1">IF(AND(ISNUMBER($AF$271),$B$258=1),$AF$271,HLOOKUP(INDIRECT(ADDRESS(2,COLUMN())),OFFSET($BN$2,0,0,ROW()-1,60),ROW()-1,FALSE))</f>
        <v>102.35299999999999</v>
      </c>
      <c r="AG16">
        <f ca="1">IF(AND(ISNUMBER($AG$271),$B$258=1),$AG$271,HLOOKUP(INDIRECT(ADDRESS(2,COLUMN())),OFFSET($BN$2,0,0,ROW()-1,60),ROW()-1,FALSE))</f>
        <v>109.248</v>
      </c>
      <c r="AH16">
        <f ca="1">IF(AND(ISNUMBER($AH$271),$B$258=1),$AH$271,HLOOKUP(INDIRECT(ADDRESS(2,COLUMN())),OFFSET($BN$2,0,0,ROW()-1,60),ROW()-1,FALSE))</f>
        <v>106.253</v>
      </c>
      <c r="AI16">
        <f ca="1">IF(AND(ISNUMBER($AI$271),$B$258=1),$AI$271,HLOOKUP(INDIRECT(ADDRESS(2,COLUMN())),OFFSET($BN$2,0,0,ROW()-1,60),ROW()-1,FALSE))</f>
        <v>99.531000000000006</v>
      </c>
      <c r="AJ16">
        <f ca="1">IF(AND(ISNUMBER($AJ$271),$B$258=1),$AJ$271,HLOOKUP(INDIRECT(ADDRESS(2,COLUMN())),OFFSET($BN$2,0,0,ROW()-1,60),ROW()-1,FALSE))</f>
        <v>89.566999999999993</v>
      </c>
      <c r="AK16">
        <f ca="1">IF(AND(ISNUMBER($AK$271),$B$258=1),$AK$271,HLOOKUP(INDIRECT(ADDRESS(2,COLUMN())),OFFSET($BN$2,0,0,ROW()-1,60),ROW()-1,FALSE))</f>
        <v>89.512</v>
      </c>
      <c r="AL16">
        <f ca="1">IF(AND(ISNUMBER($AL$271),$B$258=1),$AL$271,HLOOKUP(INDIRECT(ADDRESS(2,COLUMN())),OFFSET($BN$2,0,0,ROW()-1,60),ROW()-1,FALSE))</f>
        <v>88.856999999999999</v>
      </c>
      <c r="AM16">
        <f ca="1">IF(AND(ISNUMBER($AM$271),$B$258=1),$AM$271,HLOOKUP(INDIRECT(ADDRESS(2,COLUMN())),OFFSET($BN$2,0,0,ROW()-1,60),ROW()-1,FALSE))</f>
        <v>88.629000000000005</v>
      </c>
      <c r="AN16">
        <f ca="1">IF(AND(ISNUMBER($AN$271),$B$258=1),$AN$271,HLOOKUP(INDIRECT(ADDRESS(2,COLUMN())),OFFSET($BN$2,0,0,ROW()-1,60),ROW()-1,FALSE))</f>
        <v>88.418999999999997</v>
      </c>
      <c r="AO16">
        <f ca="1">IF(AND(ISNUMBER($AO$271),$B$258=1),$AO$271,HLOOKUP(INDIRECT(ADDRESS(2,COLUMN())),OFFSET($BN$2,0,0,ROW()-1,60),ROW()-1,FALSE))</f>
        <v>87.460999999999999</v>
      </c>
      <c r="AP16">
        <f ca="1">IF(AND(ISNUMBER($AP$271),$B$258=1),$AP$271,HLOOKUP(INDIRECT(ADDRESS(2,COLUMN())),OFFSET($BN$2,0,0,ROW()-1,60),ROW()-1,FALSE))</f>
        <v>104.011</v>
      </c>
      <c r="AQ16" t="str">
        <f ca="1">IF(AND(ISNUMBER($AQ$271),$B$258=1),$AQ$271,HLOOKUP(INDIRECT(ADDRESS(2,COLUMN())),OFFSET($BN$2,0,0,ROW()-1,60),ROW()-1,FALSE))</f>
        <v/>
      </c>
      <c r="AR16" t="str">
        <f ca="1">IF(AND(ISNUMBER($AR$271),$B$258=1),$AR$271,HLOOKUP(INDIRECT(ADDRESS(2,COLUMN())),OFFSET($BN$2,0,0,ROW()-1,60),ROW()-1,FALSE))</f>
        <v/>
      </c>
      <c r="AS16" t="str">
        <f ca="1">IF(AND(ISNUMBER($AS$271),$B$258=1),$AS$271,HLOOKUP(INDIRECT(ADDRESS(2,COLUMN())),OFFSET($BN$2,0,0,ROW()-1,60),ROW()-1,FALSE))</f>
        <v/>
      </c>
      <c r="AT16" t="str">
        <f ca="1">IF(AND(ISNUMBER($AT$271),$B$258=1),$AT$271,HLOOKUP(INDIRECT(ADDRESS(2,COLUMN())),OFFSET($BN$2,0,0,ROW()-1,60),ROW()-1,FALSE))</f>
        <v/>
      </c>
      <c r="AU16" t="str">
        <f ca="1">IF(AND(ISNUMBER($AU$271),$B$258=1),$AU$271,HLOOKUP(INDIRECT(ADDRESS(2,COLUMN())),OFFSET($BN$2,0,0,ROW()-1,60),ROW()-1,FALSE))</f>
        <v/>
      </c>
      <c r="AV16" t="str">
        <f ca="1">IF(AND(ISNUMBER($AV$271),$B$258=1),$AV$271,HLOOKUP(INDIRECT(ADDRESS(2,COLUMN())),OFFSET($BN$2,0,0,ROW()-1,60),ROW()-1,FALSE))</f>
        <v/>
      </c>
      <c r="AW16" t="str">
        <f ca="1">IF(AND(ISNUMBER($AW$271),$B$258=1),$AW$271,HLOOKUP(INDIRECT(ADDRESS(2,COLUMN())),OFFSET($BN$2,0,0,ROW()-1,60),ROW()-1,FALSE))</f>
        <v/>
      </c>
      <c r="AX16" t="str">
        <f ca="1">IF(AND(ISNUMBER($AX$271),$B$258=1),$AX$271,HLOOKUP(INDIRECT(ADDRESS(2,COLUMN())),OFFSET($BN$2,0,0,ROW()-1,60),ROW()-1,FALSE))</f>
        <v/>
      </c>
      <c r="AY16" t="str">
        <f ca="1">IF(AND(ISNUMBER($AY$271),$B$258=1),$AY$271,HLOOKUP(INDIRECT(ADDRESS(2,COLUMN())),OFFSET($BN$2,0,0,ROW()-1,60),ROW()-1,FALSE))</f>
        <v/>
      </c>
      <c r="AZ16" t="str">
        <f ca="1">IF(AND(ISNUMBER($AZ$271),$B$258=1),$AZ$271,HLOOKUP(INDIRECT(ADDRESS(2,COLUMN())),OFFSET($BN$2,0,0,ROW()-1,60),ROW()-1,FALSE))</f>
        <v/>
      </c>
      <c r="BA16" t="str">
        <f ca="1">IF(AND(ISNUMBER($BA$271),$B$258=1),$BA$271,HLOOKUP(INDIRECT(ADDRESS(2,COLUMN())),OFFSET($BN$2,0,0,ROW()-1,60),ROW()-1,FALSE))</f>
        <v/>
      </c>
      <c r="BB16" t="str">
        <f ca="1">IF(AND(ISNUMBER($BB$271),$B$258=1),$BB$271,HLOOKUP(INDIRECT(ADDRESS(2,COLUMN())),OFFSET($BN$2,0,0,ROW()-1,60),ROW()-1,FALSE))</f>
        <v/>
      </c>
      <c r="BC16" t="str">
        <f ca="1">IF(AND(ISNUMBER($BC$271),$B$258=1),$BC$271,HLOOKUP(INDIRECT(ADDRESS(2,COLUMN())),OFFSET($BN$2,0,0,ROW()-1,60),ROW()-1,FALSE))</f>
        <v/>
      </c>
      <c r="BD16" t="str">
        <f ca="1">IF(AND(ISNUMBER($BD$271),$B$258=1),$BD$271,HLOOKUP(INDIRECT(ADDRESS(2,COLUMN())),OFFSET($BN$2,0,0,ROW()-1,60),ROW()-1,FALSE))</f>
        <v/>
      </c>
      <c r="BE16" t="str">
        <f ca="1">IF(AND(ISNUMBER($BE$271),$B$258=1),$BE$271,HLOOKUP(INDIRECT(ADDRESS(2,COLUMN())),OFFSET($BN$2,0,0,ROW()-1,60),ROW()-1,FALSE))</f>
        <v/>
      </c>
      <c r="BF16" t="str">
        <f ca="1">IF(AND(ISNUMBER($BF$271),$B$258=1),$BF$271,HLOOKUP(INDIRECT(ADDRESS(2,COLUMN())),OFFSET($BN$2,0,0,ROW()-1,60),ROW()-1,FALSE))</f>
        <v/>
      </c>
      <c r="BG16" t="str">
        <f ca="1">IF(AND(ISNUMBER($BG$271),$B$258=1),$BG$271,HLOOKUP(INDIRECT(ADDRESS(2,COLUMN())),OFFSET($BN$2,0,0,ROW()-1,60),ROW()-1,FALSE))</f>
        <v/>
      </c>
      <c r="BH16" t="str">
        <f ca="1">IF(AND(ISNUMBER($BH$271),$B$258=1),$BH$271,HLOOKUP(INDIRECT(ADDRESS(2,COLUMN())),OFFSET($BN$2,0,0,ROW()-1,60),ROW()-1,FALSE))</f>
        <v/>
      </c>
      <c r="BI16" t="str">
        <f ca="1">IF(AND(ISNUMBER($BI$271),$B$258=1),$BI$271,HLOOKUP(INDIRECT(ADDRESS(2,COLUMN())),OFFSET($BN$2,0,0,ROW()-1,60),ROW()-1,FALSE))</f>
        <v/>
      </c>
      <c r="BJ16" t="str">
        <f ca="1">IF(AND(ISNUMBER($BJ$271),$B$258=1),$BJ$271,HLOOKUP(INDIRECT(ADDRESS(2,COLUMN())),OFFSET($BN$2,0,0,ROW()-1,60),ROW()-1,FALSE))</f>
        <v/>
      </c>
      <c r="BK16" t="str">
        <f ca="1">IF(AND(ISNUMBER($BK$271),$B$258=1),$BK$271,HLOOKUP(INDIRECT(ADDRESS(2,COLUMN())),OFFSET($BN$2,0,0,ROW()-1,60),ROW()-1,FALSE))</f>
        <v/>
      </c>
      <c r="BL16" t="str">
        <f ca="1">IF(AND(ISNUMBER($BL$271),$B$258=1),$BL$271,HLOOKUP(INDIRECT(ADDRESS(2,COLUMN())),OFFSET($BN$2,0,0,ROW()-1,60),ROW()-1,FALSE))</f>
        <v/>
      </c>
      <c r="BM16" t="str">
        <f ca="1">IF(AND(ISNUMBER($BM$271),$B$258=1),$BM$271,HLOOKUP(INDIRECT(ADDRESS(2,COLUMN())),OFFSET($BN$2,0,0,ROW()-1,60),ROW()-1,FALSE))</f>
        <v/>
      </c>
      <c r="BN16" t="str">
        <f>""</f>
        <v/>
      </c>
      <c r="BO16">
        <f>228.025</f>
        <v>228.02500000000001</v>
      </c>
      <c r="BP16">
        <f>216.021</f>
        <v>216.02099999999999</v>
      </c>
      <c r="BQ16">
        <f>211.942</f>
        <v>211.94200000000001</v>
      </c>
      <c r="BR16">
        <f>207.193</f>
        <v>207.19300000000001</v>
      </c>
      <c r="BS16">
        <f>187.315</f>
        <v>187.315</v>
      </c>
      <c r="BT16">
        <f>166.591</f>
        <v>166.59100000000001</v>
      </c>
      <c r="BU16">
        <f>161.638</f>
        <v>161.63800000000001</v>
      </c>
      <c r="BV16">
        <f>158.276</f>
        <v>158.27600000000001</v>
      </c>
      <c r="BW16">
        <f>158.1</f>
        <v>158.1</v>
      </c>
      <c r="BX16">
        <f>155.311</f>
        <v>155.31100000000001</v>
      </c>
      <c r="BY16">
        <f>151.805</f>
        <v>151.80500000000001</v>
      </c>
      <c r="BZ16">
        <f>143.608</f>
        <v>143.608</v>
      </c>
      <c r="CA16">
        <f>140.873</f>
        <v>140.87299999999999</v>
      </c>
      <c r="CB16">
        <f>137.718</f>
        <v>137.71799999999999</v>
      </c>
      <c r="CC16">
        <f>134.992</f>
        <v>134.99199999999999</v>
      </c>
      <c r="CD16">
        <f>130.57</f>
        <v>130.57</v>
      </c>
      <c r="CE16">
        <f>125.693</f>
        <v>125.693</v>
      </c>
      <c r="CF16">
        <f>116.052</f>
        <v>116.05200000000001</v>
      </c>
      <c r="CG16">
        <f>114.493</f>
        <v>114.49299999999999</v>
      </c>
      <c r="CH16">
        <f>111.526</f>
        <v>111.526</v>
      </c>
      <c r="CI16">
        <f>111.798</f>
        <v>111.798</v>
      </c>
      <c r="CJ16">
        <f>106.216</f>
        <v>106.21599999999999</v>
      </c>
      <c r="CK16">
        <f>104.329</f>
        <v>104.32899999999999</v>
      </c>
      <c r="CL16">
        <f>101.201</f>
        <v>101.20099999999999</v>
      </c>
      <c r="CM16">
        <f>104.634</f>
        <v>104.634</v>
      </c>
      <c r="CN16">
        <f>102.353</f>
        <v>102.35299999999999</v>
      </c>
      <c r="CO16">
        <f>109.248</f>
        <v>109.248</v>
      </c>
      <c r="CP16">
        <f>106.253</f>
        <v>106.253</v>
      </c>
      <c r="CQ16">
        <f>99.531</f>
        <v>99.531000000000006</v>
      </c>
      <c r="CR16">
        <f>89.567</f>
        <v>89.566999999999993</v>
      </c>
      <c r="CS16">
        <f>89.512</f>
        <v>89.512</v>
      </c>
      <c r="CT16">
        <f>88.857</f>
        <v>88.856999999999999</v>
      </c>
      <c r="CU16">
        <f>88.629</f>
        <v>88.629000000000005</v>
      </c>
      <c r="CV16">
        <f>88.419</f>
        <v>88.418999999999997</v>
      </c>
      <c r="CW16">
        <f>87.461</f>
        <v>87.460999999999999</v>
      </c>
      <c r="CX16">
        <f>104.011</f>
        <v>104.011</v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</row>
    <row r="17" spans="1:125">
      <c r="A17" t="str">
        <f>"    Care Capital Properties Inc"</f>
        <v xml:space="preserve">    Care Capital Properties Inc</v>
      </c>
      <c r="B17" t="str">
        <f>"CCP US Equity"</f>
        <v>CCP US Equity</v>
      </c>
      <c r="C17" t="str">
        <f t="shared" si="3"/>
        <v>IM275</v>
      </c>
      <c r="D17" t="str">
        <f t="shared" si="4"/>
        <v>IS_OTHER_RENTAL_INCOME</v>
      </c>
      <c r="E17" t="str">
        <f t="shared" si="5"/>
        <v>动态</v>
      </c>
      <c r="F17" t="str">
        <f ca="1">IF(AND(ISNUMBER($F$272),$B$258=1),$F$272,HLOOKUP(INDIRECT(ADDRESS(2,COLUMN())),OFFSET($BN$2,0,0,ROW()-1,60),ROW()-1,FALSE))</f>
        <v/>
      </c>
      <c r="G17" t="str">
        <f ca="1">IF(AND(ISNUMBER($G$272),$B$258=1),$G$272,HLOOKUP(INDIRECT(ADDRESS(2,COLUMN())),OFFSET($BN$2,0,0,ROW()-1,60),ROW()-1,FALSE))</f>
        <v/>
      </c>
      <c r="H17" t="str">
        <f ca="1">IF(AND(ISNUMBER($H$272),$B$258=1),$H$272,HLOOKUP(INDIRECT(ADDRESS(2,COLUMN())),OFFSET($BN$2,0,0,ROW()-1,60),ROW()-1,FALSE))</f>
        <v/>
      </c>
      <c r="I17" t="str">
        <f ca="1">IF(AND(ISNUMBER($I$272),$B$258=1),$I$272,HLOOKUP(INDIRECT(ADDRESS(2,COLUMN())),OFFSET($BN$2,0,0,ROW()-1,60),ROW()-1,FALSE))</f>
        <v/>
      </c>
      <c r="J17" t="str">
        <f ca="1">IF(AND(ISNUMBER($J$272),$B$258=1),$J$272,HLOOKUP(INDIRECT(ADDRESS(2,COLUMN())),OFFSET($BN$2,0,0,ROW()-1,60),ROW()-1,FALSE))</f>
        <v/>
      </c>
      <c r="K17" t="str">
        <f ca="1">IF(AND(ISNUMBER($K$272),$B$258=1),$K$272,HLOOKUP(INDIRECT(ADDRESS(2,COLUMN())),OFFSET($BN$2,0,0,ROW()-1,60),ROW()-1,FALSE))</f>
        <v/>
      </c>
      <c r="L17" t="str">
        <f ca="1">IF(AND(ISNUMBER($L$272),$B$258=1),$L$272,HLOOKUP(INDIRECT(ADDRESS(2,COLUMN())),OFFSET($BN$2,0,0,ROW()-1,60),ROW()-1,FALSE))</f>
        <v/>
      </c>
      <c r="M17" t="str">
        <f ca="1">IF(AND(ISNUMBER($M$272),$B$258=1),$M$272,HLOOKUP(INDIRECT(ADDRESS(2,COLUMN())),OFFSET($BN$2,0,0,ROW()-1,60),ROW()-1,FALSE))</f>
        <v/>
      </c>
      <c r="N17" t="str">
        <f ca="1">IF(AND(ISNUMBER($N$272),$B$258=1),$N$272,HLOOKUP(INDIRECT(ADDRESS(2,COLUMN())),OFFSET($BN$2,0,0,ROW()-1,60),ROW()-1,FALSE))</f>
        <v/>
      </c>
      <c r="O17" t="str">
        <f ca="1">IF(AND(ISNUMBER($O$272),$B$258=1),$O$272,HLOOKUP(INDIRECT(ADDRESS(2,COLUMN())),OFFSET($BN$2,0,0,ROW()-1,60),ROW()-1,FALSE))</f>
        <v/>
      </c>
      <c r="P17" t="str">
        <f ca="1">IF(AND(ISNUMBER($P$272),$B$258=1),$P$272,HLOOKUP(INDIRECT(ADDRESS(2,COLUMN())),OFFSET($BN$2,0,0,ROW()-1,60),ROW()-1,FALSE))</f>
        <v/>
      </c>
      <c r="Q17" t="str">
        <f ca="1">IF(AND(ISNUMBER($Q$272),$B$258=1),$Q$272,HLOOKUP(INDIRECT(ADDRESS(2,COLUMN())),OFFSET($BN$2,0,0,ROW()-1,60),ROW()-1,FALSE))</f>
        <v/>
      </c>
      <c r="R17" t="str">
        <f ca="1">IF(AND(ISNUMBER($R$272),$B$258=1),$R$272,HLOOKUP(INDIRECT(ADDRESS(2,COLUMN())),OFFSET($BN$2,0,0,ROW()-1,60),ROW()-1,FALSE))</f>
        <v/>
      </c>
      <c r="S17" t="str">
        <f ca="1">IF(AND(ISNUMBER($S$272),$B$258=1),$S$272,HLOOKUP(INDIRECT(ADDRESS(2,COLUMN())),OFFSET($BN$2,0,0,ROW()-1,60),ROW()-1,FALSE))</f>
        <v/>
      </c>
      <c r="T17" t="str">
        <f ca="1">IF(AND(ISNUMBER($T$272),$B$258=1),$T$272,HLOOKUP(INDIRECT(ADDRESS(2,COLUMN())),OFFSET($BN$2,0,0,ROW()-1,60),ROW()-1,FALSE))</f>
        <v/>
      </c>
      <c r="U17" t="str">
        <f ca="1">IF(AND(ISNUMBER($U$272),$B$258=1),$U$272,HLOOKUP(INDIRECT(ADDRESS(2,COLUMN())),OFFSET($BN$2,0,0,ROW()-1,60),ROW()-1,FALSE))</f>
        <v/>
      </c>
      <c r="V17" t="str">
        <f ca="1">IF(AND(ISNUMBER($V$272),$B$258=1),$V$272,HLOOKUP(INDIRECT(ADDRESS(2,COLUMN())),OFFSET($BN$2,0,0,ROW()-1,60),ROW()-1,FALSE))</f>
        <v/>
      </c>
      <c r="W17" t="str">
        <f ca="1">IF(AND(ISNUMBER($W$272),$B$258=1),$W$272,HLOOKUP(INDIRECT(ADDRESS(2,COLUMN())),OFFSET($BN$2,0,0,ROW()-1,60),ROW()-1,FALSE))</f>
        <v/>
      </c>
      <c r="X17" t="str">
        <f ca="1">IF(AND(ISNUMBER($X$272),$B$258=1),$X$272,HLOOKUP(INDIRECT(ADDRESS(2,COLUMN())),OFFSET($BN$2,0,0,ROW()-1,60),ROW()-1,FALSE))</f>
        <v/>
      </c>
      <c r="Y17" t="str">
        <f ca="1">IF(AND(ISNUMBER($Y$272),$B$258=1),$Y$272,HLOOKUP(INDIRECT(ADDRESS(2,COLUMN())),OFFSET($BN$2,0,0,ROW()-1,60),ROW()-1,FALSE))</f>
        <v/>
      </c>
      <c r="Z17" t="str">
        <f ca="1">IF(AND(ISNUMBER($Z$272),$B$258=1),$Z$272,HLOOKUP(INDIRECT(ADDRESS(2,COLUMN())),OFFSET($BN$2,0,0,ROW()-1,60),ROW()-1,FALSE))</f>
        <v/>
      </c>
      <c r="AA17" t="str">
        <f ca="1">IF(AND(ISNUMBER($AA$272),$B$258=1),$AA$272,HLOOKUP(INDIRECT(ADDRESS(2,COLUMN())),OFFSET($BN$2,0,0,ROW()-1,60),ROW()-1,FALSE))</f>
        <v/>
      </c>
      <c r="AB17" t="str">
        <f ca="1">IF(AND(ISNUMBER($AB$272),$B$258=1),$AB$272,HLOOKUP(INDIRECT(ADDRESS(2,COLUMN())),OFFSET($BN$2,0,0,ROW()-1,60),ROW()-1,FALSE))</f>
        <v/>
      </c>
      <c r="AC17" t="str">
        <f ca="1">IF(AND(ISNUMBER($AC$272),$B$258=1),$AC$272,HLOOKUP(INDIRECT(ADDRESS(2,COLUMN())),OFFSET($BN$2,0,0,ROW()-1,60),ROW()-1,FALSE))</f>
        <v/>
      </c>
      <c r="AD17" t="str">
        <f ca="1">IF(AND(ISNUMBER($AD$272),$B$258=1),$AD$272,HLOOKUP(INDIRECT(ADDRESS(2,COLUMN())),OFFSET($BN$2,0,0,ROW()-1,60),ROW()-1,FALSE))</f>
        <v/>
      </c>
      <c r="AE17" t="str">
        <f ca="1">IF(AND(ISNUMBER($AE$272),$B$258=1),$AE$272,HLOOKUP(INDIRECT(ADDRESS(2,COLUMN())),OFFSET($BN$2,0,0,ROW()-1,60),ROW()-1,FALSE))</f>
        <v/>
      </c>
      <c r="AF17" t="str">
        <f ca="1">IF(AND(ISNUMBER($AF$272),$B$258=1),$AF$272,HLOOKUP(INDIRECT(ADDRESS(2,COLUMN())),OFFSET($BN$2,0,0,ROW()-1,60),ROW()-1,FALSE))</f>
        <v/>
      </c>
      <c r="AG17" t="str">
        <f ca="1">IF(AND(ISNUMBER($AG$272),$B$258=1),$AG$272,HLOOKUP(INDIRECT(ADDRESS(2,COLUMN())),OFFSET($BN$2,0,0,ROW()-1,60),ROW()-1,FALSE))</f>
        <v/>
      </c>
      <c r="AH17" t="str">
        <f ca="1">IF(AND(ISNUMBER($AH$272),$B$258=1),$AH$272,HLOOKUP(INDIRECT(ADDRESS(2,COLUMN())),OFFSET($BN$2,0,0,ROW()-1,60),ROW()-1,FALSE))</f>
        <v/>
      </c>
      <c r="AI17" t="str">
        <f ca="1">IF(AND(ISNUMBER($AI$272),$B$258=1),$AI$272,HLOOKUP(INDIRECT(ADDRESS(2,COLUMN())),OFFSET($BN$2,0,0,ROW()-1,60),ROW()-1,FALSE))</f>
        <v/>
      </c>
      <c r="AJ17" t="str">
        <f ca="1">IF(AND(ISNUMBER($AJ$272),$B$258=1),$AJ$272,HLOOKUP(INDIRECT(ADDRESS(2,COLUMN())),OFFSET($BN$2,0,0,ROW()-1,60),ROW()-1,FALSE))</f>
        <v/>
      </c>
      <c r="AK17" t="str">
        <f ca="1">IF(AND(ISNUMBER($AK$272),$B$258=1),$AK$272,HLOOKUP(INDIRECT(ADDRESS(2,COLUMN())),OFFSET($BN$2,0,0,ROW()-1,60),ROW()-1,FALSE))</f>
        <v/>
      </c>
      <c r="AL17" t="str">
        <f ca="1">IF(AND(ISNUMBER($AL$272),$B$258=1),$AL$272,HLOOKUP(INDIRECT(ADDRESS(2,COLUMN())),OFFSET($BN$2,0,0,ROW()-1,60),ROW()-1,FALSE))</f>
        <v/>
      </c>
      <c r="AM17" t="str">
        <f ca="1">IF(AND(ISNUMBER($AM$272),$B$258=1),$AM$272,HLOOKUP(INDIRECT(ADDRESS(2,COLUMN())),OFFSET($BN$2,0,0,ROW()-1,60),ROW()-1,FALSE))</f>
        <v/>
      </c>
      <c r="AN17" t="str">
        <f ca="1">IF(AND(ISNUMBER($AN$272),$B$258=1),$AN$272,HLOOKUP(INDIRECT(ADDRESS(2,COLUMN())),OFFSET($BN$2,0,0,ROW()-1,60),ROW()-1,FALSE))</f>
        <v/>
      </c>
      <c r="AO17" t="str">
        <f ca="1">IF(AND(ISNUMBER($AO$272),$B$258=1),$AO$272,HLOOKUP(INDIRECT(ADDRESS(2,COLUMN())),OFFSET($BN$2,0,0,ROW()-1,60),ROW()-1,FALSE))</f>
        <v/>
      </c>
      <c r="AP17" t="str">
        <f ca="1">IF(AND(ISNUMBER($AP$272),$B$258=1),$AP$272,HLOOKUP(INDIRECT(ADDRESS(2,COLUMN())),OFFSET($BN$2,0,0,ROW()-1,60),ROW()-1,FALSE))</f>
        <v/>
      </c>
      <c r="AQ17" t="str">
        <f ca="1">IF(AND(ISNUMBER($AQ$272),$B$258=1),$AQ$272,HLOOKUP(INDIRECT(ADDRESS(2,COLUMN())),OFFSET($BN$2,0,0,ROW()-1,60),ROW()-1,FALSE))</f>
        <v/>
      </c>
      <c r="AR17" t="str">
        <f ca="1">IF(AND(ISNUMBER($AR$272),$B$258=1),$AR$272,HLOOKUP(INDIRECT(ADDRESS(2,COLUMN())),OFFSET($BN$2,0,0,ROW()-1,60),ROW()-1,FALSE))</f>
        <v/>
      </c>
      <c r="AS17" t="str">
        <f ca="1">IF(AND(ISNUMBER($AS$272),$B$258=1),$AS$272,HLOOKUP(INDIRECT(ADDRESS(2,COLUMN())),OFFSET($BN$2,0,0,ROW()-1,60),ROW()-1,FALSE))</f>
        <v/>
      </c>
      <c r="AT17" t="str">
        <f ca="1">IF(AND(ISNUMBER($AT$272),$B$258=1),$AT$272,HLOOKUP(INDIRECT(ADDRESS(2,COLUMN())),OFFSET($BN$2,0,0,ROW()-1,60),ROW()-1,FALSE))</f>
        <v/>
      </c>
      <c r="AU17" t="str">
        <f ca="1">IF(AND(ISNUMBER($AU$272),$B$258=1),$AU$272,HLOOKUP(INDIRECT(ADDRESS(2,COLUMN())),OFFSET($BN$2,0,0,ROW()-1,60),ROW()-1,FALSE))</f>
        <v/>
      </c>
      <c r="AV17" t="str">
        <f ca="1">IF(AND(ISNUMBER($AV$272),$B$258=1),$AV$272,HLOOKUP(INDIRECT(ADDRESS(2,COLUMN())),OFFSET($BN$2,0,0,ROW()-1,60),ROW()-1,FALSE))</f>
        <v/>
      </c>
      <c r="AW17" t="str">
        <f ca="1">IF(AND(ISNUMBER($AW$272),$B$258=1),$AW$272,HLOOKUP(INDIRECT(ADDRESS(2,COLUMN())),OFFSET($BN$2,0,0,ROW()-1,60),ROW()-1,FALSE))</f>
        <v/>
      </c>
      <c r="AX17" t="str">
        <f ca="1">IF(AND(ISNUMBER($AX$272),$B$258=1),$AX$272,HLOOKUP(INDIRECT(ADDRESS(2,COLUMN())),OFFSET($BN$2,0,0,ROW()-1,60),ROW()-1,FALSE))</f>
        <v/>
      </c>
      <c r="AY17" t="str">
        <f ca="1">IF(AND(ISNUMBER($AY$272),$B$258=1),$AY$272,HLOOKUP(INDIRECT(ADDRESS(2,COLUMN())),OFFSET($BN$2,0,0,ROW()-1,60),ROW()-1,FALSE))</f>
        <v/>
      </c>
      <c r="AZ17" t="str">
        <f ca="1">IF(AND(ISNUMBER($AZ$272),$B$258=1),$AZ$272,HLOOKUP(INDIRECT(ADDRESS(2,COLUMN())),OFFSET($BN$2,0,0,ROW()-1,60),ROW()-1,FALSE))</f>
        <v/>
      </c>
      <c r="BA17" t="str">
        <f ca="1">IF(AND(ISNUMBER($BA$272),$B$258=1),$BA$272,HLOOKUP(INDIRECT(ADDRESS(2,COLUMN())),OFFSET($BN$2,0,0,ROW()-1,60),ROW()-1,FALSE))</f>
        <v/>
      </c>
      <c r="BB17" t="str">
        <f ca="1">IF(AND(ISNUMBER($BB$272),$B$258=1),$BB$272,HLOOKUP(INDIRECT(ADDRESS(2,COLUMN())),OFFSET($BN$2,0,0,ROW()-1,60),ROW()-1,FALSE))</f>
        <v/>
      </c>
      <c r="BC17" t="str">
        <f ca="1">IF(AND(ISNUMBER($BC$272),$B$258=1),$BC$272,HLOOKUP(INDIRECT(ADDRESS(2,COLUMN())),OFFSET($BN$2,0,0,ROW()-1,60),ROW()-1,FALSE))</f>
        <v/>
      </c>
      <c r="BD17" t="str">
        <f ca="1">IF(AND(ISNUMBER($BD$272),$B$258=1),$BD$272,HLOOKUP(INDIRECT(ADDRESS(2,COLUMN())),OFFSET($BN$2,0,0,ROW()-1,60),ROW()-1,FALSE))</f>
        <v/>
      </c>
      <c r="BE17" t="str">
        <f ca="1">IF(AND(ISNUMBER($BE$272),$B$258=1),$BE$272,HLOOKUP(INDIRECT(ADDRESS(2,COLUMN())),OFFSET($BN$2,0,0,ROW()-1,60),ROW()-1,FALSE))</f>
        <v/>
      </c>
      <c r="BF17" t="str">
        <f ca="1">IF(AND(ISNUMBER($BF$272),$B$258=1),$BF$272,HLOOKUP(INDIRECT(ADDRESS(2,COLUMN())),OFFSET($BN$2,0,0,ROW()-1,60),ROW()-1,FALSE))</f>
        <v/>
      </c>
      <c r="BG17" t="str">
        <f ca="1">IF(AND(ISNUMBER($BG$272),$B$258=1),$BG$272,HLOOKUP(INDIRECT(ADDRESS(2,COLUMN())),OFFSET($BN$2,0,0,ROW()-1,60),ROW()-1,FALSE))</f>
        <v/>
      </c>
      <c r="BH17" t="str">
        <f ca="1">IF(AND(ISNUMBER($BH$272),$B$258=1),$BH$272,HLOOKUP(INDIRECT(ADDRESS(2,COLUMN())),OFFSET($BN$2,0,0,ROW()-1,60),ROW()-1,FALSE))</f>
        <v/>
      </c>
      <c r="BI17" t="str">
        <f ca="1">IF(AND(ISNUMBER($BI$272),$B$258=1),$BI$272,HLOOKUP(INDIRECT(ADDRESS(2,COLUMN())),OFFSET($BN$2,0,0,ROW()-1,60),ROW()-1,FALSE))</f>
        <v/>
      </c>
      <c r="BJ17" t="str">
        <f ca="1">IF(AND(ISNUMBER($BJ$272),$B$258=1),$BJ$272,HLOOKUP(INDIRECT(ADDRESS(2,COLUMN())),OFFSET($BN$2,0,0,ROW()-1,60),ROW()-1,FALSE))</f>
        <v/>
      </c>
      <c r="BK17" t="str">
        <f ca="1">IF(AND(ISNUMBER($BK$272),$B$258=1),$BK$272,HLOOKUP(INDIRECT(ADDRESS(2,COLUMN())),OFFSET($BN$2,0,0,ROW()-1,60),ROW()-1,FALSE))</f>
        <v/>
      </c>
      <c r="BL17" t="str">
        <f ca="1">IF(AND(ISNUMBER($BL$272),$B$258=1),$BL$272,HLOOKUP(INDIRECT(ADDRESS(2,COLUMN())),OFFSET($BN$2,0,0,ROW()-1,60),ROW()-1,FALSE))</f>
        <v/>
      </c>
      <c r="BM17" t="str">
        <f ca="1">IF(AND(ISNUMBER($BM$272),$B$258=1),$BM$272,HLOOKUP(INDIRECT(ADDRESS(2,COLUMN())),OFFSET($BN$2,0,0,ROW()-1,60),ROW()-1,FALSE))</f>
        <v/>
      </c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  <c r="BT17" t="str">
        <f>""</f>
        <v/>
      </c>
      <c r="BU17" t="str">
        <f>""</f>
        <v/>
      </c>
      <c r="BV17" t="str">
        <f>""</f>
        <v/>
      </c>
      <c r="BW17" t="str">
        <f>""</f>
        <v/>
      </c>
      <c r="BX17" t="str">
        <f>""</f>
        <v/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  <c r="CH17" t="str">
        <f>""</f>
        <v/>
      </c>
      <c r="CI17" t="str">
        <f>""</f>
        <v/>
      </c>
      <c r="CJ17" t="str">
        <f>""</f>
        <v/>
      </c>
      <c r="CK17" t="str">
        <f>""</f>
        <v/>
      </c>
      <c r="CL17" t="str">
        <f>""</f>
        <v/>
      </c>
      <c r="CM17" t="str">
        <f>""</f>
        <v/>
      </c>
      <c r="CN17" t="str">
        <f>""</f>
        <v/>
      </c>
      <c r="CO17" t="str">
        <f>""</f>
        <v/>
      </c>
      <c r="CP17" t="str">
        <f>""</f>
        <v/>
      </c>
      <c r="CQ17" t="str">
        <f>""</f>
        <v/>
      </c>
      <c r="CR17" t="str">
        <f>""</f>
        <v/>
      </c>
      <c r="CS17" t="str">
        <f>""</f>
        <v/>
      </c>
      <c r="CT17" t="str">
        <f>""</f>
        <v/>
      </c>
      <c r="CU17" t="str">
        <f>""</f>
        <v/>
      </c>
      <c r="CV17" t="str">
        <f>""</f>
        <v/>
      </c>
      <c r="CW17" t="str">
        <f>""</f>
        <v/>
      </c>
      <c r="CX17" t="str">
        <f>""</f>
        <v/>
      </c>
      <c r="CY17" t="str">
        <f>""</f>
        <v/>
      </c>
      <c r="CZ17" t="str">
        <f>""</f>
        <v/>
      </c>
      <c r="DA17" t="str">
        <f>""</f>
        <v/>
      </c>
      <c r="DB17" t="str">
        <f>""</f>
        <v/>
      </c>
      <c r="DC17" t="str">
        <f>""</f>
        <v/>
      </c>
      <c r="DD17" t="str">
        <f>""</f>
        <v/>
      </c>
      <c r="DE17" t="str">
        <f>""</f>
        <v/>
      </c>
      <c r="DF17" t="str">
        <f>""</f>
        <v/>
      </c>
      <c r="DG17" t="str">
        <f>""</f>
        <v/>
      </c>
      <c r="DH17" t="str">
        <f>""</f>
        <v/>
      </c>
      <c r="DI17" t="str">
        <f>""</f>
        <v/>
      </c>
      <c r="DJ17" t="str">
        <f>""</f>
        <v/>
      </c>
      <c r="DK17" t="str">
        <f>""</f>
        <v/>
      </c>
      <c r="DL17" t="str">
        <f>""</f>
        <v/>
      </c>
      <c r="DM17" t="str">
        <f>""</f>
        <v/>
      </c>
      <c r="DN17" t="str">
        <f>""</f>
        <v/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</row>
    <row r="18" spans="1:125">
      <c r="A18" t="str">
        <f>"    HCP Inc"</f>
        <v xml:space="preserve">    HCP Inc</v>
      </c>
      <c r="B18" t="str">
        <f>"HCP US Equity"</f>
        <v>HCP US Equity</v>
      </c>
      <c r="C18" t="str">
        <f t="shared" si="3"/>
        <v>IM275</v>
      </c>
      <c r="D18" t="str">
        <f t="shared" si="4"/>
        <v>IS_OTHER_RENTAL_INCOME</v>
      </c>
      <c r="E18" t="str">
        <f t="shared" si="5"/>
        <v>动态</v>
      </c>
      <c r="F18" t="str">
        <f ca="1">IF(AND(ISNUMBER($F$273),$B$258=1),$F$273,HLOOKUP(INDIRECT(ADDRESS(2,COLUMN())),OFFSET($BN$2,0,0,ROW()-1,60),ROW()-1,FALSE))</f>
        <v/>
      </c>
      <c r="G18">
        <f ca="1">IF(AND(ISNUMBER($G$273),$B$258=1),$G$273,HLOOKUP(INDIRECT(ADDRESS(2,COLUMN())),OFFSET($BN$2,0,0,ROW()-1,60),ROW()-1,FALSE))</f>
        <v>401.29399999999998</v>
      </c>
      <c r="H18">
        <f ca="1">IF(AND(ISNUMBER($H$273),$B$258=1),$H$273,HLOOKUP(INDIRECT(ADDRESS(2,COLUMN())),OFFSET($BN$2,0,0,ROW()-1,60),ROW()-1,FALSE))</f>
        <v>405.38900000000001</v>
      </c>
      <c r="I18">
        <f ca="1">IF(AND(ISNUMBER($I$273),$B$258=1),$I$273,HLOOKUP(INDIRECT(ADDRESS(2,COLUMN())),OFFSET($BN$2,0,0,ROW()-1,60),ROW()-1,FALSE))</f>
        <v>402.8</v>
      </c>
      <c r="J18">
        <f ca="1">IF(AND(ISNUMBER($J$273),$B$258=1),$J$273,HLOOKUP(INDIRECT(ADDRESS(2,COLUMN())),OFFSET($BN$2,0,0,ROW()-1,60),ROW()-1,FALSE))</f>
        <v>440.16199999999998</v>
      </c>
      <c r="K18">
        <f ca="1">IF(AND(ISNUMBER($K$273),$B$258=1),$K$273,HLOOKUP(INDIRECT(ADDRESS(2,COLUMN())),OFFSET($BN$2,0,0,ROW()-1,60),ROW()-1,FALSE))</f>
        <v>487.875</v>
      </c>
      <c r="L18">
        <f ca="1">IF(AND(ISNUMBER($L$273),$B$258=1),$L$273,HLOOKUP(INDIRECT(ADDRESS(2,COLUMN())),OFFSET($BN$2,0,0,ROW()-1,60),ROW()-1,FALSE))</f>
        <v>475.26600000000002</v>
      </c>
      <c r="M18">
        <f ca="1">IF(AND(ISNUMBER($M$273),$B$258=1),$M$273,HLOOKUP(INDIRECT(ADDRESS(2,COLUMN())),OFFSET($BN$2,0,0,ROW()-1,60),ROW()-1,FALSE))</f>
        <v>472.017</v>
      </c>
      <c r="N18">
        <f ca="1">IF(AND(ISNUMBER($N$273),$B$258=1),$N$273,HLOOKUP(INDIRECT(ADDRESS(2,COLUMN())),OFFSET($BN$2,0,0,ROW()-1,60),ROW()-1,FALSE))</f>
        <v>471.053</v>
      </c>
      <c r="O18">
        <f ca="1">IF(AND(ISNUMBER($O$273),$B$258=1),$O$273,HLOOKUP(INDIRECT(ADDRESS(2,COLUMN())),OFFSET($BN$2,0,0,ROW()-1,60),ROW()-1,FALSE))</f>
        <v>465.40499999999997</v>
      </c>
      <c r="P18">
        <f ca="1">IF(AND(ISNUMBER($P$273),$B$258=1),$P$273,HLOOKUP(INDIRECT(ADDRESS(2,COLUMN())),OFFSET($BN$2,0,0,ROW()-1,60),ROW()-1,FALSE))</f>
        <v>604.57299999999998</v>
      </c>
      <c r="Q18">
        <f ca="1">IF(AND(ISNUMBER($Q$273),$B$258=1),$Q$273,HLOOKUP(INDIRECT(ADDRESS(2,COLUMN())),OFFSET($BN$2,0,0,ROW()-1,60),ROW()-1,FALSE))</f>
        <v>539.75300000000004</v>
      </c>
      <c r="R18">
        <f ca="1">IF(AND(ISNUMBER($R$273),$B$258=1),$R$273,HLOOKUP(INDIRECT(ADDRESS(2,COLUMN())),OFFSET($BN$2,0,0,ROW()-1,60),ROW()-1,FALSE))</f>
        <v>547.173</v>
      </c>
      <c r="S18">
        <f ca="1">IF(AND(ISNUMBER($S$273),$B$258=1),$S$273,HLOOKUP(INDIRECT(ADDRESS(2,COLUMN())),OFFSET($BN$2,0,0,ROW()-1,60),ROW()-1,FALSE))</f>
        <v>550.89700000000005</v>
      </c>
      <c r="T18">
        <f ca="1">IF(AND(ISNUMBER($T$273),$B$258=1),$T$273,HLOOKUP(INDIRECT(ADDRESS(2,COLUMN())),OFFSET($BN$2,0,0,ROW()-1,60),ROW()-1,FALSE))</f>
        <v>549.351</v>
      </c>
      <c r="U18">
        <f ca="1">IF(AND(ISNUMBER($U$273),$B$258=1),$U$273,HLOOKUP(INDIRECT(ADDRESS(2,COLUMN())),OFFSET($BN$2,0,0,ROW()-1,60),ROW()-1,FALSE))</f>
        <v>491.63</v>
      </c>
      <c r="V18">
        <f ca="1">IF(AND(ISNUMBER($V$273),$B$258=1),$V$273,HLOOKUP(INDIRECT(ADDRESS(2,COLUMN())),OFFSET($BN$2,0,0,ROW()-1,60),ROW()-1,FALSE))</f>
        <v>487.41300000000001</v>
      </c>
      <c r="W18">
        <f ca="1">IF(AND(ISNUMBER($W$273),$B$258=1),$W$273,HLOOKUP(INDIRECT(ADDRESS(2,COLUMN())),OFFSET($BN$2,0,0,ROW()-1,60),ROW()-1,FALSE))</f>
        <v>486.92500000000001</v>
      </c>
      <c r="X18">
        <f ca="1">IF(AND(ISNUMBER($X$273),$B$258=1),$X$273,HLOOKUP(INDIRECT(ADDRESS(2,COLUMN())),OFFSET($BN$2,0,0,ROW()-1,60),ROW()-1,FALSE))</f>
        <v>477.69499999999999</v>
      </c>
      <c r="Y18">
        <f ca="1">IF(AND(ISNUMBER($Y$273),$B$258=1),$Y$273,HLOOKUP(INDIRECT(ADDRESS(2,COLUMN())),OFFSET($BN$2,0,0,ROW()-1,60),ROW()-1,FALSE))</f>
        <v>472.44900000000001</v>
      </c>
      <c r="Z18">
        <f ca="1">IF(AND(ISNUMBER($Z$273),$B$258=1),$Z$273,HLOOKUP(INDIRECT(ADDRESS(2,COLUMN())),OFFSET($BN$2,0,0,ROW()-1,60),ROW()-1,FALSE))</f>
        <v>474.15499999999997</v>
      </c>
      <c r="AA18">
        <f ca="1">IF(AND(ISNUMBER($AA$273),$B$258=1),$AA$273,HLOOKUP(INDIRECT(ADDRESS(2,COLUMN())),OFFSET($BN$2,0,0,ROW()-1,60),ROW()-1,FALSE))</f>
        <v>465.53399999999999</v>
      </c>
      <c r="AB18">
        <f ca="1">IF(AND(ISNUMBER($AB$273),$B$258=1),$AB$273,HLOOKUP(INDIRECT(ADDRESS(2,COLUMN())),OFFSET($BN$2,0,0,ROW()-1,60),ROW()-1,FALSE))</f>
        <v>433.90300000000002</v>
      </c>
      <c r="AC18">
        <f ca="1">IF(AND(ISNUMBER($AC$273),$B$258=1),$AC$273,HLOOKUP(INDIRECT(ADDRESS(2,COLUMN())),OFFSET($BN$2,0,0,ROW()-1,60),ROW()-1,FALSE))</f>
        <v>435.14800000000002</v>
      </c>
      <c r="AD18">
        <f ca="1">IF(AND(ISNUMBER($AD$273),$B$258=1),$AD$273,HLOOKUP(INDIRECT(ADDRESS(2,COLUMN())),OFFSET($BN$2,0,0,ROW()-1,60),ROW()-1,FALSE))</f>
        <v>431.86500000000001</v>
      </c>
      <c r="AE18">
        <f ca="1">IF(AND(ISNUMBER($AE$273),$B$258=1),$AE$273,HLOOKUP(INDIRECT(ADDRESS(2,COLUMN())),OFFSET($BN$2,0,0,ROW()-1,60),ROW()-1,FALSE))</f>
        <v>434.654</v>
      </c>
      <c r="AF18">
        <f ca="1">IF(AND(ISNUMBER($AF$273),$B$258=1),$AF$273,HLOOKUP(INDIRECT(ADDRESS(2,COLUMN())),OFFSET($BN$2,0,0,ROW()-1,60),ROW()-1,FALSE))</f>
        <v>416.279</v>
      </c>
      <c r="AG18">
        <f ca="1">IF(AND(ISNUMBER($AG$273),$B$258=1),$AG$273,HLOOKUP(INDIRECT(ADDRESS(2,COLUMN())),OFFSET($BN$2,0,0,ROW()-1,60),ROW()-1,FALSE))</f>
        <v>404.654</v>
      </c>
      <c r="AH18">
        <f ca="1">IF(AND(ISNUMBER($AH$273),$B$258=1),$AH$273,HLOOKUP(INDIRECT(ADDRESS(2,COLUMN())),OFFSET($BN$2,0,0,ROW()-1,60),ROW()-1,FALSE))</f>
        <v>268.98099999999999</v>
      </c>
      <c r="AI18">
        <f ca="1">IF(AND(ISNUMBER($AI$273),$B$258=1),$AI$273,HLOOKUP(INDIRECT(ADDRESS(2,COLUMN())),OFFSET($BN$2,0,0,ROW()-1,60),ROW()-1,FALSE))</f>
        <v>266.04000000000002</v>
      </c>
      <c r="AJ18">
        <f ca="1">IF(AND(ISNUMBER($AJ$273),$B$258=1),$AJ$273,HLOOKUP(INDIRECT(ADDRESS(2,COLUMN())),OFFSET($BN$2,0,0,ROW()-1,60),ROW()-1,FALSE))</f>
        <v>255.98400000000001</v>
      </c>
      <c r="AK18">
        <f ca="1">IF(AND(ISNUMBER($AK$273),$B$258=1),$AK$273,HLOOKUP(INDIRECT(ADDRESS(2,COLUMN())),OFFSET($BN$2,0,0,ROW()-1,60),ROW()-1,FALSE))</f>
        <v>242.363</v>
      </c>
      <c r="AL18">
        <f ca="1">IF(AND(ISNUMBER($AL$273),$B$258=1),$AL$273,HLOOKUP(INDIRECT(ADDRESS(2,COLUMN())),OFFSET($BN$2,0,0,ROW()-1,60),ROW()-1,FALSE))</f>
        <v>236.48500000000001</v>
      </c>
      <c r="AM18">
        <f ca="1">IF(AND(ISNUMBER($AM$273),$B$258=1),$AM$273,HLOOKUP(INDIRECT(ADDRESS(2,COLUMN())),OFFSET($BN$2,0,0,ROW()-1,60),ROW()-1,FALSE))</f>
        <v>234.511</v>
      </c>
      <c r="AN18">
        <f ca="1">IF(AND(ISNUMBER($AN$273),$B$258=1),$AN$273,HLOOKUP(INDIRECT(ADDRESS(2,COLUMN())),OFFSET($BN$2,0,0,ROW()-1,60),ROW()-1,FALSE))</f>
        <v>229.34200000000001</v>
      </c>
      <c r="AO18">
        <f ca="1">IF(AND(ISNUMBER($AO$273),$B$258=1),$AO$273,HLOOKUP(INDIRECT(ADDRESS(2,COLUMN())),OFFSET($BN$2,0,0,ROW()-1,60),ROW()-1,FALSE))</f>
        <v>243.02600000000001</v>
      </c>
      <c r="AP18">
        <f ca="1">IF(AND(ISNUMBER($AP$273),$B$258=1),$AP$273,HLOOKUP(INDIRECT(ADDRESS(2,COLUMN())),OFFSET($BN$2,0,0,ROW()-1,60),ROW()-1,FALSE))</f>
        <v>225.15100000000001</v>
      </c>
      <c r="AQ18" t="str">
        <f ca="1">IF(AND(ISNUMBER($AQ$273),$B$258=1),$AQ$273,HLOOKUP(INDIRECT(ADDRESS(2,COLUMN())),OFFSET($BN$2,0,0,ROW()-1,60),ROW()-1,FALSE))</f>
        <v/>
      </c>
      <c r="AR18" t="str">
        <f ca="1">IF(AND(ISNUMBER($AR$273),$B$258=1),$AR$273,HLOOKUP(INDIRECT(ADDRESS(2,COLUMN())),OFFSET($BN$2,0,0,ROW()-1,60),ROW()-1,FALSE))</f>
        <v/>
      </c>
      <c r="AS18" t="str">
        <f ca="1">IF(AND(ISNUMBER($AS$273),$B$258=1),$AS$273,HLOOKUP(INDIRECT(ADDRESS(2,COLUMN())),OFFSET($BN$2,0,0,ROW()-1,60),ROW()-1,FALSE))</f>
        <v/>
      </c>
      <c r="AT18" t="str">
        <f ca="1">IF(AND(ISNUMBER($AT$273),$B$258=1),$AT$273,HLOOKUP(INDIRECT(ADDRESS(2,COLUMN())),OFFSET($BN$2,0,0,ROW()-1,60),ROW()-1,FALSE))</f>
        <v/>
      </c>
      <c r="AU18" t="str">
        <f ca="1">IF(AND(ISNUMBER($AU$273),$B$258=1),$AU$273,HLOOKUP(INDIRECT(ADDRESS(2,COLUMN())),OFFSET($BN$2,0,0,ROW()-1,60),ROW()-1,FALSE))</f>
        <v/>
      </c>
      <c r="AV18" t="str">
        <f ca="1">IF(AND(ISNUMBER($AV$273),$B$258=1),$AV$273,HLOOKUP(INDIRECT(ADDRESS(2,COLUMN())),OFFSET($BN$2,0,0,ROW()-1,60),ROW()-1,FALSE))</f>
        <v/>
      </c>
      <c r="AW18" t="str">
        <f ca="1">IF(AND(ISNUMBER($AW$273),$B$258=1),$AW$273,HLOOKUP(INDIRECT(ADDRESS(2,COLUMN())),OFFSET($BN$2,0,0,ROW()-1,60),ROW()-1,FALSE))</f>
        <v/>
      </c>
      <c r="AX18" t="str">
        <f ca="1">IF(AND(ISNUMBER($AX$273),$B$258=1),$AX$273,HLOOKUP(INDIRECT(ADDRESS(2,COLUMN())),OFFSET($BN$2,0,0,ROW()-1,60),ROW()-1,FALSE))</f>
        <v/>
      </c>
      <c r="AY18" t="str">
        <f ca="1">IF(AND(ISNUMBER($AY$273),$B$258=1),$AY$273,HLOOKUP(INDIRECT(ADDRESS(2,COLUMN())),OFFSET($BN$2,0,0,ROW()-1,60),ROW()-1,FALSE))</f>
        <v/>
      </c>
      <c r="AZ18" t="str">
        <f ca="1">IF(AND(ISNUMBER($AZ$273),$B$258=1),$AZ$273,HLOOKUP(INDIRECT(ADDRESS(2,COLUMN())),OFFSET($BN$2,0,0,ROW()-1,60),ROW()-1,FALSE))</f>
        <v/>
      </c>
      <c r="BA18" t="str">
        <f ca="1">IF(AND(ISNUMBER($BA$273),$B$258=1),$BA$273,HLOOKUP(INDIRECT(ADDRESS(2,COLUMN())),OFFSET($BN$2,0,0,ROW()-1,60),ROW()-1,FALSE))</f>
        <v/>
      </c>
      <c r="BB18" t="str">
        <f ca="1">IF(AND(ISNUMBER($BB$273),$B$258=1),$BB$273,HLOOKUP(INDIRECT(ADDRESS(2,COLUMN())),OFFSET($BN$2,0,0,ROW()-1,60),ROW()-1,FALSE))</f>
        <v/>
      </c>
      <c r="BC18" t="str">
        <f ca="1">IF(AND(ISNUMBER($BC$273),$B$258=1),$BC$273,HLOOKUP(INDIRECT(ADDRESS(2,COLUMN())),OFFSET($BN$2,0,0,ROW()-1,60),ROW()-1,FALSE))</f>
        <v/>
      </c>
      <c r="BD18" t="str">
        <f ca="1">IF(AND(ISNUMBER($BD$273),$B$258=1),$BD$273,HLOOKUP(INDIRECT(ADDRESS(2,COLUMN())),OFFSET($BN$2,0,0,ROW()-1,60),ROW()-1,FALSE))</f>
        <v/>
      </c>
      <c r="BE18" t="str">
        <f ca="1">IF(AND(ISNUMBER($BE$273),$B$258=1),$BE$273,HLOOKUP(INDIRECT(ADDRESS(2,COLUMN())),OFFSET($BN$2,0,0,ROW()-1,60),ROW()-1,FALSE))</f>
        <v/>
      </c>
      <c r="BF18" t="str">
        <f ca="1">IF(AND(ISNUMBER($BF$273),$B$258=1),$BF$273,HLOOKUP(INDIRECT(ADDRESS(2,COLUMN())),OFFSET($BN$2,0,0,ROW()-1,60),ROW()-1,FALSE))</f>
        <v/>
      </c>
      <c r="BG18" t="str">
        <f ca="1">IF(AND(ISNUMBER($BG$273),$B$258=1),$BG$273,HLOOKUP(INDIRECT(ADDRESS(2,COLUMN())),OFFSET($BN$2,0,0,ROW()-1,60),ROW()-1,FALSE))</f>
        <v/>
      </c>
      <c r="BH18" t="str">
        <f ca="1">IF(AND(ISNUMBER($BH$273),$B$258=1),$BH$273,HLOOKUP(INDIRECT(ADDRESS(2,COLUMN())),OFFSET($BN$2,0,0,ROW()-1,60),ROW()-1,FALSE))</f>
        <v/>
      </c>
      <c r="BI18" t="str">
        <f ca="1">IF(AND(ISNUMBER($BI$273),$B$258=1),$BI$273,HLOOKUP(INDIRECT(ADDRESS(2,COLUMN())),OFFSET($BN$2,0,0,ROW()-1,60),ROW()-1,FALSE))</f>
        <v/>
      </c>
      <c r="BJ18" t="str">
        <f ca="1">IF(AND(ISNUMBER($BJ$273),$B$258=1),$BJ$273,HLOOKUP(INDIRECT(ADDRESS(2,COLUMN())),OFFSET($BN$2,0,0,ROW()-1,60),ROW()-1,FALSE))</f>
        <v/>
      </c>
      <c r="BK18" t="str">
        <f ca="1">IF(AND(ISNUMBER($BK$273),$B$258=1),$BK$273,HLOOKUP(INDIRECT(ADDRESS(2,COLUMN())),OFFSET($BN$2,0,0,ROW()-1,60),ROW()-1,FALSE))</f>
        <v/>
      </c>
      <c r="BL18" t="str">
        <f ca="1">IF(AND(ISNUMBER($BL$273),$B$258=1),$BL$273,HLOOKUP(INDIRECT(ADDRESS(2,COLUMN())),OFFSET($BN$2,0,0,ROW()-1,60),ROW()-1,FALSE))</f>
        <v/>
      </c>
      <c r="BM18" t="str">
        <f ca="1">IF(AND(ISNUMBER($BM$273),$B$258=1),$BM$273,HLOOKUP(INDIRECT(ADDRESS(2,COLUMN())),OFFSET($BN$2,0,0,ROW()-1,60),ROW()-1,FALSE))</f>
        <v/>
      </c>
      <c r="BN18" t="str">
        <f>""</f>
        <v/>
      </c>
      <c r="BO18">
        <f>401.294</f>
        <v>401.29399999999998</v>
      </c>
      <c r="BP18">
        <f>405.389</f>
        <v>405.38900000000001</v>
      </c>
      <c r="BQ18">
        <f>402.8</f>
        <v>402.8</v>
      </c>
      <c r="BR18">
        <f>440.162</f>
        <v>440.16199999999998</v>
      </c>
      <c r="BS18">
        <f>487.875</f>
        <v>487.875</v>
      </c>
      <c r="BT18">
        <f>475.266</f>
        <v>475.26600000000002</v>
      </c>
      <c r="BU18">
        <f>472.017</f>
        <v>472.017</v>
      </c>
      <c r="BV18">
        <f>471.053</f>
        <v>471.053</v>
      </c>
      <c r="BW18">
        <f>465.405</f>
        <v>465.40499999999997</v>
      </c>
      <c r="BX18">
        <f>604.573</f>
        <v>604.57299999999998</v>
      </c>
      <c r="BY18">
        <f>539.753</f>
        <v>539.75300000000004</v>
      </c>
      <c r="BZ18">
        <f>547.173</f>
        <v>547.173</v>
      </c>
      <c r="CA18">
        <f>550.897</f>
        <v>550.89700000000005</v>
      </c>
      <c r="CB18">
        <f>549.351</f>
        <v>549.351</v>
      </c>
      <c r="CC18">
        <f>491.63</f>
        <v>491.63</v>
      </c>
      <c r="CD18">
        <f>487.413</f>
        <v>487.41300000000001</v>
      </c>
      <c r="CE18">
        <f>486.925</f>
        <v>486.92500000000001</v>
      </c>
      <c r="CF18">
        <f>477.695</f>
        <v>477.69499999999999</v>
      </c>
      <c r="CG18">
        <f>472.449</f>
        <v>472.44900000000001</v>
      </c>
      <c r="CH18">
        <f>474.155</f>
        <v>474.15499999999997</v>
      </c>
      <c r="CI18">
        <f>465.534</f>
        <v>465.53399999999999</v>
      </c>
      <c r="CJ18">
        <f>433.903</f>
        <v>433.90300000000002</v>
      </c>
      <c r="CK18">
        <f>435.148</f>
        <v>435.14800000000002</v>
      </c>
      <c r="CL18">
        <f>431.865</f>
        <v>431.86500000000001</v>
      </c>
      <c r="CM18">
        <f>434.654</f>
        <v>434.654</v>
      </c>
      <c r="CN18">
        <f>416.279</f>
        <v>416.279</v>
      </c>
      <c r="CO18">
        <f>404.654</f>
        <v>404.654</v>
      </c>
      <c r="CP18">
        <f>268.981</f>
        <v>268.98099999999999</v>
      </c>
      <c r="CQ18">
        <f>266.04</f>
        <v>266.04000000000002</v>
      </c>
      <c r="CR18">
        <f>255.984</f>
        <v>255.98400000000001</v>
      </c>
      <c r="CS18">
        <f>242.363</f>
        <v>242.363</v>
      </c>
      <c r="CT18">
        <f>236.485</f>
        <v>236.48500000000001</v>
      </c>
      <c r="CU18">
        <f>234.511</f>
        <v>234.511</v>
      </c>
      <c r="CV18">
        <f>229.342</f>
        <v>229.34200000000001</v>
      </c>
      <c r="CW18">
        <f>243.026</f>
        <v>243.02600000000001</v>
      </c>
      <c r="CX18">
        <f>225.151</f>
        <v>225.15100000000001</v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  <c r="DT18" t="str">
        <f>""</f>
        <v/>
      </c>
      <c r="DU18" t="str">
        <f>""</f>
        <v/>
      </c>
    </row>
    <row r="19" spans="1:125">
      <c r="A19" t="str">
        <f>"    Healthcare Realty Trust Inc"</f>
        <v xml:space="preserve">    Healthcare Realty Trust Inc</v>
      </c>
      <c r="B19" t="str">
        <f>"HR US Equity"</f>
        <v>HR US Equity</v>
      </c>
      <c r="C19" t="str">
        <f t="shared" si="3"/>
        <v>IM275</v>
      </c>
      <c r="D19" t="str">
        <f t="shared" si="4"/>
        <v>IS_OTHER_RENTAL_INCOME</v>
      </c>
      <c r="E19" t="str">
        <f t="shared" si="5"/>
        <v>动态</v>
      </c>
      <c r="F19" t="str">
        <f ca="1">IF(AND(ISNUMBER($F$274),$B$258=1),$F$274,HLOOKUP(INDIRECT(ADDRESS(2,COLUMN())),OFFSET($BN$2,0,0,ROW()-1,60),ROW()-1,FALSE))</f>
        <v/>
      </c>
      <c r="G19" t="str">
        <f ca="1">IF(AND(ISNUMBER($G$274),$B$258=1),$G$274,HLOOKUP(INDIRECT(ADDRESS(2,COLUMN())),OFFSET($BN$2,0,0,ROW()-1,60),ROW()-1,FALSE))</f>
        <v/>
      </c>
      <c r="H19" t="str">
        <f ca="1">IF(AND(ISNUMBER($H$274),$B$258=1),$H$274,HLOOKUP(INDIRECT(ADDRESS(2,COLUMN())),OFFSET($BN$2,0,0,ROW()-1,60),ROW()-1,FALSE))</f>
        <v/>
      </c>
      <c r="I19" t="str">
        <f ca="1">IF(AND(ISNUMBER($I$274),$B$258=1),$I$274,HLOOKUP(INDIRECT(ADDRESS(2,COLUMN())),OFFSET($BN$2,0,0,ROW()-1,60),ROW()-1,FALSE))</f>
        <v/>
      </c>
      <c r="J19" t="str">
        <f ca="1">IF(AND(ISNUMBER($J$274),$B$258=1),$J$274,HLOOKUP(INDIRECT(ADDRESS(2,COLUMN())),OFFSET($BN$2,0,0,ROW()-1,60),ROW()-1,FALSE))</f>
        <v/>
      </c>
      <c r="K19" t="str">
        <f ca="1">IF(AND(ISNUMBER($K$274),$B$258=1),$K$274,HLOOKUP(INDIRECT(ADDRESS(2,COLUMN())),OFFSET($BN$2,0,0,ROW()-1,60),ROW()-1,FALSE))</f>
        <v/>
      </c>
      <c r="L19" t="str">
        <f ca="1">IF(AND(ISNUMBER($L$274),$B$258=1),$L$274,HLOOKUP(INDIRECT(ADDRESS(2,COLUMN())),OFFSET($BN$2,0,0,ROW()-1,60),ROW()-1,FALSE))</f>
        <v/>
      </c>
      <c r="M19" t="str">
        <f ca="1">IF(AND(ISNUMBER($M$274),$B$258=1),$M$274,HLOOKUP(INDIRECT(ADDRESS(2,COLUMN())),OFFSET($BN$2,0,0,ROW()-1,60),ROW()-1,FALSE))</f>
        <v/>
      </c>
      <c r="N19" t="str">
        <f ca="1">IF(AND(ISNUMBER($N$274),$B$258=1),$N$274,HLOOKUP(INDIRECT(ADDRESS(2,COLUMN())),OFFSET($BN$2,0,0,ROW()-1,60),ROW()-1,FALSE))</f>
        <v/>
      </c>
      <c r="O19" t="str">
        <f ca="1">IF(AND(ISNUMBER($O$274),$B$258=1),$O$274,HLOOKUP(INDIRECT(ADDRESS(2,COLUMN())),OFFSET($BN$2,0,0,ROW()-1,60),ROW()-1,FALSE))</f>
        <v/>
      </c>
      <c r="P19" t="str">
        <f ca="1">IF(AND(ISNUMBER($P$274),$B$258=1),$P$274,HLOOKUP(INDIRECT(ADDRESS(2,COLUMN())),OFFSET($BN$2,0,0,ROW()-1,60),ROW()-1,FALSE))</f>
        <v/>
      </c>
      <c r="Q19" t="str">
        <f ca="1">IF(AND(ISNUMBER($Q$274),$B$258=1),$Q$274,HLOOKUP(INDIRECT(ADDRESS(2,COLUMN())),OFFSET($BN$2,0,0,ROW()-1,60),ROW()-1,FALSE))</f>
        <v/>
      </c>
      <c r="R19" t="str">
        <f ca="1">IF(AND(ISNUMBER($R$274),$B$258=1),$R$274,HLOOKUP(INDIRECT(ADDRESS(2,COLUMN())),OFFSET($BN$2,0,0,ROW()-1,60),ROW()-1,FALSE))</f>
        <v/>
      </c>
      <c r="S19" t="str">
        <f ca="1">IF(AND(ISNUMBER($S$274),$B$258=1),$S$274,HLOOKUP(INDIRECT(ADDRESS(2,COLUMN())),OFFSET($BN$2,0,0,ROW()-1,60),ROW()-1,FALSE))</f>
        <v/>
      </c>
      <c r="T19" t="str">
        <f ca="1">IF(AND(ISNUMBER($T$274),$B$258=1),$T$274,HLOOKUP(INDIRECT(ADDRESS(2,COLUMN())),OFFSET($BN$2,0,0,ROW()-1,60),ROW()-1,FALSE))</f>
        <v/>
      </c>
      <c r="U19" t="str">
        <f ca="1">IF(AND(ISNUMBER($U$274),$B$258=1),$U$274,HLOOKUP(INDIRECT(ADDRESS(2,COLUMN())),OFFSET($BN$2,0,0,ROW()-1,60),ROW()-1,FALSE))</f>
        <v/>
      </c>
      <c r="V19" t="str">
        <f ca="1">IF(AND(ISNUMBER($V$274),$B$258=1),$V$274,HLOOKUP(INDIRECT(ADDRESS(2,COLUMN())),OFFSET($BN$2,0,0,ROW()-1,60),ROW()-1,FALSE))</f>
        <v/>
      </c>
      <c r="W19" t="str">
        <f ca="1">IF(AND(ISNUMBER($W$274),$B$258=1),$W$274,HLOOKUP(INDIRECT(ADDRESS(2,COLUMN())),OFFSET($BN$2,0,0,ROW()-1,60),ROW()-1,FALSE))</f>
        <v/>
      </c>
      <c r="X19" t="str">
        <f ca="1">IF(AND(ISNUMBER($X$274),$B$258=1),$X$274,HLOOKUP(INDIRECT(ADDRESS(2,COLUMN())),OFFSET($BN$2,0,0,ROW()-1,60),ROW()-1,FALSE))</f>
        <v/>
      </c>
      <c r="Y19" t="str">
        <f ca="1">IF(AND(ISNUMBER($Y$274),$B$258=1),$Y$274,HLOOKUP(INDIRECT(ADDRESS(2,COLUMN())),OFFSET($BN$2,0,0,ROW()-1,60),ROW()-1,FALSE))</f>
        <v/>
      </c>
      <c r="Z19" t="str">
        <f ca="1">IF(AND(ISNUMBER($Z$274),$B$258=1),$Z$274,HLOOKUP(INDIRECT(ADDRESS(2,COLUMN())),OFFSET($BN$2,0,0,ROW()-1,60),ROW()-1,FALSE))</f>
        <v/>
      </c>
      <c r="AA19" t="str">
        <f ca="1">IF(AND(ISNUMBER($AA$274),$B$258=1),$AA$274,HLOOKUP(INDIRECT(ADDRESS(2,COLUMN())),OFFSET($BN$2,0,0,ROW()-1,60),ROW()-1,FALSE))</f>
        <v/>
      </c>
      <c r="AB19" t="str">
        <f ca="1">IF(AND(ISNUMBER($AB$274),$B$258=1),$AB$274,HLOOKUP(INDIRECT(ADDRESS(2,COLUMN())),OFFSET($BN$2,0,0,ROW()-1,60),ROW()-1,FALSE))</f>
        <v/>
      </c>
      <c r="AC19" t="str">
        <f ca="1">IF(AND(ISNUMBER($AC$274),$B$258=1),$AC$274,HLOOKUP(INDIRECT(ADDRESS(2,COLUMN())),OFFSET($BN$2,0,0,ROW()-1,60),ROW()-1,FALSE))</f>
        <v/>
      </c>
      <c r="AD19" t="str">
        <f ca="1">IF(AND(ISNUMBER($AD$274),$B$258=1),$AD$274,HLOOKUP(INDIRECT(ADDRESS(2,COLUMN())),OFFSET($BN$2,0,0,ROW()-1,60),ROW()-1,FALSE))</f>
        <v/>
      </c>
      <c r="AE19" t="str">
        <f ca="1">IF(AND(ISNUMBER($AE$274),$B$258=1),$AE$274,HLOOKUP(INDIRECT(ADDRESS(2,COLUMN())),OFFSET($BN$2,0,0,ROW()-1,60),ROW()-1,FALSE))</f>
        <v/>
      </c>
      <c r="AF19" t="str">
        <f ca="1">IF(AND(ISNUMBER($AF$274),$B$258=1),$AF$274,HLOOKUP(INDIRECT(ADDRESS(2,COLUMN())),OFFSET($BN$2,0,0,ROW()-1,60),ROW()-1,FALSE))</f>
        <v/>
      </c>
      <c r="AG19" t="str">
        <f ca="1">IF(AND(ISNUMBER($AG$274),$B$258=1),$AG$274,HLOOKUP(INDIRECT(ADDRESS(2,COLUMN())),OFFSET($BN$2,0,0,ROW()-1,60),ROW()-1,FALSE))</f>
        <v/>
      </c>
      <c r="AH19" t="str">
        <f ca="1">IF(AND(ISNUMBER($AH$274),$B$258=1),$AH$274,HLOOKUP(INDIRECT(ADDRESS(2,COLUMN())),OFFSET($BN$2,0,0,ROW()-1,60),ROW()-1,FALSE))</f>
        <v/>
      </c>
      <c r="AI19" t="str">
        <f ca="1">IF(AND(ISNUMBER($AI$274),$B$258=1),$AI$274,HLOOKUP(INDIRECT(ADDRESS(2,COLUMN())),OFFSET($BN$2,0,0,ROW()-1,60),ROW()-1,FALSE))</f>
        <v/>
      </c>
      <c r="AJ19" t="str">
        <f ca="1">IF(AND(ISNUMBER($AJ$274),$B$258=1),$AJ$274,HLOOKUP(INDIRECT(ADDRESS(2,COLUMN())),OFFSET($BN$2,0,0,ROW()-1,60),ROW()-1,FALSE))</f>
        <v/>
      </c>
      <c r="AK19" t="str">
        <f ca="1">IF(AND(ISNUMBER($AK$274),$B$258=1),$AK$274,HLOOKUP(INDIRECT(ADDRESS(2,COLUMN())),OFFSET($BN$2,0,0,ROW()-1,60),ROW()-1,FALSE))</f>
        <v/>
      </c>
      <c r="AL19" t="str">
        <f ca="1">IF(AND(ISNUMBER($AL$274),$B$258=1),$AL$274,HLOOKUP(INDIRECT(ADDRESS(2,COLUMN())),OFFSET($BN$2,0,0,ROW()-1,60),ROW()-1,FALSE))</f>
        <v/>
      </c>
      <c r="AM19" t="str">
        <f ca="1">IF(AND(ISNUMBER($AM$274),$B$258=1),$AM$274,HLOOKUP(INDIRECT(ADDRESS(2,COLUMN())),OFFSET($BN$2,0,0,ROW()-1,60),ROW()-1,FALSE))</f>
        <v/>
      </c>
      <c r="AN19" t="str">
        <f ca="1">IF(AND(ISNUMBER($AN$274),$B$258=1),$AN$274,HLOOKUP(INDIRECT(ADDRESS(2,COLUMN())),OFFSET($BN$2,0,0,ROW()-1,60),ROW()-1,FALSE))</f>
        <v/>
      </c>
      <c r="AO19" t="str">
        <f ca="1">IF(AND(ISNUMBER($AO$274),$B$258=1),$AO$274,HLOOKUP(INDIRECT(ADDRESS(2,COLUMN())),OFFSET($BN$2,0,0,ROW()-1,60),ROW()-1,FALSE))</f>
        <v/>
      </c>
      <c r="AP19" t="str">
        <f ca="1">IF(AND(ISNUMBER($AP$274),$B$258=1),$AP$274,HLOOKUP(INDIRECT(ADDRESS(2,COLUMN())),OFFSET($BN$2,0,0,ROW()-1,60),ROW()-1,FALSE))</f>
        <v/>
      </c>
      <c r="AQ19" t="str">
        <f ca="1">IF(AND(ISNUMBER($AQ$274),$B$258=1),$AQ$274,HLOOKUP(INDIRECT(ADDRESS(2,COLUMN())),OFFSET($BN$2,0,0,ROW()-1,60),ROW()-1,FALSE))</f>
        <v/>
      </c>
      <c r="AR19" t="str">
        <f ca="1">IF(AND(ISNUMBER($AR$274),$B$258=1),$AR$274,HLOOKUP(INDIRECT(ADDRESS(2,COLUMN())),OFFSET($BN$2,0,0,ROW()-1,60),ROW()-1,FALSE))</f>
        <v/>
      </c>
      <c r="AS19" t="str">
        <f ca="1">IF(AND(ISNUMBER($AS$274),$B$258=1),$AS$274,HLOOKUP(INDIRECT(ADDRESS(2,COLUMN())),OFFSET($BN$2,0,0,ROW()-1,60),ROW()-1,FALSE))</f>
        <v/>
      </c>
      <c r="AT19" t="str">
        <f ca="1">IF(AND(ISNUMBER($AT$274),$B$258=1),$AT$274,HLOOKUP(INDIRECT(ADDRESS(2,COLUMN())),OFFSET($BN$2,0,0,ROW()-1,60),ROW()-1,FALSE))</f>
        <v/>
      </c>
      <c r="AU19" t="str">
        <f ca="1">IF(AND(ISNUMBER($AU$274),$B$258=1),$AU$274,HLOOKUP(INDIRECT(ADDRESS(2,COLUMN())),OFFSET($BN$2,0,0,ROW()-1,60),ROW()-1,FALSE))</f>
        <v/>
      </c>
      <c r="AV19" t="str">
        <f ca="1">IF(AND(ISNUMBER($AV$274),$B$258=1),$AV$274,HLOOKUP(INDIRECT(ADDRESS(2,COLUMN())),OFFSET($BN$2,0,0,ROW()-1,60),ROW()-1,FALSE))</f>
        <v/>
      </c>
      <c r="AW19" t="str">
        <f ca="1">IF(AND(ISNUMBER($AW$274),$B$258=1),$AW$274,HLOOKUP(INDIRECT(ADDRESS(2,COLUMN())),OFFSET($BN$2,0,0,ROW()-1,60),ROW()-1,FALSE))</f>
        <v/>
      </c>
      <c r="AX19" t="str">
        <f ca="1">IF(AND(ISNUMBER($AX$274),$B$258=1),$AX$274,HLOOKUP(INDIRECT(ADDRESS(2,COLUMN())),OFFSET($BN$2,0,0,ROW()-1,60),ROW()-1,FALSE))</f>
        <v/>
      </c>
      <c r="AY19" t="str">
        <f ca="1">IF(AND(ISNUMBER($AY$274),$B$258=1),$AY$274,HLOOKUP(INDIRECT(ADDRESS(2,COLUMN())),OFFSET($BN$2,0,0,ROW()-1,60),ROW()-1,FALSE))</f>
        <v/>
      </c>
      <c r="AZ19" t="str">
        <f ca="1">IF(AND(ISNUMBER($AZ$274),$B$258=1),$AZ$274,HLOOKUP(INDIRECT(ADDRESS(2,COLUMN())),OFFSET($BN$2,0,0,ROW()-1,60),ROW()-1,FALSE))</f>
        <v/>
      </c>
      <c r="BA19" t="str">
        <f ca="1">IF(AND(ISNUMBER($BA$274),$B$258=1),$BA$274,HLOOKUP(INDIRECT(ADDRESS(2,COLUMN())),OFFSET($BN$2,0,0,ROW()-1,60),ROW()-1,FALSE))</f>
        <v/>
      </c>
      <c r="BB19" t="str">
        <f ca="1">IF(AND(ISNUMBER($BB$274),$B$258=1),$BB$274,HLOOKUP(INDIRECT(ADDRESS(2,COLUMN())),OFFSET($BN$2,0,0,ROW()-1,60),ROW()-1,FALSE))</f>
        <v/>
      </c>
      <c r="BC19" t="str">
        <f ca="1">IF(AND(ISNUMBER($BC$274),$B$258=1),$BC$274,HLOOKUP(INDIRECT(ADDRESS(2,COLUMN())),OFFSET($BN$2,0,0,ROW()-1,60),ROW()-1,FALSE))</f>
        <v/>
      </c>
      <c r="BD19" t="str">
        <f ca="1">IF(AND(ISNUMBER($BD$274),$B$258=1),$BD$274,HLOOKUP(INDIRECT(ADDRESS(2,COLUMN())),OFFSET($BN$2,0,0,ROW()-1,60),ROW()-1,FALSE))</f>
        <v/>
      </c>
      <c r="BE19" t="str">
        <f ca="1">IF(AND(ISNUMBER($BE$274),$B$258=1),$BE$274,HLOOKUP(INDIRECT(ADDRESS(2,COLUMN())),OFFSET($BN$2,0,0,ROW()-1,60),ROW()-1,FALSE))</f>
        <v/>
      </c>
      <c r="BF19" t="str">
        <f ca="1">IF(AND(ISNUMBER($BF$274),$B$258=1),$BF$274,HLOOKUP(INDIRECT(ADDRESS(2,COLUMN())),OFFSET($BN$2,0,0,ROW()-1,60),ROW()-1,FALSE))</f>
        <v/>
      </c>
      <c r="BG19" t="str">
        <f ca="1">IF(AND(ISNUMBER($BG$274),$B$258=1),$BG$274,HLOOKUP(INDIRECT(ADDRESS(2,COLUMN())),OFFSET($BN$2,0,0,ROW()-1,60),ROW()-1,FALSE))</f>
        <v/>
      </c>
      <c r="BH19" t="str">
        <f ca="1">IF(AND(ISNUMBER($BH$274),$B$258=1),$BH$274,HLOOKUP(INDIRECT(ADDRESS(2,COLUMN())),OFFSET($BN$2,0,0,ROW()-1,60),ROW()-1,FALSE))</f>
        <v/>
      </c>
      <c r="BI19" t="str">
        <f ca="1">IF(AND(ISNUMBER($BI$274),$B$258=1),$BI$274,HLOOKUP(INDIRECT(ADDRESS(2,COLUMN())),OFFSET($BN$2,0,0,ROW()-1,60),ROW()-1,FALSE))</f>
        <v/>
      </c>
      <c r="BJ19" t="str">
        <f ca="1">IF(AND(ISNUMBER($BJ$274),$B$258=1),$BJ$274,HLOOKUP(INDIRECT(ADDRESS(2,COLUMN())),OFFSET($BN$2,0,0,ROW()-1,60),ROW()-1,FALSE))</f>
        <v/>
      </c>
      <c r="BK19" t="str">
        <f ca="1">IF(AND(ISNUMBER($BK$274),$B$258=1),$BK$274,HLOOKUP(INDIRECT(ADDRESS(2,COLUMN())),OFFSET($BN$2,0,0,ROW()-1,60),ROW()-1,FALSE))</f>
        <v/>
      </c>
      <c r="BL19" t="str">
        <f ca="1">IF(AND(ISNUMBER($BL$274),$B$258=1),$BL$274,HLOOKUP(INDIRECT(ADDRESS(2,COLUMN())),OFFSET($BN$2,0,0,ROW()-1,60),ROW()-1,FALSE))</f>
        <v/>
      </c>
      <c r="BM19" t="str">
        <f ca="1">IF(AND(ISNUMBER($BM$274),$B$258=1),$BM$274,HLOOKUP(INDIRECT(ADDRESS(2,COLUMN())),OFFSET($BN$2,0,0,ROW()-1,60),ROW()-1,FALSE))</f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A20" t="str">
        <f>"    Healthcare Trust of America In"</f>
        <v xml:space="preserve">    Healthcare Trust of America In</v>
      </c>
      <c r="B20" t="str">
        <f>"HTA US Equity"</f>
        <v>HTA US Equity</v>
      </c>
      <c r="C20" t="str">
        <f t="shared" si="3"/>
        <v>IM275</v>
      </c>
      <c r="D20" t="str">
        <f t="shared" si="4"/>
        <v>IS_OTHER_RENTAL_INCOME</v>
      </c>
      <c r="E20" t="str">
        <f t="shared" si="5"/>
        <v>动态</v>
      </c>
      <c r="F20" t="str">
        <f ca="1">IF(AND(ISNUMBER($F$275),$B$258=1),$F$275,HLOOKUP(INDIRECT(ADDRESS(2,COLUMN())),OFFSET($BN$2,0,0,ROW()-1,60),ROW()-1,FALSE))</f>
        <v/>
      </c>
      <c r="G20" t="str">
        <f ca="1">IF(AND(ISNUMBER($G$275),$B$258=1),$G$275,HLOOKUP(INDIRECT(ADDRESS(2,COLUMN())),OFFSET($BN$2,0,0,ROW()-1,60),ROW()-1,FALSE))</f>
        <v/>
      </c>
      <c r="H20" t="str">
        <f ca="1">IF(AND(ISNUMBER($H$275),$B$258=1),$H$275,HLOOKUP(INDIRECT(ADDRESS(2,COLUMN())),OFFSET($BN$2,0,0,ROW()-1,60),ROW()-1,FALSE))</f>
        <v/>
      </c>
      <c r="I20" t="str">
        <f ca="1">IF(AND(ISNUMBER($I$275),$B$258=1),$I$275,HLOOKUP(INDIRECT(ADDRESS(2,COLUMN())),OFFSET($BN$2,0,0,ROW()-1,60),ROW()-1,FALSE))</f>
        <v/>
      </c>
      <c r="J20" t="str">
        <f ca="1">IF(AND(ISNUMBER($J$275),$B$258=1),$J$275,HLOOKUP(INDIRECT(ADDRESS(2,COLUMN())),OFFSET($BN$2,0,0,ROW()-1,60),ROW()-1,FALSE))</f>
        <v/>
      </c>
      <c r="K20" t="str">
        <f ca="1">IF(AND(ISNUMBER($K$275),$B$258=1),$K$275,HLOOKUP(INDIRECT(ADDRESS(2,COLUMN())),OFFSET($BN$2,0,0,ROW()-1,60),ROW()-1,FALSE))</f>
        <v/>
      </c>
      <c r="L20" t="str">
        <f ca="1">IF(AND(ISNUMBER($L$275),$B$258=1),$L$275,HLOOKUP(INDIRECT(ADDRESS(2,COLUMN())),OFFSET($BN$2,0,0,ROW()-1,60),ROW()-1,FALSE))</f>
        <v/>
      </c>
      <c r="M20" t="str">
        <f ca="1">IF(AND(ISNUMBER($M$275),$B$258=1),$M$275,HLOOKUP(INDIRECT(ADDRESS(2,COLUMN())),OFFSET($BN$2,0,0,ROW()-1,60),ROW()-1,FALSE))</f>
        <v/>
      </c>
      <c r="N20" t="str">
        <f ca="1">IF(AND(ISNUMBER($N$275),$B$258=1),$N$275,HLOOKUP(INDIRECT(ADDRESS(2,COLUMN())),OFFSET($BN$2,0,0,ROW()-1,60),ROW()-1,FALSE))</f>
        <v/>
      </c>
      <c r="O20" t="str">
        <f ca="1">IF(AND(ISNUMBER($O$275),$B$258=1),$O$275,HLOOKUP(INDIRECT(ADDRESS(2,COLUMN())),OFFSET($BN$2,0,0,ROW()-1,60),ROW()-1,FALSE))</f>
        <v/>
      </c>
      <c r="P20" t="str">
        <f ca="1">IF(AND(ISNUMBER($P$275),$B$258=1),$P$275,HLOOKUP(INDIRECT(ADDRESS(2,COLUMN())),OFFSET($BN$2,0,0,ROW()-1,60),ROW()-1,FALSE))</f>
        <v/>
      </c>
      <c r="Q20" t="str">
        <f ca="1">IF(AND(ISNUMBER($Q$275),$B$258=1),$Q$275,HLOOKUP(INDIRECT(ADDRESS(2,COLUMN())),OFFSET($BN$2,0,0,ROW()-1,60),ROW()-1,FALSE))</f>
        <v/>
      </c>
      <c r="R20" t="str">
        <f ca="1">IF(AND(ISNUMBER($R$275),$B$258=1),$R$275,HLOOKUP(INDIRECT(ADDRESS(2,COLUMN())),OFFSET($BN$2,0,0,ROW()-1,60),ROW()-1,FALSE))</f>
        <v/>
      </c>
      <c r="S20" t="str">
        <f ca="1">IF(AND(ISNUMBER($S$275),$B$258=1),$S$275,HLOOKUP(INDIRECT(ADDRESS(2,COLUMN())),OFFSET($BN$2,0,0,ROW()-1,60),ROW()-1,FALSE))</f>
        <v/>
      </c>
      <c r="T20" t="str">
        <f ca="1">IF(AND(ISNUMBER($T$275),$B$258=1),$T$275,HLOOKUP(INDIRECT(ADDRESS(2,COLUMN())),OFFSET($BN$2,0,0,ROW()-1,60),ROW()-1,FALSE))</f>
        <v/>
      </c>
      <c r="U20" t="str">
        <f ca="1">IF(AND(ISNUMBER($U$275),$B$258=1),$U$275,HLOOKUP(INDIRECT(ADDRESS(2,COLUMN())),OFFSET($BN$2,0,0,ROW()-1,60),ROW()-1,FALSE))</f>
        <v/>
      </c>
      <c r="V20" t="str">
        <f ca="1">IF(AND(ISNUMBER($V$275),$B$258=1),$V$275,HLOOKUP(INDIRECT(ADDRESS(2,COLUMN())),OFFSET($BN$2,0,0,ROW()-1,60),ROW()-1,FALSE))</f>
        <v/>
      </c>
      <c r="W20" t="str">
        <f ca="1">IF(AND(ISNUMBER($W$275),$B$258=1),$W$275,HLOOKUP(INDIRECT(ADDRESS(2,COLUMN())),OFFSET($BN$2,0,0,ROW()-1,60),ROW()-1,FALSE))</f>
        <v/>
      </c>
      <c r="X20" t="str">
        <f ca="1">IF(AND(ISNUMBER($X$275),$B$258=1),$X$275,HLOOKUP(INDIRECT(ADDRESS(2,COLUMN())),OFFSET($BN$2,0,0,ROW()-1,60),ROW()-1,FALSE))</f>
        <v/>
      </c>
      <c r="Y20" t="str">
        <f ca="1">IF(AND(ISNUMBER($Y$275),$B$258=1),$Y$275,HLOOKUP(INDIRECT(ADDRESS(2,COLUMN())),OFFSET($BN$2,0,0,ROW()-1,60),ROW()-1,FALSE))</f>
        <v/>
      </c>
      <c r="Z20" t="str">
        <f ca="1">IF(AND(ISNUMBER($Z$275),$B$258=1),$Z$275,HLOOKUP(INDIRECT(ADDRESS(2,COLUMN())),OFFSET($BN$2,0,0,ROW()-1,60),ROW()-1,FALSE))</f>
        <v/>
      </c>
      <c r="AA20" t="str">
        <f ca="1">IF(AND(ISNUMBER($AA$275),$B$258=1),$AA$275,HLOOKUP(INDIRECT(ADDRESS(2,COLUMN())),OFFSET($BN$2,0,0,ROW()-1,60),ROW()-1,FALSE))</f>
        <v/>
      </c>
      <c r="AB20" t="str">
        <f ca="1">IF(AND(ISNUMBER($AB$275),$B$258=1),$AB$275,HLOOKUP(INDIRECT(ADDRESS(2,COLUMN())),OFFSET($BN$2,0,0,ROW()-1,60),ROW()-1,FALSE))</f>
        <v/>
      </c>
      <c r="AC20" t="str">
        <f ca="1">IF(AND(ISNUMBER($AC$275),$B$258=1),$AC$275,HLOOKUP(INDIRECT(ADDRESS(2,COLUMN())),OFFSET($BN$2,0,0,ROW()-1,60),ROW()-1,FALSE))</f>
        <v/>
      </c>
      <c r="AD20" t="str">
        <f ca="1">IF(AND(ISNUMBER($AD$275),$B$258=1),$AD$275,HLOOKUP(INDIRECT(ADDRESS(2,COLUMN())),OFFSET($BN$2,0,0,ROW()-1,60),ROW()-1,FALSE))</f>
        <v/>
      </c>
      <c r="AE20" t="str">
        <f ca="1">IF(AND(ISNUMBER($AE$275),$B$258=1),$AE$275,HLOOKUP(INDIRECT(ADDRESS(2,COLUMN())),OFFSET($BN$2,0,0,ROW()-1,60),ROW()-1,FALSE))</f>
        <v/>
      </c>
      <c r="AF20" t="str">
        <f ca="1">IF(AND(ISNUMBER($AF$275),$B$258=1),$AF$275,HLOOKUP(INDIRECT(ADDRESS(2,COLUMN())),OFFSET($BN$2,0,0,ROW()-1,60),ROW()-1,FALSE))</f>
        <v/>
      </c>
      <c r="AG20" t="str">
        <f ca="1">IF(AND(ISNUMBER($AG$275),$B$258=1),$AG$275,HLOOKUP(INDIRECT(ADDRESS(2,COLUMN())),OFFSET($BN$2,0,0,ROW()-1,60),ROW()-1,FALSE))</f>
        <v/>
      </c>
      <c r="AH20" t="str">
        <f ca="1">IF(AND(ISNUMBER($AH$275),$B$258=1),$AH$275,HLOOKUP(INDIRECT(ADDRESS(2,COLUMN())),OFFSET($BN$2,0,0,ROW()-1,60),ROW()-1,FALSE))</f>
        <v/>
      </c>
      <c r="AI20" t="str">
        <f ca="1">IF(AND(ISNUMBER($AI$275),$B$258=1),$AI$275,HLOOKUP(INDIRECT(ADDRESS(2,COLUMN())),OFFSET($BN$2,0,0,ROW()-1,60),ROW()-1,FALSE))</f>
        <v/>
      </c>
      <c r="AJ20" t="str">
        <f ca="1">IF(AND(ISNUMBER($AJ$275),$B$258=1),$AJ$275,HLOOKUP(INDIRECT(ADDRESS(2,COLUMN())),OFFSET($BN$2,0,0,ROW()-1,60),ROW()-1,FALSE))</f>
        <v/>
      </c>
      <c r="AK20" t="str">
        <f ca="1">IF(AND(ISNUMBER($AK$275),$B$258=1),$AK$275,HLOOKUP(INDIRECT(ADDRESS(2,COLUMN())),OFFSET($BN$2,0,0,ROW()-1,60),ROW()-1,FALSE))</f>
        <v/>
      </c>
      <c r="AL20" t="str">
        <f ca="1">IF(AND(ISNUMBER($AL$275),$B$258=1),$AL$275,HLOOKUP(INDIRECT(ADDRESS(2,COLUMN())),OFFSET($BN$2,0,0,ROW()-1,60),ROW()-1,FALSE))</f>
        <v/>
      </c>
      <c r="AM20" t="str">
        <f ca="1">IF(AND(ISNUMBER($AM$275),$B$258=1),$AM$275,HLOOKUP(INDIRECT(ADDRESS(2,COLUMN())),OFFSET($BN$2,0,0,ROW()-1,60),ROW()-1,FALSE))</f>
        <v/>
      </c>
      <c r="AN20" t="str">
        <f ca="1">IF(AND(ISNUMBER($AN$275),$B$258=1),$AN$275,HLOOKUP(INDIRECT(ADDRESS(2,COLUMN())),OFFSET($BN$2,0,0,ROW()-1,60),ROW()-1,FALSE))</f>
        <v/>
      </c>
      <c r="AO20" t="str">
        <f ca="1">IF(AND(ISNUMBER($AO$275),$B$258=1),$AO$275,HLOOKUP(INDIRECT(ADDRESS(2,COLUMN())),OFFSET($BN$2,0,0,ROW()-1,60),ROW()-1,FALSE))</f>
        <v/>
      </c>
      <c r="AP20" t="str">
        <f ca="1">IF(AND(ISNUMBER($AP$275),$B$258=1),$AP$275,HLOOKUP(INDIRECT(ADDRESS(2,COLUMN())),OFFSET($BN$2,0,0,ROW()-1,60),ROW()-1,FALSE))</f>
        <v/>
      </c>
      <c r="AQ20" t="str">
        <f ca="1">IF(AND(ISNUMBER($AQ$275),$B$258=1),$AQ$275,HLOOKUP(INDIRECT(ADDRESS(2,COLUMN())),OFFSET($BN$2,0,0,ROW()-1,60),ROW()-1,FALSE))</f>
        <v/>
      </c>
      <c r="AR20" t="str">
        <f ca="1">IF(AND(ISNUMBER($AR$275),$B$258=1),$AR$275,HLOOKUP(INDIRECT(ADDRESS(2,COLUMN())),OFFSET($BN$2,0,0,ROW()-1,60),ROW()-1,FALSE))</f>
        <v/>
      </c>
      <c r="AS20" t="str">
        <f ca="1">IF(AND(ISNUMBER($AS$275),$B$258=1),$AS$275,HLOOKUP(INDIRECT(ADDRESS(2,COLUMN())),OFFSET($BN$2,0,0,ROW()-1,60),ROW()-1,FALSE))</f>
        <v/>
      </c>
      <c r="AT20" t="str">
        <f ca="1">IF(AND(ISNUMBER($AT$275),$B$258=1),$AT$275,HLOOKUP(INDIRECT(ADDRESS(2,COLUMN())),OFFSET($BN$2,0,0,ROW()-1,60),ROW()-1,FALSE))</f>
        <v/>
      </c>
      <c r="AU20" t="str">
        <f ca="1">IF(AND(ISNUMBER($AU$275),$B$258=1),$AU$275,HLOOKUP(INDIRECT(ADDRESS(2,COLUMN())),OFFSET($BN$2,0,0,ROW()-1,60),ROW()-1,FALSE))</f>
        <v/>
      </c>
      <c r="AV20" t="str">
        <f ca="1">IF(AND(ISNUMBER($AV$275),$B$258=1),$AV$275,HLOOKUP(INDIRECT(ADDRESS(2,COLUMN())),OFFSET($BN$2,0,0,ROW()-1,60),ROW()-1,FALSE))</f>
        <v/>
      </c>
      <c r="AW20" t="str">
        <f ca="1">IF(AND(ISNUMBER($AW$275),$B$258=1),$AW$275,HLOOKUP(INDIRECT(ADDRESS(2,COLUMN())),OFFSET($BN$2,0,0,ROW()-1,60),ROW()-1,FALSE))</f>
        <v/>
      </c>
      <c r="AX20" t="str">
        <f ca="1">IF(AND(ISNUMBER($AX$275),$B$258=1),$AX$275,HLOOKUP(INDIRECT(ADDRESS(2,COLUMN())),OFFSET($BN$2,0,0,ROW()-1,60),ROW()-1,FALSE))</f>
        <v/>
      </c>
      <c r="AY20" t="str">
        <f ca="1">IF(AND(ISNUMBER($AY$275),$B$258=1),$AY$275,HLOOKUP(INDIRECT(ADDRESS(2,COLUMN())),OFFSET($BN$2,0,0,ROW()-1,60),ROW()-1,FALSE))</f>
        <v/>
      </c>
      <c r="AZ20" t="str">
        <f ca="1">IF(AND(ISNUMBER($AZ$275),$B$258=1),$AZ$275,HLOOKUP(INDIRECT(ADDRESS(2,COLUMN())),OFFSET($BN$2,0,0,ROW()-1,60),ROW()-1,FALSE))</f>
        <v/>
      </c>
      <c r="BA20" t="str">
        <f ca="1">IF(AND(ISNUMBER($BA$275),$B$258=1),$BA$275,HLOOKUP(INDIRECT(ADDRESS(2,COLUMN())),OFFSET($BN$2,0,0,ROW()-1,60),ROW()-1,FALSE))</f>
        <v/>
      </c>
      <c r="BB20" t="str">
        <f ca="1">IF(AND(ISNUMBER($BB$275),$B$258=1),$BB$275,HLOOKUP(INDIRECT(ADDRESS(2,COLUMN())),OFFSET($BN$2,0,0,ROW()-1,60),ROW()-1,FALSE))</f>
        <v/>
      </c>
      <c r="BC20" t="str">
        <f ca="1">IF(AND(ISNUMBER($BC$275),$B$258=1),$BC$275,HLOOKUP(INDIRECT(ADDRESS(2,COLUMN())),OFFSET($BN$2,0,0,ROW()-1,60),ROW()-1,FALSE))</f>
        <v/>
      </c>
      <c r="BD20" t="str">
        <f ca="1">IF(AND(ISNUMBER($BD$275),$B$258=1),$BD$275,HLOOKUP(INDIRECT(ADDRESS(2,COLUMN())),OFFSET($BN$2,0,0,ROW()-1,60),ROW()-1,FALSE))</f>
        <v/>
      </c>
      <c r="BE20" t="str">
        <f ca="1">IF(AND(ISNUMBER($BE$275),$B$258=1),$BE$275,HLOOKUP(INDIRECT(ADDRESS(2,COLUMN())),OFFSET($BN$2,0,0,ROW()-1,60),ROW()-1,FALSE))</f>
        <v/>
      </c>
      <c r="BF20" t="str">
        <f ca="1">IF(AND(ISNUMBER($BF$275),$B$258=1),$BF$275,HLOOKUP(INDIRECT(ADDRESS(2,COLUMN())),OFFSET($BN$2,0,0,ROW()-1,60),ROW()-1,FALSE))</f>
        <v/>
      </c>
      <c r="BG20" t="str">
        <f ca="1">IF(AND(ISNUMBER($BG$275),$B$258=1),$BG$275,HLOOKUP(INDIRECT(ADDRESS(2,COLUMN())),OFFSET($BN$2,0,0,ROW()-1,60),ROW()-1,FALSE))</f>
        <v/>
      </c>
      <c r="BH20" t="str">
        <f ca="1">IF(AND(ISNUMBER($BH$275),$B$258=1),$BH$275,HLOOKUP(INDIRECT(ADDRESS(2,COLUMN())),OFFSET($BN$2,0,0,ROW()-1,60),ROW()-1,FALSE))</f>
        <v/>
      </c>
      <c r="BI20" t="str">
        <f ca="1">IF(AND(ISNUMBER($BI$275),$B$258=1),$BI$275,HLOOKUP(INDIRECT(ADDRESS(2,COLUMN())),OFFSET($BN$2,0,0,ROW()-1,60),ROW()-1,FALSE))</f>
        <v/>
      </c>
      <c r="BJ20" t="str">
        <f ca="1">IF(AND(ISNUMBER($BJ$275),$B$258=1),$BJ$275,HLOOKUP(INDIRECT(ADDRESS(2,COLUMN())),OFFSET($BN$2,0,0,ROW()-1,60),ROW()-1,FALSE))</f>
        <v/>
      </c>
      <c r="BK20" t="str">
        <f ca="1">IF(AND(ISNUMBER($BK$275),$B$258=1),$BK$275,HLOOKUP(INDIRECT(ADDRESS(2,COLUMN())),OFFSET($BN$2,0,0,ROW()-1,60),ROW()-1,FALSE))</f>
        <v/>
      </c>
      <c r="BL20" t="str">
        <f ca="1">IF(AND(ISNUMBER($BL$275),$B$258=1),$BL$275,HLOOKUP(INDIRECT(ADDRESS(2,COLUMN())),OFFSET($BN$2,0,0,ROW()-1,60),ROW()-1,FALSE))</f>
        <v/>
      </c>
      <c r="BM20" t="str">
        <f ca="1">IF(AND(ISNUMBER($BM$275),$B$258=1),$BM$275,HLOOKUP(INDIRECT(ADDRESS(2,COLUMN())),OFFSET($BN$2,0,0,ROW()-1,60),ROW()-1,FALSE))</f>
        <v/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  <c r="CI20" t="str">
        <f>""</f>
        <v/>
      </c>
      <c r="CJ20" t="str">
        <f>""</f>
        <v/>
      </c>
      <c r="CK20" t="str">
        <f>""</f>
        <v/>
      </c>
      <c r="CL20" t="str">
        <f>""</f>
        <v/>
      </c>
      <c r="CM20" t="str">
        <f>""</f>
        <v/>
      </c>
      <c r="CN20" t="str">
        <f>""</f>
        <v/>
      </c>
      <c r="CO20" t="str">
        <f>""</f>
        <v/>
      </c>
      <c r="CP20" t="str">
        <f>""</f>
        <v/>
      </c>
      <c r="CQ20" t="str">
        <f>""</f>
        <v/>
      </c>
      <c r="CR20" t="str">
        <f>""</f>
        <v/>
      </c>
      <c r="CS20" t="str">
        <f>""</f>
        <v/>
      </c>
      <c r="CT20" t="str">
        <f>""</f>
        <v/>
      </c>
      <c r="CU20" t="str">
        <f>""</f>
        <v/>
      </c>
      <c r="CV20" t="str">
        <f>""</f>
        <v/>
      </c>
      <c r="CW20" t="str">
        <f>""</f>
        <v/>
      </c>
      <c r="CX20" t="str">
        <f>""</f>
        <v/>
      </c>
      <c r="CY20" t="str">
        <f>""</f>
        <v/>
      </c>
      <c r="CZ20" t="str">
        <f>""</f>
        <v/>
      </c>
      <c r="DA20" t="str">
        <f>""</f>
        <v/>
      </c>
      <c r="DB20" t="str">
        <f>""</f>
        <v/>
      </c>
      <c r="DC20" t="str">
        <f>""</f>
        <v/>
      </c>
      <c r="DD20" t="str">
        <f>""</f>
        <v/>
      </c>
      <c r="DE20" t="str">
        <f>""</f>
        <v/>
      </c>
      <c r="DF20" t="str">
        <f>""</f>
        <v/>
      </c>
      <c r="DG20" t="str">
        <f>""</f>
        <v/>
      </c>
      <c r="DH20" t="str">
        <f>""</f>
        <v/>
      </c>
      <c r="DI20" t="str">
        <f>""</f>
        <v/>
      </c>
      <c r="DJ20" t="str">
        <f>""</f>
        <v/>
      </c>
      <c r="DK20" t="str">
        <f>""</f>
        <v/>
      </c>
      <c r="DL20" t="str">
        <f>""</f>
        <v/>
      </c>
      <c r="DM20" t="str">
        <f>""</f>
        <v/>
      </c>
      <c r="DN20" t="str">
        <f>""</f>
        <v/>
      </c>
      <c r="DO20" t="str">
        <f>""</f>
        <v/>
      </c>
      <c r="DP20" t="str">
        <f>""</f>
        <v/>
      </c>
      <c r="DQ20" t="str">
        <f>""</f>
        <v/>
      </c>
      <c r="DR20" t="str">
        <f>""</f>
        <v/>
      </c>
      <c r="DS20" t="str">
        <f>""</f>
        <v/>
      </c>
      <c r="DT20" t="str">
        <f>""</f>
        <v/>
      </c>
      <c r="DU20" t="str">
        <f>""</f>
        <v/>
      </c>
    </row>
    <row r="21" spans="1:125">
      <c r="A21" t="str">
        <f>"    Medical Properties Trust Inc"</f>
        <v xml:space="preserve">    Medical Properties Trust Inc</v>
      </c>
      <c r="B21" t="str">
        <f>"MPW US Equity"</f>
        <v>MPW US Equity</v>
      </c>
      <c r="C21" t="str">
        <f t="shared" si="3"/>
        <v>IM275</v>
      </c>
      <c r="D21" t="str">
        <f t="shared" si="4"/>
        <v>IS_OTHER_RENTAL_INCOME</v>
      </c>
      <c r="E21" t="str">
        <f t="shared" si="5"/>
        <v>动态</v>
      </c>
      <c r="F21" t="str">
        <f ca="1">IF(AND(ISNUMBER($F$276),$B$258=1),$F$276,HLOOKUP(INDIRECT(ADDRESS(2,COLUMN())),OFFSET($BN$2,0,0,ROW()-1,60),ROW()-1,FALSE))</f>
        <v/>
      </c>
      <c r="G21" t="str">
        <f ca="1">IF(AND(ISNUMBER($G$276),$B$258=1),$G$276,HLOOKUP(INDIRECT(ADDRESS(2,COLUMN())),OFFSET($BN$2,0,0,ROW()-1,60),ROW()-1,FALSE))</f>
        <v/>
      </c>
      <c r="H21" t="str">
        <f ca="1">IF(AND(ISNUMBER($H$276),$B$258=1),$H$276,HLOOKUP(INDIRECT(ADDRESS(2,COLUMN())),OFFSET($BN$2,0,0,ROW()-1,60),ROW()-1,FALSE))</f>
        <v/>
      </c>
      <c r="I21" t="str">
        <f ca="1">IF(AND(ISNUMBER($I$276),$B$258=1),$I$276,HLOOKUP(INDIRECT(ADDRESS(2,COLUMN())),OFFSET($BN$2,0,0,ROW()-1,60),ROW()-1,FALSE))</f>
        <v/>
      </c>
      <c r="J21" t="str">
        <f ca="1">IF(AND(ISNUMBER($J$276),$B$258=1),$J$276,HLOOKUP(INDIRECT(ADDRESS(2,COLUMN())),OFFSET($BN$2,0,0,ROW()-1,60),ROW()-1,FALSE))</f>
        <v/>
      </c>
      <c r="K21" t="str">
        <f ca="1">IF(AND(ISNUMBER($K$276),$B$258=1),$K$276,HLOOKUP(INDIRECT(ADDRESS(2,COLUMN())),OFFSET($BN$2,0,0,ROW()-1,60),ROW()-1,FALSE))</f>
        <v/>
      </c>
      <c r="L21" t="str">
        <f ca="1">IF(AND(ISNUMBER($L$276),$B$258=1),$L$276,HLOOKUP(INDIRECT(ADDRESS(2,COLUMN())),OFFSET($BN$2,0,0,ROW()-1,60),ROW()-1,FALSE))</f>
        <v/>
      </c>
      <c r="M21" t="str">
        <f ca="1">IF(AND(ISNUMBER($M$276),$B$258=1),$M$276,HLOOKUP(INDIRECT(ADDRESS(2,COLUMN())),OFFSET($BN$2,0,0,ROW()-1,60),ROW()-1,FALSE))</f>
        <v/>
      </c>
      <c r="N21" t="str">
        <f ca="1">IF(AND(ISNUMBER($N$276),$B$258=1),$N$276,HLOOKUP(INDIRECT(ADDRESS(2,COLUMN())),OFFSET($BN$2,0,0,ROW()-1,60),ROW()-1,FALSE))</f>
        <v/>
      </c>
      <c r="O21" t="str">
        <f ca="1">IF(AND(ISNUMBER($O$276),$B$258=1),$O$276,HLOOKUP(INDIRECT(ADDRESS(2,COLUMN())),OFFSET($BN$2,0,0,ROW()-1,60),ROW()-1,FALSE))</f>
        <v/>
      </c>
      <c r="P21" t="str">
        <f ca="1">IF(AND(ISNUMBER($P$276),$B$258=1),$P$276,HLOOKUP(INDIRECT(ADDRESS(2,COLUMN())),OFFSET($BN$2,0,0,ROW()-1,60),ROW()-1,FALSE))</f>
        <v/>
      </c>
      <c r="Q21" t="str">
        <f ca="1">IF(AND(ISNUMBER($Q$276),$B$258=1),$Q$276,HLOOKUP(INDIRECT(ADDRESS(2,COLUMN())),OFFSET($BN$2,0,0,ROW()-1,60),ROW()-1,FALSE))</f>
        <v/>
      </c>
      <c r="R21" t="str">
        <f ca="1">IF(AND(ISNUMBER($R$276),$B$258=1),$R$276,HLOOKUP(INDIRECT(ADDRESS(2,COLUMN())),OFFSET($BN$2,0,0,ROW()-1,60),ROW()-1,FALSE))</f>
        <v/>
      </c>
      <c r="S21" t="str">
        <f ca="1">IF(AND(ISNUMBER($S$276),$B$258=1),$S$276,HLOOKUP(INDIRECT(ADDRESS(2,COLUMN())),OFFSET($BN$2,0,0,ROW()-1,60),ROW()-1,FALSE))</f>
        <v/>
      </c>
      <c r="T21" t="str">
        <f ca="1">IF(AND(ISNUMBER($T$276),$B$258=1),$T$276,HLOOKUP(INDIRECT(ADDRESS(2,COLUMN())),OFFSET($BN$2,0,0,ROW()-1,60),ROW()-1,FALSE))</f>
        <v/>
      </c>
      <c r="U21" t="str">
        <f ca="1">IF(AND(ISNUMBER($U$276),$B$258=1),$U$276,HLOOKUP(INDIRECT(ADDRESS(2,COLUMN())),OFFSET($BN$2,0,0,ROW()-1,60),ROW()-1,FALSE))</f>
        <v/>
      </c>
      <c r="V21" t="str">
        <f ca="1">IF(AND(ISNUMBER($V$276),$B$258=1),$V$276,HLOOKUP(INDIRECT(ADDRESS(2,COLUMN())),OFFSET($BN$2,0,0,ROW()-1,60),ROW()-1,FALSE))</f>
        <v/>
      </c>
      <c r="W21" t="str">
        <f ca="1">IF(AND(ISNUMBER($W$276),$B$258=1),$W$276,HLOOKUP(INDIRECT(ADDRESS(2,COLUMN())),OFFSET($BN$2,0,0,ROW()-1,60),ROW()-1,FALSE))</f>
        <v/>
      </c>
      <c r="X21" t="str">
        <f ca="1">IF(AND(ISNUMBER($X$276),$B$258=1),$X$276,HLOOKUP(INDIRECT(ADDRESS(2,COLUMN())),OFFSET($BN$2,0,0,ROW()-1,60),ROW()-1,FALSE))</f>
        <v/>
      </c>
      <c r="Y21" t="str">
        <f ca="1">IF(AND(ISNUMBER($Y$276),$B$258=1),$Y$276,HLOOKUP(INDIRECT(ADDRESS(2,COLUMN())),OFFSET($BN$2,0,0,ROW()-1,60),ROW()-1,FALSE))</f>
        <v/>
      </c>
      <c r="Z21" t="str">
        <f ca="1">IF(AND(ISNUMBER($Z$276),$B$258=1),$Z$276,HLOOKUP(INDIRECT(ADDRESS(2,COLUMN())),OFFSET($BN$2,0,0,ROW()-1,60),ROW()-1,FALSE))</f>
        <v/>
      </c>
      <c r="AA21" t="str">
        <f ca="1">IF(AND(ISNUMBER($AA$276),$B$258=1),$AA$276,HLOOKUP(INDIRECT(ADDRESS(2,COLUMN())),OFFSET($BN$2,0,0,ROW()-1,60),ROW()-1,FALSE))</f>
        <v/>
      </c>
      <c r="AB21" t="str">
        <f ca="1">IF(AND(ISNUMBER($AB$276),$B$258=1),$AB$276,HLOOKUP(INDIRECT(ADDRESS(2,COLUMN())),OFFSET($BN$2,0,0,ROW()-1,60),ROW()-1,FALSE))</f>
        <v/>
      </c>
      <c r="AC21" t="str">
        <f ca="1">IF(AND(ISNUMBER($AC$276),$B$258=1),$AC$276,HLOOKUP(INDIRECT(ADDRESS(2,COLUMN())),OFFSET($BN$2,0,0,ROW()-1,60),ROW()-1,FALSE))</f>
        <v/>
      </c>
      <c r="AD21" t="str">
        <f ca="1">IF(AND(ISNUMBER($AD$276),$B$258=1),$AD$276,HLOOKUP(INDIRECT(ADDRESS(2,COLUMN())),OFFSET($BN$2,0,0,ROW()-1,60),ROW()-1,FALSE))</f>
        <v/>
      </c>
      <c r="AE21" t="str">
        <f ca="1">IF(AND(ISNUMBER($AE$276),$B$258=1),$AE$276,HLOOKUP(INDIRECT(ADDRESS(2,COLUMN())),OFFSET($BN$2,0,0,ROW()-1,60),ROW()-1,FALSE))</f>
        <v/>
      </c>
      <c r="AF21" t="str">
        <f ca="1">IF(AND(ISNUMBER($AF$276),$B$258=1),$AF$276,HLOOKUP(INDIRECT(ADDRESS(2,COLUMN())),OFFSET($BN$2,0,0,ROW()-1,60),ROW()-1,FALSE))</f>
        <v/>
      </c>
      <c r="AG21" t="str">
        <f ca="1">IF(AND(ISNUMBER($AG$276),$B$258=1),$AG$276,HLOOKUP(INDIRECT(ADDRESS(2,COLUMN())),OFFSET($BN$2,0,0,ROW()-1,60),ROW()-1,FALSE))</f>
        <v/>
      </c>
      <c r="AH21" t="str">
        <f ca="1">IF(AND(ISNUMBER($AH$276),$B$258=1),$AH$276,HLOOKUP(INDIRECT(ADDRESS(2,COLUMN())),OFFSET($BN$2,0,0,ROW()-1,60),ROW()-1,FALSE))</f>
        <v/>
      </c>
      <c r="AI21" t="str">
        <f ca="1">IF(AND(ISNUMBER($AI$276),$B$258=1),$AI$276,HLOOKUP(INDIRECT(ADDRESS(2,COLUMN())),OFFSET($BN$2,0,0,ROW()-1,60),ROW()-1,FALSE))</f>
        <v/>
      </c>
      <c r="AJ21" t="str">
        <f ca="1">IF(AND(ISNUMBER($AJ$276),$B$258=1),$AJ$276,HLOOKUP(INDIRECT(ADDRESS(2,COLUMN())),OFFSET($BN$2,0,0,ROW()-1,60),ROW()-1,FALSE))</f>
        <v/>
      </c>
      <c r="AK21" t="str">
        <f ca="1">IF(AND(ISNUMBER($AK$276),$B$258=1),$AK$276,HLOOKUP(INDIRECT(ADDRESS(2,COLUMN())),OFFSET($BN$2,0,0,ROW()-1,60),ROW()-1,FALSE))</f>
        <v/>
      </c>
      <c r="AL21" t="str">
        <f ca="1">IF(AND(ISNUMBER($AL$276),$B$258=1),$AL$276,HLOOKUP(INDIRECT(ADDRESS(2,COLUMN())),OFFSET($BN$2,0,0,ROW()-1,60),ROW()-1,FALSE))</f>
        <v/>
      </c>
      <c r="AM21" t="str">
        <f ca="1">IF(AND(ISNUMBER($AM$276),$B$258=1),$AM$276,HLOOKUP(INDIRECT(ADDRESS(2,COLUMN())),OFFSET($BN$2,0,0,ROW()-1,60),ROW()-1,FALSE))</f>
        <v/>
      </c>
      <c r="AN21" t="str">
        <f ca="1">IF(AND(ISNUMBER($AN$276),$B$258=1),$AN$276,HLOOKUP(INDIRECT(ADDRESS(2,COLUMN())),OFFSET($BN$2,0,0,ROW()-1,60),ROW()-1,FALSE))</f>
        <v/>
      </c>
      <c r="AO21" t="str">
        <f ca="1">IF(AND(ISNUMBER($AO$276),$B$258=1),$AO$276,HLOOKUP(INDIRECT(ADDRESS(2,COLUMN())),OFFSET($BN$2,0,0,ROW()-1,60),ROW()-1,FALSE))</f>
        <v/>
      </c>
      <c r="AP21" t="str">
        <f ca="1">IF(AND(ISNUMBER($AP$276),$B$258=1),$AP$276,HLOOKUP(INDIRECT(ADDRESS(2,COLUMN())),OFFSET($BN$2,0,0,ROW()-1,60),ROW()-1,FALSE))</f>
        <v/>
      </c>
      <c r="AQ21" t="str">
        <f ca="1">IF(AND(ISNUMBER($AQ$276),$B$258=1),$AQ$276,HLOOKUP(INDIRECT(ADDRESS(2,COLUMN())),OFFSET($BN$2,0,0,ROW()-1,60),ROW()-1,FALSE))</f>
        <v/>
      </c>
      <c r="AR21" t="str">
        <f ca="1">IF(AND(ISNUMBER($AR$276),$B$258=1),$AR$276,HLOOKUP(INDIRECT(ADDRESS(2,COLUMN())),OFFSET($BN$2,0,0,ROW()-1,60),ROW()-1,FALSE))</f>
        <v/>
      </c>
      <c r="AS21" t="str">
        <f ca="1">IF(AND(ISNUMBER($AS$276),$B$258=1),$AS$276,HLOOKUP(INDIRECT(ADDRESS(2,COLUMN())),OFFSET($BN$2,0,0,ROW()-1,60),ROW()-1,FALSE))</f>
        <v/>
      </c>
      <c r="AT21" t="str">
        <f ca="1">IF(AND(ISNUMBER($AT$276),$B$258=1),$AT$276,HLOOKUP(INDIRECT(ADDRESS(2,COLUMN())),OFFSET($BN$2,0,0,ROW()-1,60),ROW()-1,FALSE))</f>
        <v/>
      </c>
      <c r="AU21" t="str">
        <f ca="1">IF(AND(ISNUMBER($AU$276),$B$258=1),$AU$276,HLOOKUP(INDIRECT(ADDRESS(2,COLUMN())),OFFSET($BN$2,0,0,ROW()-1,60),ROW()-1,FALSE))</f>
        <v/>
      </c>
      <c r="AV21" t="str">
        <f ca="1">IF(AND(ISNUMBER($AV$276),$B$258=1),$AV$276,HLOOKUP(INDIRECT(ADDRESS(2,COLUMN())),OFFSET($BN$2,0,0,ROW()-1,60),ROW()-1,FALSE))</f>
        <v/>
      </c>
      <c r="AW21" t="str">
        <f ca="1">IF(AND(ISNUMBER($AW$276),$B$258=1),$AW$276,HLOOKUP(INDIRECT(ADDRESS(2,COLUMN())),OFFSET($BN$2,0,0,ROW()-1,60),ROW()-1,FALSE))</f>
        <v/>
      </c>
      <c r="AX21" t="str">
        <f ca="1">IF(AND(ISNUMBER($AX$276),$B$258=1),$AX$276,HLOOKUP(INDIRECT(ADDRESS(2,COLUMN())),OFFSET($BN$2,0,0,ROW()-1,60),ROW()-1,FALSE))</f>
        <v/>
      </c>
      <c r="AY21" t="str">
        <f ca="1">IF(AND(ISNUMBER($AY$276),$B$258=1),$AY$276,HLOOKUP(INDIRECT(ADDRESS(2,COLUMN())),OFFSET($BN$2,0,0,ROW()-1,60),ROW()-1,FALSE))</f>
        <v/>
      </c>
      <c r="AZ21" t="str">
        <f ca="1">IF(AND(ISNUMBER($AZ$276),$B$258=1),$AZ$276,HLOOKUP(INDIRECT(ADDRESS(2,COLUMN())),OFFSET($BN$2,0,0,ROW()-1,60),ROW()-1,FALSE))</f>
        <v/>
      </c>
      <c r="BA21" t="str">
        <f ca="1">IF(AND(ISNUMBER($BA$276),$B$258=1),$BA$276,HLOOKUP(INDIRECT(ADDRESS(2,COLUMN())),OFFSET($BN$2,0,0,ROW()-1,60),ROW()-1,FALSE))</f>
        <v/>
      </c>
      <c r="BB21" t="str">
        <f ca="1">IF(AND(ISNUMBER($BB$276),$B$258=1),$BB$276,HLOOKUP(INDIRECT(ADDRESS(2,COLUMN())),OFFSET($BN$2,0,0,ROW()-1,60),ROW()-1,FALSE))</f>
        <v/>
      </c>
      <c r="BC21" t="str">
        <f ca="1">IF(AND(ISNUMBER($BC$276),$B$258=1),$BC$276,HLOOKUP(INDIRECT(ADDRESS(2,COLUMN())),OFFSET($BN$2,0,0,ROW()-1,60),ROW()-1,FALSE))</f>
        <v/>
      </c>
      <c r="BD21" t="str">
        <f ca="1">IF(AND(ISNUMBER($BD$276),$B$258=1),$BD$276,HLOOKUP(INDIRECT(ADDRESS(2,COLUMN())),OFFSET($BN$2,0,0,ROW()-1,60),ROW()-1,FALSE))</f>
        <v/>
      </c>
      <c r="BE21" t="str">
        <f ca="1">IF(AND(ISNUMBER($BE$276),$B$258=1),$BE$276,HLOOKUP(INDIRECT(ADDRESS(2,COLUMN())),OFFSET($BN$2,0,0,ROW()-1,60),ROW()-1,FALSE))</f>
        <v/>
      </c>
      <c r="BF21" t="str">
        <f ca="1">IF(AND(ISNUMBER($BF$276),$B$258=1),$BF$276,HLOOKUP(INDIRECT(ADDRESS(2,COLUMN())),OFFSET($BN$2,0,0,ROW()-1,60),ROW()-1,FALSE))</f>
        <v/>
      </c>
      <c r="BG21" t="str">
        <f ca="1">IF(AND(ISNUMBER($BG$276),$B$258=1),$BG$276,HLOOKUP(INDIRECT(ADDRESS(2,COLUMN())),OFFSET($BN$2,0,0,ROW()-1,60),ROW()-1,FALSE))</f>
        <v/>
      </c>
      <c r="BH21" t="str">
        <f ca="1">IF(AND(ISNUMBER($BH$276),$B$258=1),$BH$276,HLOOKUP(INDIRECT(ADDRESS(2,COLUMN())),OFFSET($BN$2,0,0,ROW()-1,60),ROW()-1,FALSE))</f>
        <v/>
      </c>
      <c r="BI21" t="str">
        <f ca="1">IF(AND(ISNUMBER($BI$276),$B$258=1),$BI$276,HLOOKUP(INDIRECT(ADDRESS(2,COLUMN())),OFFSET($BN$2,0,0,ROW()-1,60),ROW()-1,FALSE))</f>
        <v/>
      </c>
      <c r="BJ21" t="str">
        <f ca="1">IF(AND(ISNUMBER($BJ$276),$B$258=1),$BJ$276,HLOOKUP(INDIRECT(ADDRESS(2,COLUMN())),OFFSET($BN$2,0,0,ROW()-1,60),ROW()-1,FALSE))</f>
        <v/>
      </c>
      <c r="BK21" t="str">
        <f ca="1">IF(AND(ISNUMBER($BK$276),$B$258=1),$BK$276,HLOOKUP(INDIRECT(ADDRESS(2,COLUMN())),OFFSET($BN$2,0,0,ROW()-1,60),ROW()-1,FALSE))</f>
        <v/>
      </c>
      <c r="BL21" t="str">
        <f ca="1">IF(AND(ISNUMBER($BL$276),$B$258=1),$BL$276,HLOOKUP(INDIRECT(ADDRESS(2,COLUMN())),OFFSET($BN$2,0,0,ROW()-1,60),ROW()-1,FALSE))</f>
        <v/>
      </c>
      <c r="BM21" t="str">
        <f ca="1">IF(AND(ISNUMBER($BM$276),$B$258=1),$BM$276,HLOOKUP(INDIRECT(ADDRESS(2,COLUMN())),OFFSET($BN$2,0,0,ROW()-1,60),ROW()-1,FALSE))</f>
        <v/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 t="str">
        <f>""</f>
        <v/>
      </c>
      <c r="BW21" t="str">
        <f>""</f>
        <v/>
      </c>
      <c r="BX21" t="str">
        <f>""</f>
        <v/>
      </c>
      <c r="BY21" t="str">
        <f>""</f>
        <v/>
      </c>
      <c r="BZ21" t="str">
        <f>""</f>
        <v/>
      </c>
      <c r="CA21" t="str">
        <f>""</f>
        <v/>
      </c>
      <c r="CB21" t="str">
        <f>""</f>
        <v/>
      </c>
      <c r="CC21" t="str">
        <f>""</f>
        <v/>
      </c>
      <c r="CD21" t="str">
        <f>""</f>
        <v/>
      </c>
      <c r="CE21" t="str">
        <f>""</f>
        <v/>
      </c>
      <c r="CF21" t="str">
        <f>""</f>
        <v/>
      </c>
      <c r="CG21" t="str">
        <f>""</f>
        <v/>
      </c>
      <c r="CH21" t="str">
        <f>""</f>
        <v/>
      </c>
      <c r="CI21" t="str">
        <f>""</f>
        <v/>
      </c>
      <c r="CJ21" t="str">
        <f>""</f>
        <v/>
      </c>
      <c r="CK21" t="str">
        <f>""</f>
        <v/>
      </c>
      <c r="CL21" t="str">
        <f>""</f>
        <v/>
      </c>
      <c r="CM21" t="str">
        <f>""</f>
        <v/>
      </c>
      <c r="CN21" t="str">
        <f>""</f>
        <v/>
      </c>
      <c r="CO21" t="str">
        <f>""</f>
        <v/>
      </c>
      <c r="CP21" t="str">
        <f>""</f>
        <v/>
      </c>
      <c r="CQ21" t="str">
        <f>""</f>
        <v/>
      </c>
      <c r="CR21" t="str">
        <f>""</f>
        <v/>
      </c>
      <c r="CS21" t="str">
        <f>""</f>
        <v/>
      </c>
      <c r="CT21" t="str">
        <f>""</f>
        <v/>
      </c>
      <c r="CU21" t="str">
        <f>""</f>
        <v/>
      </c>
      <c r="CV21" t="str">
        <f>""</f>
        <v/>
      </c>
      <c r="CW21" t="str">
        <f>""</f>
        <v/>
      </c>
      <c r="CX21" t="str">
        <f>""</f>
        <v/>
      </c>
      <c r="CY21" t="str">
        <f>""</f>
        <v/>
      </c>
      <c r="CZ21" t="str">
        <f>""</f>
        <v/>
      </c>
      <c r="DA21" t="str">
        <f>""</f>
        <v/>
      </c>
      <c r="DB21" t="str">
        <f>""</f>
        <v/>
      </c>
      <c r="DC21" t="str">
        <f>""</f>
        <v/>
      </c>
      <c r="DD21" t="str">
        <f>""</f>
        <v/>
      </c>
      <c r="DE21" t="str">
        <f>""</f>
        <v/>
      </c>
      <c r="DF21" t="str">
        <f>""</f>
        <v/>
      </c>
      <c r="DG21" t="str">
        <f>""</f>
        <v/>
      </c>
      <c r="DH21" t="str">
        <f>""</f>
        <v/>
      </c>
      <c r="DI21" t="str">
        <f>""</f>
        <v/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>
      <c r="A22" t="str">
        <f>"    Omega Healthcare Investors Inc"</f>
        <v xml:space="preserve">    Omega Healthcare Investors Inc</v>
      </c>
      <c r="B22" t="str">
        <f>"OHI US Equity"</f>
        <v>OHI US Equity</v>
      </c>
      <c r="C22" t="str">
        <f t="shared" si="3"/>
        <v>IM275</v>
      </c>
      <c r="D22" t="str">
        <f t="shared" si="4"/>
        <v>IS_OTHER_RENTAL_INCOME</v>
      </c>
      <c r="E22" t="str">
        <f t="shared" si="5"/>
        <v>动态</v>
      </c>
      <c r="F22" t="str">
        <f ca="1">IF(AND(ISNUMBER($F$277),$B$258=1),$F$277,HLOOKUP(INDIRECT(ADDRESS(2,COLUMN())),OFFSET($BN$2,0,0,ROW()-1,60),ROW()-1,FALSE))</f>
        <v/>
      </c>
      <c r="G22" t="str">
        <f ca="1">IF(AND(ISNUMBER($G$277),$B$258=1),$G$277,HLOOKUP(INDIRECT(ADDRESS(2,COLUMN())),OFFSET($BN$2,0,0,ROW()-1,60),ROW()-1,FALSE))</f>
        <v/>
      </c>
      <c r="H22" t="str">
        <f ca="1">IF(AND(ISNUMBER($H$277),$B$258=1),$H$277,HLOOKUP(INDIRECT(ADDRESS(2,COLUMN())),OFFSET($BN$2,0,0,ROW()-1,60),ROW()-1,FALSE))</f>
        <v/>
      </c>
      <c r="I22" t="str">
        <f ca="1">IF(AND(ISNUMBER($I$277),$B$258=1),$I$277,HLOOKUP(INDIRECT(ADDRESS(2,COLUMN())),OFFSET($BN$2,0,0,ROW()-1,60),ROW()-1,FALSE))</f>
        <v/>
      </c>
      <c r="J22" t="str">
        <f ca="1">IF(AND(ISNUMBER($J$277),$B$258=1),$J$277,HLOOKUP(INDIRECT(ADDRESS(2,COLUMN())),OFFSET($BN$2,0,0,ROW()-1,60),ROW()-1,FALSE))</f>
        <v/>
      </c>
      <c r="K22" t="str">
        <f ca="1">IF(AND(ISNUMBER($K$277),$B$258=1),$K$277,HLOOKUP(INDIRECT(ADDRESS(2,COLUMN())),OFFSET($BN$2,0,0,ROW()-1,60),ROW()-1,FALSE))</f>
        <v/>
      </c>
      <c r="L22" t="str">
        <f ca="1">IF(AND(ISNUMBER($L$277),$B$258=1),$L$277,HLOOKUP(INDIRECT(ADDRESS(2,COLUMN())),OFFSET($BN$2,0,0,ROW()-1,60),ROW()-1,FALSE))</f>
        <v/>
      </c>
      <c r="M22" t="str">
        <f ca="1">IF(AND(ISNUMBER($M$277),$B$258=1),$M$277,HLOOKUP(INDIRECT(ADDRESS(2,COLUMN())),OFFSET($BN$2,0,0,ROW()-1,60),ROW()-1,FALSE))</f>
        <v/>
      </c>
      <c r="N22" t="str">
        <f ca="1">IF(AND(ISNUMBER($N$277),$B$258=1),$N$277,HLOOKUP(INDIRECT(ADDRESS(2,COLUMN())),OFFSET($BN$2,0,0,ROW()-1,60),ROW()-1,FALSE))</f>
        <v/>
      </c>
      <c r="O22" t="str">
        <f ca="1">IF(AND(ISNUMBER($O$277),$B$258=1),$O$277,HLOOKUP(INDIRECT(ADDRESS(2,COLUMN())),OFFSET($BN$2,0,0,ROW()-1,60),ROW()-1,FALSE))</f>
        <v/>
      </c>
      <c r="P22" t="str">
        <f ca="1">IF(AND(ISNUMBER($P$277),$B$258=1),$P$277,HLOOKUP(INDIRECT(ADDRESS(2,COLUMN())),OFFSET($BN$2,0,0,ROW()-1,60),ROW()-1,FALSE))</f>
        <v/>
      </c>
      <c r="Q22" t="str">
        <f ca="1">IF(AND(ISNUMBER($Q$277),$B$258=1),$Q$277,HLOOKUP(INDIRECT(ADDRESS(2,COLUMN())),OFFSET($BN$2,0,0,ROW()-1,60),ROW()-1,FALSE))</f>
        <v/>
      </c>
      <c r="R22" t="str">
        <f ca="1">IF(AND(ISNUMBER($R$277),$B$258=1),$R$277,HLOOKUP(INDIRECT(ADDRESS(2,COLUMN())),OFFSET($BN$2,0,0,ROW()-1,60),ROW()-1,FALSE))</f>
        <v/>
      </c>
      <c r="S22" t="str">
        <f ca="1">IF(AND(ISNUMBER($S$277),$B$258=1),$S$277,HLOOKUP(INDIRECT(ADDRESS(2,COLUMN())),OFFSET($BN$2,0,0,ROW()-1,60),ROW()-1,FALSE))</f>
        <v/>
      </c>
      <c r="T22" t="str">
        <f ca="1">IF(AND(ISNUMBER($T$277),$B$258=1),$T$277,HLOOKUP(INDIRECT(ADDRESS(2,COLUMN())),OFFSET($BN$2,0,0,ROW()-1,60),ROW()-1,FALSE))</f>
        <v/>
      </c>
      <c r="U22" t="str">
        <f ca="1">IF(AND(ISNUMBER($U$277),$B$258=1),$U$277,HLOOKUP(INDIRECT(ADDRESS(2,COLUMN())),OFFSET($BN$2,0,0,ROW()-1,60),ROW()-1,FALSE))</f>
        <v/>
      </c>
      <c r="V22" t="str">
        <f ca="1">IF(AND(ISNUMBER($V$277),$B$258=1),$V$277,HLOOKUP(INDIRECT(ADDRESS(2,COLUMN())),OFFSET($BN$2,0,0,ROW()-1,60),ROW()-1,FALSE))</f>
        <v/>
      </c>
      <c r="W22" t="str">
        <f ca="1">IF(AND(ISNUMBER($W$277),$B$258=1),$W$277,HLOOKUP(INDIRECT(ADDRESS(2,COLUMN())),OFFSET($BN$2,0,0,ROW()-1,60),ROW()-1,FALSE))</f>
        <v/>
      </c>
      <c r="X22" t="str">
        <f ca="1">IF(AND(ISNUMBER($X$277),$B$258=1),$X$277,HLOOKUP(INDIRECT(ADDRESS(2,COLUMN())),OFFSET($BN$2,0,0,ROW()-1,60),ROW()-1,FALSE))</f>
        <v/>
      </c>
      <c r="Y22" t="str">
        <f ca="1">IF(AND(ISNUMBER($Y$277),$B$258=1),$Y$277,HLOOKUP(INDIRECT(ADDRESS(2,COLUMN())),OFFSET($BN$2,0,0,ROW()-1,60),ROW()-1,FALSE))</f>
        <v/>
      </c>
      <c r="Z22" t="str">
        <f ca="1">IF(AND(ISNUMBER($Z$277),$B$258=1),$Z$277,HLOOKUP(INDIRECT(ADDRESS(2,COLUMN())),OFFSET($BN$2,0,0,ROW()-1,60),ROW()-1,FALSE))</f>
        <v/>
      </c>
      <c r="AA22" t="str">
        <f ca="1">IF(AND(ISNUMBER($AA$277),$B$258=1),$AA$277,HLOOKUP(INDIRECT(ADDRESS(2,COLUMN())),OFFSET($BN$2,0,0,ROW()-1,60),ROW()-1,FALSE))</f>
        <v/>
      </c>
      <c r="AB22" t="str">
        <f ca="1">IF(AND(ISNUMBER($AB$277),$B$258=1),$AB$277,HLOOKUP(INDIRECT(ADDRESS(2,COLUMN())),OFFSET($BN$2,0,0,ROW()-1,60),ROW()-1,FALSE))</f>
        <v/>
      </c>
      <c r="AC22" t="str">
        <f ca="1">IF(AND(ISNUMBER($AC$277),$B$258=1),$AC$277,HLOOKUP(INDIRECT(ADDRESS(2,COLUMN())),OFFSET($BN$2,0,0,ROW()-1,60),ROW()-1,FALSE))</f>
        <v/>
      </c>
      <c r="AD22" t="str">
        <f ca="1">IF(AND(ISNUMBER($AD$277),$B$258=1),$AD$277,HLOOKUP(INDIRECT(ADDRESS(2,COLUMN())),OFFSET($BN$2,0,0,ROW()-1,60),ROW()-1,FALSE))</f>
        <v/>
      </c>
      <c r="AE22" t="str">
        <f ca="1">IF(AND(ISNUMBER($AE$277),$B$258=1),$AE$277,HLOOKUP(INDIRECT(ADDRESS(2,COLUMN())),OFFSET($BN$2,0,0,ROW()-1,60),ROW()-1,FALSE))</f>
        <v/>
      </c>
      <c r="AF22" t="str">
        <f ca="1">IF(AND(ISNUMBER($AF$277),$B$258=1),$AF$277,HLOOKUP(INDIRECT(ADDRESS(2,COLUMN())),OFFSET($BN$2,0,0,ROW()-1,60),ROW()-1,FALSE))</f>
        <v/>
      </c>
      <c r="AG22" t="str">
        <f ca="1">IF(AND(ISNUMBER($AG$277),$B$258=1),$AG$277,HLOOKUP(INDIRECT(ADDRESS(2,COLUMN())),OFFSET($BN$2,0,0,ROW()-1,60),ROW()-1,FALSE))</f>
        <v/>
      </c>
      <c r="AH22" t="str">
        <f ca="1">IF(AND(ISNUMBER($AH$277),$B$258=1),$AH$277,HLOOKUP(INDIRECT(ADDRESS(2,COLUMN())),OFFSET($BN$2,0,0,ROW()-1,60),ROW()-1,FALSE))</f>
        <v/>
      </c>
      <c r="AI22" t="str">
        <f ca="1">IF(AND(ISNUMBER($AI$277),$B$258=1),$AI$277,HLOOKUP(INDIRECT(ADDRESS(2,COLUMN())),OFFSET($BN$2,0,0,ROW()-1,60),ROW()-1,FALSE))</f>
        <v/>
      </c>
      <c r="AJ22" t="str">
        <f ca="1">IF(AND(ISNUMBER($AJ$277),$B$258=1),$AJ$277,HLOOKUP(INDIRECT(ADDRESS(2,COLUMN())),OFFSET($BN$2,0,0,ROW()-1,60),ROW()-1,FALSE))</f>
        <v/>
      </c>
      <c r="AK22" t="str">
        <f ca="1">IF(AND(ISNUMBER($AK$277),$B$258=1),$AK$277,HLOOKUP(INDIRECT(ADDRESS(2,COLUMN())),OFFSET($BN$2,0,0,ROW()-1,60),ROW()-1,FALSE))</f>
        <v/>
      </c>
      <c r="AL22" t="str">
        <f ca="1">IF(AND(ISNUMBER($AL$277),$B$258=1),$AL$277,HLOOKUP(INDIRECT(ADDRESS(2,COLUMN())),OFFSET($BN$2,0,0,ROW()-1,60),ROW()-1,FALSE))</f>
        <v/>
      </c>
      <c r="AM22" t="str">
        <f ca="1">IF(AND(ISNUMBER($AM$277),$B$258=1),$AM$277,HLOOKUP(INDIRECT(ADDRESS(2,COLUMN())),OFFSET($BN$2,0,0,ROW()-1,60),ROW()-1,FALSE))</f>
        <v/>
      </c>
      <c r="AN22" t="str">
        <f ca="1">IF(AND(ISNUMBER($AN$277),$B$258=1),$AN$277,HLOOKUP(INDIRECT(ADDRESS(2,COLUMN())),OFFSET($BN$2,0,0,ROW()-1,60),ROW()-1,FALSE))</f>
        <v/>
      </c>
      <c r="AO22" t="str">
        <f ca="1">IF(AND(ISNUMBER($AO$277),$B$258=1),$AO$277,HLOOKUP(INDIRECT(ADDRESS(2,COLUMN())),OFFSET($BN$2,0,0,ROW()-1,60),ROW()-1,FALSE))</f>
        <v/>
      </c>
      <c r="AP22" t="str">
        <f ca="1">IF(AND(ISNUMBER($AP$277),$B$258=1),$AP$277,HLOOKUP(INDIRECT(ADDRESS(2,COLUMN())),OFFSET($BN$2,0,0,ROW()-1,60),ROW()-1,FALSE))</f>
        <v/>
      </c>
      <c r="AQ22" t="str">
        <f ca="1">IF(AND(ISNUMBER($AQ$277),$B$258=1),$AQ$277,HLOOKUP(INDIRECT(ADDRESS(2,COLUMN())),OFFSET($BN$2,0,0,ROW()-1,60),ROW()-1,FALSE))</f>
        <v/>
      </c>
      <c r="AR22" t="str">
        <f ca="1">IF(AND(ISNUMBER($AR$277),$B$258=1),$AR$277,HLOOKUP(INDIRECT(ADDRESS(2,COLUMN())),OFFSET($BN$2,0,0,ROW()-1,60),ROW()-1,FALSE))</f>
        <v/>
      </c>
      <c r="AS22" t="str">
        <f ca="1">IF(AND(ISNUMBER($AS$277),$B$258=1),$AS$277,HLOOKUP(INDIRECT(ADDRESS(2,COLUMN())),OFFSET($BN$2,0,0,ROW()-1,60),ROW()-1,FALSE))</f>
        <v/>
      </c>
      <c r="AT22" t="str">
        <f ca="1">IF(AND(ISNUMBER($AT$277),$B$258=1),$AT$277,HLOOKUP(INDIRECT(ADDRESS(2,COLUMN())),OFFSET($BN$2,0,0,ROW()-1,60),ROW()-1,FALSE))</f>
        <v/>
      </c>
      <c r="AU22" t="str">
        <f ca="1">IF(AND(ISNUMBER($AU$277),$B$258=1),$AU$277,HLOOKUP(INDIRECT(ADDRESS(2,COLUMN())),OFFSET($BN$2,0,0,ROW()-1,60),ROW()-1,FALSE))</f>
        <v/>
      </c>
      <c r="AV22" t="str">
        <f ca="1">IF(AND(ISNUMBER($AV$277),$B$258=1),$AV$277,HLOOKUP(INDIRECT(ADDRESS(2,COLUMN())),OFFSET($BN$2,0,0,ROW()-1,60),ROW()-1,FALSE))</f>
        <v/>
      </c>
      <c r="AW22" t="str">
        <f ca="1">IF(AND(ISNUMBER($AW$277),$B$258=1),$AW$277,HLOOKUP(INDIRECT(ADDRESS(2,COLUMN())),OFFSET($BN$2,0,0,ROW()-1,60),ROW()-1,FALSE))</f>
        <v/>
      </c>
      <c r="AX22" t="str">
        <f ca="1">IF(AND(ISNUMBER($AX$277),$B$258=1),$AX$277,HLOOKUP(INDIRECT(ADDRESS(2,COLUMN())),OFFSET($BN$2,0,0,ROW()-1,60),ROW()-1,FALSE))</f>
        <v/>
      </c>
      <c r="AY22" t="str">
        <f ca="1">IF(AND(ISNUMBER($AY$277),$B$258=1),$AY$277,HLOOKUP(INDIRECT(ADDRESS(2,COLUMN())),OFFSET($BN$2,0,0,ROW()-1,60),ROW()-1,FALSE))</f>
        <v/>
      </c>
      <c r="AZ22" t="str">
        <f ca="1">IF(AND(ISNUMBER($AZ$277),$B$258=1),$AZ$277,HLOOKUP(INDIRECT(ADDRESS(2,COLUMN())),OFFSET($BN$2,0,0,ROW()-1,60),ROW()-1,FALSE))</f>
        <v/>
      </c>
      <c r="BA22" t="str">
        <f ca="1">IF(AND(ISNUMBER($BA$277),$B$258=1),$BA$277,HLOOKUP(INDIRECT(ADDRESS(2,COLUMN())),OFFSET($BN$2,0,0,ROW()-1,60),ROW()-1,FALSE))</f>
        <v/>
      </c>
      <c r="BB22" t="str">
        <f ca="1">IF(AND(ISNUMBER($BB$277),$B$258=1),$BB$277,HLOOKUP(INDIRECT(ADDRESS(2,COLUMN())),OFFSET($BN$2,0,0,ROW()-1,60),ROW()-1,FALSE))</f>
        <v/>
      </c>
      <c r="BC22" t="str">
        <f ca="1">IF(AND(ISNUMBER($BC$277),$B$258=1),$BC$277,HLOOKUP(INDIRECT(ADDRESS(2,COLUMN())),OFFSET($BN$2,0,0,ROW()-1,60),ROW()-1,FALSE))</f>
        <v/>
      </c>
      <c r="BD22" t="str">
        <f ca="1">IF(AND(ISNUMBER($BD$277),$B$258=1),$BD$277,HLOOKUP(INDIRECT(ADDRESS(2,COLUMN())),OFFSET($BN$2,0,0,ROW()-1,60),ROW()-1,FALSE))</f>
        <v/>
      </c>
      <c r="BE22" t="str">
        <f ca="1">IF(AND(ISNUMBER($BE$277),$B$258=1),$BE$277,HLOOKUP(INDIRECT(ADDRESS(2,COLUMN())),OFFSET($BN$2,0,0,ROW()-1,60),ROW()-1,FALSE))</f>
        <v/>
      </c>
      <c r="BF22" t="str">
        <f ca="1">IF(AND(ISNUMBER($BF$277),$B$258=1),$BF$277,HLOOKUP(INDIRECT(ADDRESS(2,COLUMN())),OFFSET($BN$2,0,0,ROW()-1,60),ROW()-1,FALSE))</f>
        <v/>
      </c>
      <c r="BG22" t="str">
        <f ca="1">IF(AND(ISNUMBER($BG$277),$B$258=1),$BG$277,HLOOKUP(INDIRECT(ADDRESS(2,COLUMN())),OFFSET($BN$2,0,0,ROW()-1,60),ROW()-1,FALSE))</f>
        <v/>
      </c>
      <c r="BH22" t="str">
        <f ca="1">IF(AND(ISNUMBER($BH$277),$B$258=1),$BH$277,HLOOKUP(INDIRECT(ADDRESS(2,COLUMN())),OFFSET($BN$2,0,0,ROW()-1,60),ROW()-1,FALSE))</f>
        <v/>
      </c>
      <c r="BI22" t="str">
        <f ca="1">IF(AND(ISNUMBER($BI$277),$B$258=1),$BI$277,HLOOKUP(INDIRECT(ADDRESS(2,COLUMN())),OFFSET($BN$2,0,0,ROW()-1,60),ROW()-1,FALSE))</f>
        <v/>
      </c>
      <c r="BJ22" t="str">
        <f ca="1">IF(AND(ISNUMBER($BJ$277),$B$258=1),$BJ$277,HLOOKUP(INDIRECT(ADDRESS(2,COLUMN())),OFFSET($BN$2,0,0,ROW()-1,60),ROW()-1,FALSE))</f>
        <v/>
      </c>
      <c r="BK22" t="str">
        <f ca="1">IF(AND(ISNUMBER($BK$277),$B$258=1),$BK$277,HLOOKUP(INDIRECT(ADDRESS(2,COLUMN())),OFFSET($BN$2,0,0,ROW()-1,60),ROW()-1,FALSE))</f>
        <v/>
      </c>
      <c r="BL22" t="str">
        <f ca="1">IF(AND(ISNUMBER($BL$277),$B$258=1),$BL$277,HLOOKUP(INDIRECT(ADDRESS(2,COLUMN())),OFFSET($BN$2,0,0,ROW()-1,60),ROW()-1,FALSE))</f>
        <v/>
      </c>
      <c r="BM22" t="str">
        <f ca="1">IF(AND(ISNUMBER($BM$277),$B$258=1),$BM$277,HLOOKUP(INDIRECT(ADDRESS(2,COLUMN())),OFFSET($BN$2,0,0,ROW()-1,60),ROW()-1,FALSE))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  <c r="CH22" t="str">
        <f>""</f>
        <v/>
      </c>
      <c r="CI22" t="str">
        <f>""</f>
        <v/>
      </c>
      <c r="CJ22" t="str">
        <f>""</f>
        <v/>
      </c>
      <c r="CK22" t="str">
        <f>""</f>
        <v/>
      </c>
      <c r="CL22" t="str">
        <f>""</f>
        <v/>
      </c>
      <c r="CM22" t="str">
        <f>""</f>
        <v/>
      </c>
      <c r="CN22" t="str">
        <f>""</f>
        <v/>
      </c>
      <c r="CO22" t="str">
        <f>""</f>
        <v/>
      </c>
      <c r="CP22" t="str">
        <f>""</f>
        <v/>
      </c>
      <c r="CQ22" t="str">
        <f>""</f>
        <v/>
      </c>
      <c r="CR22" t="str">
        <f>""</f>
        <v/>
      </c>
      <c r="CS22" t="str">
        <f>""</f>
        <v/>
      </c>
      <c r="CT22" t="str">
        <f>""</f>
        <v/>
      </c>
      <c r="CU22" t="str">
        <f>""</f>
        <v/>
      </c>
      <c r="CV22" t="str">
        <f>""</f>
        <v/>
      </c>
      <c r="CW22" t="str">
        <f>""</f>
        <v/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>
      <c r="A23" t="str">
        <f>"    Sabra Health Care REIT Inc"</f>
        <v xml:space="preserve">    Sabra Health Care REIT Inc</v>
      </c>
      <c r="B23" t="str">
        <f>"SBRA US Equity"</f>
        <v>SBRA US Equity</v>
      </c>
      <c r="C23" t="str">
        <f t="shared" si="3"/>
        <v>IM275</v>
      </c>
      <c r="D23" t="str">
        <f t="shared" si="4"/>
        <v>IS_OTHER_RENTAL_INCOME</v>
      </c>
      <c r="E23" t="str">
        <f t="shared" si="5"/>
        <v>动态</v>
      </c>
      <c r="F23" t="str">
        <f ca="1">IF(AND(ISNUMBER($F$278),$B$258=1),$F$278,HLOOKUP(INDIRECT(ADDRESS(2,COLUMN())),OFFSET($BN$2,0,0,ROW()-1,60),ROW()-1,FALSE))</f>
        <v/>
      </c>
      <c r="G23" t="str">
        <f ca="1">IF(AND(ISNUMBER($G$278),$B$258=1),$G$278,HLOOKUP(INDIRECT(ADDRESS(2,COLUMN())),OFFSET($BN$2,0,0,ROW()-1,60),ROW()-1,FALSE))</f>
        <v/>
      </c>
      <c r="H23" t="str">
        <f ca="1">IF(AND(ISNUMBER($H$278),$B$258=1),$H$278,HLOOKUP(INDIRECT(ADDRESS(2,COLUMN())),OFFSET($BN$2,0,0,ROW()-1,60),ROW()-1,FALSE))</f>
        <v/>
      </c>
      <c r="I23" t="str">
        <f ca="1">IF(AND(ISNUMBER($I$278),$B$258=1),$I$278,HLOOKUP(INDIRECT(ADDRESS(2,COLUMN())),OFFSET($BN$2,0,0,ROW()-1,60),ROW()-1,FALSE))</f>
        <v/>
      </c>
      <c r="J23" t="str">
        <f ca="1">IF(AND(ISNUMBER($J$278),$B$258=1),$J$278,HLOOKUP(INDIRECT(ADDRESS(2,COLUMN())),OFFSET($BN$2,0,0,ROW()-1,60),ROW()-1,FALSE))</f>
        <v/>
      </c>
      <c r="K23" t="str">
        <f ca="1">IF(AND(ISNUMBER($K$278),$B$258=1),$K$278,HLOOKUP(INDIRECT(ADDRESS(2,COLUMN())),OFFSET($BN$2,0,0,ROW()-1,60),ROW()-1,FALSE))</f>
        <v/>
      </c>
      <c r="L23" t="str">
        <f ca="1">IF(AND(ISNUMBER($L$278),$B$258=1),$L$278,HLOOKUP(INDIRECT(ADDRESS(2,COLUMN())),OFFSET($BN$2,0,0,ROW()-1,60),ROW()-1,FALSE))</f>
        <v/>
      </c>
      <c r="M23" t="str">
        <f ca="1">IF(AND(ISNUMBER($M$278),$B$258=1),$M$278,HLOOKUP(INDIRECT(ADDRESS(2,COLUMN())),OFFSET($BN$2,0,0,ROW()-1,60),ROW()-1,FALSE))</f>
        <v/>
      </c>
      <c r="N23" t="str">
        <f ca="1">IF(AND(ISNUMBER($N$278),$B$258=1),$N$278,HLOOKUP(INDIRECT(ADDRESS(2,COLUMN())),OFFSET($BN$2,0,0,ROW()-1,60),ROW()-1,FALSE))</f>
        <v/>
      </c>
      <c r="O23" t="str">
        <f ca="1">IF(AND(ISNUMBER($O$278),$B$258=1),$O$278,HLOOKUP(INDIRECT(ADDRESS(2,COLUMN())),OFFSET($BN$2,0,0,ROW()-1,60),ROW()-1,FALSE))</f>
        <v/>
      </c>
      <c r="P23" t="str">
        <f ca="1">IF(AND(ISNUMBER($P$278),$B$258=1),$P$278,HLOOKUP(INDIRECT(ADDRESS(2,COLUMN())),OFFSET($BN$2,0,0,ROW()-1,60),ROW()-1,FALSE))</f>
        <v/>
      </c>
      <c r="Q23" t="str">
        <f ca="1">IF(AND(ISNUMBER($Q$278),$B$258=1),$Q$278,HLOOKUP(INDIRECT(ADDRESS(2,COLUMN())),OFFSET($BN$2,0,0,ROW()-1,60),ROW()-1,FALSE))</f>
        <v/>
      </c>
      <c r="R23" t="str">
        <f ca="1">IF(AND(ISNUMBER($R$278),$B$258=1),$R$278,HLOOKUP(INDIRECT(ADDRESS(2,COLUMN())),OFFSET($BN$2,0,0,ROW()-1,60),ROW()-1,FALSE))</f>
        <v/>
      </c>
      <c r="S23" t="str">
        <f ca="1">IF(AND(ISNUMBER($S$278),$B$258=1),$S$278,HLOOKUP(INDIRECT(ADDRESS(2,COLUMN())),OFFSET($BN$2,0,0,ROW()-1,60),ROW()-1,FALSE))</f>
        <v/>
      </c>
      <c r="T23" t="str">
        <f ca="1">IF(AND(ISNUMBER($T$278),$B$258=1),$T$278,HLOOKUP(INDIRECT(ADDRESS(2,COLUMN())),OFFSET($BN$2,0,0,ROW()-1,60),ROW()-1,FALSE))</f>
        <v/>
      </c>
      <c r="U23" t="str">
        <f ca="1">IF(AND(ISNUMBER($U$278),$B$258=1),$U$278,HLOOKUP(INDIRECT(ADDRESS(2,COLUMN())),OFFSET($BN$2,0,0,ROW()-1,60),ROW()-1,FALSE))</f>
        <v/>
      </c>
      <c r="V23" t="str">
        <f ca="1">IF(AND(ISNUMBER($V$278),$B$258=1),$V$278,HLOOKUP(INDIRECT(ADDRESS(2,COLUMN())),OFFSET($BN$2,0,0,ROW()-1,60),ROW()-1,FALSE))</f>
        <v/>
      </c>
      <c r="W23" t="str">
        <f ca="1">IF(AND(ISNUMBER($W$278),$B$258=1),$W$278,HLOOKUP(INDIRECT(ADDRESS(2,COLUMN())),OFFSET($BN$2,0,0,ROW()-1,60),ROW()-1,FALSE))</f>
        <v/>
      </c>
      <c r="X23" t="str">
        <f ca="1">IF(AND(ISNUMBER($X$278),$B$258=1),$X$278,HLOOKUP(INDIRECT(ADDRESS(2,COLUMN())),OFFSET($BN$2,0,0,ROW()-1,60),ROW()-1,FALSE))</f>
        <v/>
      </c>
      <c r="Y23" t="str">
        <f ca="1">IF(AND(ISNUMBER($Y$278),$B$258=1),$Y$278,HLOOKUP(INDIRECT(ADDRESS(2,COLUMN())),OFFSET($BN$2,0,0,ROW()-1,60),ROW()-1,FALSE))</f>
        <v/>
      </c>
      <c r="Z23" t="str">
        <f ca="1">IF(AND(ISNUMBER($Z$278),$B$258=1),$Z$278,HLOOKUP(INDIRECT(ADDRESS(2,COLUMN())),OFFSET($BN$2,0,0,ROW()-1,60),ROW()-1,FALSE))</f>
        <v/>
      </c>
      <c r="AA23" t="str">
        <f ca="1">IF(AND(ISNUMBER($AA$278),$B$258=1),$AA$278,HLOOKUP(INDIRECT(ADDRESS(2,COLUMN())),OFFSET($BN$2,0,0,ROW()-1,60),ROW()-1,FALSE))</f>
        <v/>
      </c>
      <c r="AB23" t="str">
        <f ca="1">IF(AND(ISNUMBER($AB$278),$B$258=1),$AB$278,HLOOKUP(INDIRECT(ADDRESS(2,COLUMN())),OFFSET($BN$2,0,0,ROW()-1,60),ROW()-1,FALSE))</f>
        <v/>
      </c>
      <c r="AC23" t="str">
        <f ca="1">IF(AND(ISNUMBER($AC$278),$B$258=1),$AC$278,HLOOKUP(INDIRECT(ADDRESS(2,COLUMN())),OFFSET($BN$2,0,0,ROW()-1,60),ROW()-1,FALSE))</f>
        <v/>
      </c>
      <c r="AD23" t="str">
        <f ca="1">IF(AND(ISNUMBER($AD$278),$B$258=1),$AD$278,HLOOKUP(INDIRECT(ADDRESS(2,COLUMN())),OFFSET($BN$2,0,0,ROW()-1,60),ROW()-1,FALSE))</f>
        <v/>
      </c>
      <c r="AE23" t="str">
        <f ca="1">IF(AND(ISNUMBER($AE$278),$B$258=1),$AE$278,HLOOKUP(INDIRECT(ADDRESS(2,COLUMN())),OFFSET($BN$2,0,0,ROW()-1,60),ROW()-1,FALSE))</f>
        <v/>
      </c>
      <c r="AF23" t="str">
        <f ca="1">IF(AND(ISNUMBER($AF$278),$B$258=1),$AF$278,HLOOKUP(INDIRECT(ADDRESS(2,COLUMN())),OFFSET($BN$2,0,0,ROW()-1,60),ROW()-1,FALSE))</f>
        <v/>
      </c>
      <c r="AG23" t="str">
        <f ca="1">IF(AND(ISNUMBER($AG$278),$B$258=1),$AG$278,HLOOKUP(INDIRECT(ADDRESS(2,COLUMN())),OFFSET($BN$2,0,0,ROW()-1,60),ROW()-1,FALSE))</f>
        <v/>
      </c>
      <c r="AH23" t="str">
        <f ca="1">IF(AND(ISNUMBER($AH$278),$B$258=1),$AH$278,HLOOKUP(INDIRECT(ADDRESS(2,COLUMN())),OFFSET($BN$2,0,0,ROW()-1,60),ROW()-1,FALSE))</f>
        <v/>
      </c>
      <c r="AI23" t="str">
        <f ca="1">IF(AND(ISNUMBER($AI$278),$B$258=1),$AI$278,HLOOKUP(INDIRECT(ADDRESS(2,COLUMN())),OFFSET($BN$2,0,0,ROW()-1,60),ROW()-1,FALSE))</f>
        <v/>
      </c>
      <c r="AJ23" t="str">
        <f ca="1">IF(AND(ISNUMBER($AJ$278),$B$258=1),$AJ$278,HLOOKUP(INDIRECT(ADDRESS(2,COLUMN())),OFFSET($BN$2,0,0,ROW()-1,60),ROW()-1,FALSE))</f>
        <v/>
      </c>
      <c r="AK23" t="str">
        <f ca="1">IF(AND(ISNUMBER($AK$278),$B$258=1),$AK$278,HLOOKUP(INDIRECT(ADDRESS(2,COLUMN())),OFFSET($BN$2,0,0,ROW()-1,60),ROW()-1,FALSE))</f>
        <v/>
      </c>
      <c r="AL23" t="str">
        <f ca="1">IF(AND(ISNUMBER($AL$278),$B$258=1),$AL$278,HLOOKUP(INDIRECT(ADDRESS(2,COLUMN())),OFFSET($BN$2,0,0,ROW()-1,60),ROW()-1,FALSE))</f>
        <v/>
      </c>
      <c r="AM23" t="str">
        <f ca="1">IF(AND(ISNUMBER($AM$278),$B$258=1),$AM$278,HLOOKUP(INDIRECT(ADDRESS(2,COLUMN())),OFFSET($BN$2,0,0,ROW()-1,60),ROW()-1,FALSE))</f>
        <v/>
      </c>
      <c r="AN23" t="str">
        <f ca="1">IF(AND(ISNUMBER($AN$278),$B$258=1),$AN$278,HLOOKUP(INDIRECT(ADDRESS(2,COLUMN())),OFFSET($BN$2,0,0,ROW()-1,60),ROW()-1,FALSE))</f>
        <v/>
      </c>
      <c r="AO23" t="str">
        <f ca="1">IF(AND(ISNUMBER($AO$278),$B$258=1),$AO$278,HLOOKUP(INDIRECT(ADDRESS(2,COLUMN())),OFFSET($BN$2,0,0,ROW()-1,60),ROW()-1,FALSE))</f>
        <v/>
      </c>
      <c r="AP23" t="str">
        <f ca="1">IF(AND(ISNUMBER($AP$278),$B$258=1),$AP$278,HLOOKUP(INDIRECT(ADDRESS(2,COLUMN())),OFFSET($BN$2,0,0,ROW()-1,60),ROW()-1,FALSE))</f>
        <v/>
      </c>
      <c r="AQ23" t="str">
        <f ca="1">IF(AND(ISNUMBER($AQ$278),$B$258=1),$AQ$278,HLOOKUP(INDIRECT(ADDRESS(2,COLUMN())),OFFSET($BN$2,0,0,ROW()-1,60),ROW()-1,FALSE))</f>
        <v/>
      </c>
      <c r="AR23" t="str">
        <f ca="1">IF(AND(ISNUMBER($AR$278),$B$258=1),$AR$278,HLOOKUP(INDIRECT(ADDRESS(2,COLUMN())),OFFSET($BN$2,0,0,ROW()-1,60),ROW()-1,FALSE))</f>
        <v/>
      </c>
      <c r="AS23" t="str">
        <f ca="1">IF(AND(ISNUMBER($AS$278),$B$258=1),$AS$278,HLOOKUP(INDIRECT(ADDRESS(2,COLUMN())),OFFSET($BN$2,0,0,ROW()-1,60),ROW()-1,FALSE))</f>
        <v/>
      </c>
      <c r="AT23" t="str">
        <f ca="1">IF(AND(ISNUMBER($AT$278),$B$258=1),$AT$278,HLOOKUP(INDIRECT(ADDRESS(2,COLUMN())),OFFSET($BN$2,0,0,ROW()-1,60),ROW()-1,FALSE))</f>
        <v/>
      </c>
      <c r="AU23" t="str">
        <f ca="1">IF(AND(ISNUMBER($AU$278),$B$258=1),$AU$278,HLOOKUP(INDIRECT(ADDRESS(2,COLUMN())),OFFSET($BN$2,0,0,ROW()-1,60),ROW()-1,FALSE))</f>
        <v/>
      </c>
      <c r="AV23" t="str">
        <f ca="1">IF(AND(ISNUMBER($AV$278),$B$258=1),$AV$278,HLOOKUP(INDIRECT(ADDRESS(2,COLUMN())),OFFSET($BN$2,0,0,ROW()-1,60),ROW()-1,FALSE))</f>
        <v/>
      </c>
      <c r="AW23" t="str">
        <f ca="1">IF(AND(ISNUMBER($AW$278),$B$258=1),$AW$278,HLOOKUP(INDIRECT(ADDRESS(2,COLUMN())),OFFSET($BN$2,0,0,ROW()-1,60),ROW()-1,FALSE))</f>
        <v/>
      </c>
      <c r="AX23" t="str">
        <f ca="1">IF(AND(ISNUMBER($AX$278),$B$258=1),$AX$278,HLOOKUP(INDIRECT(ADDRESS(2,COLUMN())),OFFSET($BN$2,0,0,ROW()-1,60),ROW()-1,FALSE))</f>
        <v/>
      </c>
      <c r="AY23" t="str">
        <f ca="1">IF(AND(ISNUMBER($AY$278),$B$258=1),$AY$278,HLOOKUP(INDIRECT(ADDRESS(2,COLUMN())),OFFSET($BN$2,0,0,ROW()-1,60),ROW()-1,FALSE))</f>
        <v/>
      </c>
      <c r="AZ23" t="str">
        <f ca="1">IF(AND(ISNUMBER($AZ$278),$B$258=1),$AZ$278,HLOOKUP(INDIRECT(ADDRESS(2,COLUMN())),OFFSET($BN$2,0,0,ROW()-1,60),ROW()-1,FALSE))</f>
        <v/>
      </c>
      <c r="BA23" t="str">
        <f ca="1">IF(AND(ISNUMBER($BA$278),$B$258=1),$BA$278,HLOOKUP(INDIRECT(ADDRESS(2,COLUMN())),OFFSET($BN$2,0,0,ROW()-1,60),ROW()-1,FALSE))</f>
        <v/>
      </c>
      <c r="BB23" t="str">
        <f ca="1">IF(AND(ISNUMBER($BB$278),$B$258=1),$BB$278,HLOOKUP(INDIRECT(ADDRESS(2,COLUMN())),OFFSET($BN$2,0,0,ROW()-1,60),ROW()-1,FALSE))</f>
        <v/>
      </c>
      <c r="BC23" t="str">
        <f ca="1">IF(AND(ISNUMBER($BC$278),$B$258=1),$BC$278,HLOOKUP(INDIRECT(ADDRESS(2,COLUMN())),OFFSET($BN$2,0,0,ROW()-1,60),ROW()-1,FALSE))</f>
        <v/>
      </c>
      <c r="BD23" t="str">
        <f ca="1">IF(AND(ISNUMBER($BD$278),$B$258=1),$BD$278,HLOOKUP(INDIRECT(ADDRESS(2,COLUMN())),OFFSET($BN$2,0,0,ROW()-1,60),ROW()-1,FALSE))</f>
        <v/>
      </c>
      <c r="BE23" t="str">
        <f ca="1">IF(AND(ISNUMBER($BE$278),$B$258=1),$BE$278,HLOOKUP(INDIRECT(ADDRESS(2,COLUMN())),OFFSET($BN$2,0,0,ROW()-1,60),ROW()-1,FALSE))</f>
        <v/>
      </c>
      <c r="BF23" t="str">
        <f ca="1">IF(AND(ISNUMBER($BF$278),$B$258=1),$BF$278,HLOOKUP(INDIRECT(ADDRESS(2,COLUMN())),OFFSET($BN$2,0,0,ROW()-1,60),ROW()-1,FALSE))</f>
        <v/>
      </c>
      <c r="BG23" t="str">
        <f ca="1">IF(AND(ISNUMBER($BG$278),$B$258=1),$BG$278,HLOOKUP(INDIRECT(ADDRESS(2,COLUMN())),OFFSET($BN$2,0,0,ROW()-1,60),ROW()-1,FALSE))</f>
        <v/>
      </c>
      <c r="BH23" t="str">
        <f ca="1">IF(AND(ISNUMBER($BH$278),$B$258=1),$BH$278,HLOOKUP(INDIRECT(ADDRESS(2,COLUMN())),OFFSET($BN$2,0,0,ROW()-1,60),ROW()-1,FALSE))</f>
        <v/>
      </c>
      <c r="BI23" t="str">
        <f ca="1">IF(AND(ISNUMBER($BI$278),$B$258=1),$BI$278,HLOOKUP(INDIRECT(ADDRESS(2,COLUMN())),OFFSET($BN$2,0,0,ROW()-1,60),ROW()-1,FALSE))</f>
        <v/>
      </c>
      <c r="BJ23" t="str">
        <f ca="1">IF(AND(ISNUMBER($BJ$278),$B$258=1),$BJ$278,HLOOKUP(INDIRECT(ADDRESS(2,COLUMN())),OFFSET($BN$2,0,0,ROW()-1,60),ROW()-1,FALSE))</f>
        <v/>
      </c>
      <c r="BK23" t="str">
        <f ca="1">IF(AND(ISNUMBER($BK$278),$B$258=1),$BK$278,HLOOKUP(INDIRECT(ADDRESS(2,COLUMN())),OFFSET($BN$2,0,0,ROW()-1,60),ROW()-1,FALSE))</f>
        <v/>
      </c>
      <c r="BL23" t="str">
        <f ca="1">IF(AND(ISNUMBER($BL$278),$B$258=1),$BL$278,HLOOKUP(INDIRECT(ADDRESS(2,COLUMN())),OFFSET($BN$2,0,0,ROW()-1,60),ROW()-1,FALSE))</f>
        <v/>
      </c>
      <c r="BM23" t="str">
        <f ca="1">IF(AND(ISNUMBER($BM$278),$B$258=1),$BM$278,HLOOKUP(INDIRECT(ADDRESS(2,COLUMN())),OFFSET($BN$2,0,0,ROW()-1,60),ROW()-1,FALSE))</f>
        <v/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  <c r="BT23" t="str">
        <f>""</f>
        <v/>
      </c>
      <c r="BU23" t="str">
        <f>""</f>
        <v/>
      </c>
      <c r="BV23" t="str">
        <f>""</f>
        <v/>
      </c>
      <c r="BW23" t="str">
        <f>""</f>
        <v/>
      </c>
      <c r="BX23" t="str">
        <f>""</f>
        <v/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  <c r="CI23" t="str">
        <f>""</f>
        <v/>
      </c>
      <c r="CJ23" t="str">
        <f>""</f>
        <v/>
      </c>
      <c r="CK23" t="str">
        <f>""</f>
        <v/>
      </c>
      <c r="CL23" t="str">
        <f>""</f>
        <v/>
      </c>
      <c r="CM23" t="str">
        <f>""</f>
        <v/>
      </c>
      <c r="CN23" t="str">
        <f>""</f>
        <v/>
      </c>
      <c r="CO23" t="str">
        <f>""</f>
        <v/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A24" t="str">
        <f>"    Senior Housing Properties Trus"</f>
        <v xml:space="preserve">    Senior Housing Properties Trus</v>
      </c>
      <c r="B24" t="str">
        <f>"SNH US Equity"</f>
        <v>SNH US Equity</v>
      </c>
      <c r="C24" t="str">
        <f t="shared" si="3"/>
        <v>IM275</v>
      </c>
      <c r="D24" t="str">
        <f t="shared" si="4"/>
        <v>IS_OTHER_RENTAL_INCOME</v>
      </c>
      <c r="E24" t="str">
        <f t="shared" si="5"/>
        <v>动态</v>
      </c>
      <c r="F24" t="str">
        <f ca="1">IF(AND(ISNUMBER($F$279),$B$258=1),$F$279,HLOOKUP(INDIRECT(ADDRESS(2,COLUMN())),OFFSET($BN$2,0,0,ROW()-1,60),ROW()-1,FALSE))</f>
        <v/>
      </c>
      <c r="G24" t="str">
        <f ca="1">IF(AND(ISNUMBER($G$279),$B$258=1),$G$279,HLOOKUP(INDIRECT(ADDRESS(2,COLUMN())),OFFSET($BN$2,0,0,ROW()-1,60),ROW()-1,FALSE))</f>
        <v/>
      </c>
      <c r="H24" t="str">
        <f ca="1">IF(AND(ISNUMBER($H$279),$B$258=1),$H$279,HLOOKUP(INDIRECT(ADDRESS(2,COLUMN())),OFFSET($BN$2,0,0,ROW()-1,60),ROW()-1,FALSE))</f>
        <v/>
      </c>
      <c r="I24" t="str">
        <f ca="1">IF(AND(ISNUMBER($I$279),$B$258=1),$I$279,HLOOKUP(INDIRECT(ADDRESS(2,COLUMN())),OFFSET($BN$2,0,0,ROW()-1,60),ROW()-1,FALSE))</f>
        <v/>
      </c>
      <c r="J24" t="str">
        <f ca="1">IF(AND(ISNUMBER($J$279),$B$258=1),$J$279,HLOOKUP(INDIRECT(ADDRESS(2,COLUMN())),OFFSET($BN$2,0,0,ROW()-1,60),ROW()-1,FALSE))</f>
        <v/>
      </c>
      <c r="K24" t="str">
        <f ca="1">IF(AND(ISNUMBER($K$279),$B$258=1),$K$279,HLOOKUP(INDIRECT(ADDRESS(2,COLUMN())),OFFSET($BN$2,0,0,ROW()-1,60),ROW()-1,FALSE))</f>
        <v/>
      </c>
      <c r="L24" t="str">
        <f ca="1">IF(AND(ISNUMBER($L$279),$B$258=1),$L$279,HLOOKUP(INDIRECT(ADDRESS(2,COLUMN())),OFFSET($BN$2,0,0,ROW()-1,60),ROW()-1,FALSE))</f>
        <v/>
      </c>
      <c r="M24" t="str">
        <f ca="1">IF(AND(ISNUMBER($M$279),$B$258=1),$M$279,HLOOKUP(INDIRECT(ADDRESS(2,COLUMN())),OFFSET($BN$2,0,0,ROW()-1,60),ROW()-1,FALSE))</f>
        <v/>
      </c>
      <c r="N24" t="str">
        <f ca="1">IF(AND(ISNUMBER($N$279),$B$258=1),$N$279,HLOOKUP(INDIRECT(ADDRESS(2,COLUMN())),OFFSET($BN$2,0,0,ROW()-1,60),ROW()-1,FALSE))</f>
        <v/>
      </c>
      <c r="O24" t="str">
        <f ca="1">IF(AND(ISNUMBER($O$279),$B$258=1),$O$279,HLOOKUP(INDIRECT(ADDRESS(2,COLUMN())),OFFSET($BN$2,0,0,ROW()-1,60),ROW()-1,FALSE))</f>
        <v/>
      </c>
      <c r="P24" t="str">
        <f ca="1">IF(AND(ISNUMBER($P$279),$B$258=1),$P$279,HLOOKUP(INDIRECT(ADDRESS(2,COLUMN())),OFFSET($BN$2,0,0,ROW()-1,60),ROW()-1,FALSE))</f>
        <v/>
      </c>
      <c r="Q24" t="str">
        <f ca="1">IF(AND(ISNUMBER($Q$279),$B$258=1),$Q$279,HLOOKUP(INDIRECT(ADDRESS(2,COLUMN())),OFFSET($BN$2,0,0,ROW()-1,60),ROW()-1,FALSE))</f>
        <v/>
      </c>
      <c r="R24" t="str">
        <f ca="1">IF(AND(ISNUMBER($R$279),$B$258=1),$R$279,HLOOKUP(INDIRECT(ADDRESS(2,COLUMN())),OFFSET($BN$2,0,0,ROW()-1,60),ROW()-1,FALSE))</f>
        <v/>
      </c>
      <c r="S24" t="str">
        <f ca="1">IF(AND(ISNUMBER($S$279),$B$258=1),$S$279,HLOOKUP(INDIRECT(ADDRESS(2,COLUMN())),OFFSET($BN$2,0,0,ROW()-1,60),ROW()-1,FALSE))</f>
        <v/>
      </c>
      <c r="T24" t="str">
        <f ca="1">IF(AND(ISNUMBER($T$279),$B$258=1),$T$279,HLOOKUP(INDIRECT(ADDRESS(2,COLUMN())),OFFSET($BN$2,0,0,ROW()-1,60),ROW()-1,FALSE))</f>
        <v/>
      </c>
      <c r="U24" t="str">
        <f ca="1">IF(AND(ISNUMBER($U$279),$B$258=1),$U$279,HLOOKUP(INDIRECT(ADDRESS(2,COLUMN())),OFFSET($BN$2,0,0,ROW()-1,60),ROW()-1,FALSE))</f>
        <v/>
      </c>
      <c r="V24" t="str">
        <f ca="1">IF(AND(ISNUMBER($V$279),$B$258=1),$V$279,HLOOKUP(INDIRECT(ADDRESS(2,COLUMN())),OFFSET($BN$2,0,0,ROW()-1,60),ROW()-1,FALSE))</f>
        <v/>
      </c>
      <c r="W24" t="str">
        <f ca="1">IF(AND(ISNUMBER($W$279),$B$258=1),$W$279,HLOOKUP(INDIRECT(ADDRESS(2,COLUMN())),OFFSET($BN$2,0,0,ROW()-1,60),ROW()-1,FALSE))</f>
        <v/>
      </c>
      <c r="X24" t="str">
        <f ca="1">IF(AND(ISNUMBER($X$279),$B$258=1),$X$279,HLOOKUP(INDIRECT(ADDRESS(2,COLUMN())),OFFSET($BN$2,0,0,ROW()-1,60),ROW()-1,FALSE))</f>
        <v/>
      </c>
      <c r="Y24" t="str">
        <f ca="1">IF(AND(ISNUMBER($Y$279),$B$258=1),$Y$279,HLOOKUP(INDIRECT(ADDRESS(2,COLUMN())),OFFSET($BN$2,0,0,ROW()-1,60),ROW()-1,FALSE))</f>
        <v/>
      </c>
      <c r="Z24" t="str">
        <f ca="1">IF(AND(ISNUMBER($Z$279),$B$258=1),$Z$279,HLOOKUP(INDIRECT(ADDRESS(2,COLUMN())),OFFSET($BN$2,0,0,ROW()-1,60),ROW()-1,FALSE))</f>
        <v/>
      </c>
      <c r="AA24" t="str">
        <f ca="1">IF(AND(ISNUMBER($AA$279),$B$258=1),$AA$279,HLOOKUP(INDIRECT(ADDRESS(2,COLUMN())),OFFSET($BN$2,0,0,ROW()-1,60),ROW()-1,FALSE))</f>
        <v/>
      </c>
      <c r="AB24" t="str">
        <f ca="1">IF(AND(ISNUMBER($AB$279),$B$258=1),$AB$279,HLOOKUP(INDIRECT(ADDRESS(2,COLUMN())),OFFSET($BN$2,0,0,ROW()-1,60),ROW()-1,FALSE))</f>
        <v/>
      </c>
      <c r="AC24" t="str">
        <f ca="1">IF(AND(ISNUMBER($AC$279),$B$258=1),$AC$279,HLOOKUP(INDIRECT(ADDRESS(2,COLUMN())),OFFSET($BN$2,0,0,ROW()-1,60),ROW()-1,FALSE))</f>
        <v/>
      </c>
      <c r="AD24" t="str">
        <f ca="1">IF(AND(ISNUMBER($AD$279),$B$258=1),$AD$279,HLOOKUP(INDIRECT(ADDRESS(2,COLUMN())),OFFSET($BN$2,0,0,ROW()-1,60),ROW()-1,FALSE))</f>
        <v/>
      </c>
      <c r="AE24" t="str">
        <f ca="1">IF(AND(ISNUMBER($AE$279),$B$258=1),$AE$279,HLOOKUP(INDIRECT(ADDRESS(2,COLUMN())),OFFSET($BN$2,0,0,ROW()-1,60),ROW()-1,FALSE))</f>
        <v/>
      </c>
      <c r="AF24" t="str">
        <f ca="1">IF(AND(ISNUMBER($AF$279),$B$258=1),$AF$279,HLOOKUP(INDIRECT(ADDRESS(2,COLUMN())),OFFSET($BN$2,0,0,ROW()-1,60),ROW()-1,FALSE))</f>
        <v/>
      </c>
      <c r="AG24" t="str">
        <f ca="1">IF(AND(ISNUMBER($AG$279),$B$258=1),$AG$279,HLOOKUP(INDIRECT(ADDRESS(2,COLUMN())),OFFSET($BN$2,0,0,ROW()-1,60),ROW()-1,FALSE))</f>
        <v/>
      </c>
      <c r="AH24" t="str">
        <f ca="1">IF(AND(ISNUMBER($AH$279),$B$258=1),$AH$279,HLOOKUP(INDIRECT(ADDRESS(2,COLUMN())),OFFSET($BN$2,0,0,ROW()-1,60),ROW()-1,FALSE))</f>
        <v/>
      </c>
      <c r="AI24" t="str">
        <f ca="1">IF(AND(ISNUMBER($AI$279),$B$258=1),$AI$279,HLOOKUP(INDIRECT(ADDRESS(2,COLUMN())),OFFSET($BN$2,0,0,ROW()-1,60),ROW()-1,FALSE))</f>
        <v/>
      </c>
      <c r="AJ24" t="str">
        <f ca="1">IF(AND(ISNUMBER($AJ$279),$B$258=1),$AJ$279,HLOOKUP(INDIRECT(ADDRESS(2,COLUMN())),OFFSET($BN$2,0,0,ROW()-1,60),ROW()-1,FALSE))</f>
        <v/>
      </c>
      <c r="AK24" t="str">
        <f ca="1">IF(AND(ISNUMBER($AK$279),$B$258=1),$AK$279,HLOOKUP(INDIRECT(ADDRESS(2,COLUMN())),OFFSET($BN$2,0,0,ROW()-1,60),ROW()-1,FALSE))</f>
        <v/>
      </c>
      <c r="AL24" t="str">
        <f ca="1">IF(AND(ISNUMBER($AL$279),$B$258=1),$AL$279,HLOOKUP(INDIRECT(ADDRESS(2,COLUMN())),OFFSET($BN$2,0,0,ROW()-1,60),ROW()-1,FALSE))</f>
        <v/>
      </c>
      <c r="AM24" t="str">
        <f ca="1">IF(AND(ISNUMBER($AM$279),$B$258=1),$AM$279,HLOOKUP(INDIRECT(ADDRESS(2,COLUMN())),OFFSET($BN$2,0,0,ROW()-1,60),ROW()-1,FALSE))</f>
        <v/>
      </c>
      <c r="AN24" t="str">
        <f ca="1">IF(AND(ISNUMBER($AN$279),$B$258=1),$AN$279,HLOOKUP(INDIRECT(ADDRESS(2,COLUMN())),OFFSET($BN$2,0,0,ROW()-1,60),ROW()-1,FALSE))</f>
        <v/>
      </c>
      <c r="AO24" t="str">
        <f ca="1">IF(AND(ISNUMBER($AO$279),$B$258=1),$AO$279,HLOOKUP(INDIRECT(ADDRESS(2,COLUMN())),OFFSET($BN$2,0,0,ROW()-1,60),ROW()-1,FALSE))</f>
        <v/>
      </c>
      <c r="AP24" t="str">
        <f ca="1">IF(AND(ISNUMBER($AP$279),$B$258=1),$AP$279,HLOOKUP(INDIRECT(ADDRESS(2,COLUMN())),OFFSET($BN$2,0,0,ROW()-1,60),ROW()-1,FALSE))</f>
        <v/>
      </c>
      <c r="AQ24" t="str">
        <f ca="1">IF(AND(ISNUMBER($AQ$279),$B$258=1),$AQ$279,HLOOKUP(INDIRECT(ADDRESS(2,COLUMN())),OFFSET($BN$2,0,0,ROW()-1,60),ROW()-1,FALSE))</f>
        <v/>
      </c>
      <c r="AR24" t="str">
        <f ca="1">IF(AND(ISNUMBER($AR$279),$B$258=1),$AR$279,HLOOKUP(INDIRECT(ADDRESS(2,COLUMN())),OFFSET($BN$2,0,0,ROW()-1,60),ROW()-1,FALSE))</f>
        <v/>
      </c>
      <c r="AS24" t="str">
        <f ca="1">IF(AND(ISNUMBER($AS$279),$B$258=1),$AS$279,HLOOKUP(INDIRECT(ADDRESS(2,COLUMN())),OFFSET($BN$2,0,0,ROW()-1,60),ROW()-1,FALSE))</f>
        <v/>
      </c>
      <c r="AT24" t="str">
        <f ca="1">IF(AND(ISNUMBER($AT$279),$B$258=1),$AT$279,HLOOKUP(INDIRECT(ADDRESS(2,COLUMN())),OFFSET($BN$2,0,0,ROW()-1,60),ROW()-1,FALSE))</f>
        <v/>
      </c>
      <c r="AU24" t="str">
        <f ca="1">IF(AND(ISNUMBER($AU$279),$B$258=1),$AU$279,HLOOKUP(INDIRECT(ADDRESS(2,COLUMN())),OFFSET($BN$2,0,0,ROW()-1,60),ROW()-1,FALSE))</f>
        <v/>
      </c>
      <c r="AV24" t="str">
        <f ca="1">IF(AND(ISNUMBER($AV$279),$B$258=1),$AV$279,HLOOKUP(INDIRECT(ADDRESS(2,COLUMN())),OFFSET($BN$2,0,0,ROW()-1,60),ROW()-1,FALSE))</f>
        <v/>
      </c>
      <c r="AW24" t="str">
        <f ca="1">IF(AND(ISNUMBER($AW$279),$B$258=1),$AW$279,HLOOKUP(INDIRECT(ADDRESS(2,COLUMN())),OFFSET($BN$2,0,0,ROW()-1,60),ROW()-1,FALSE))</f>
        <v/>
      </c>
      <c r="AX24" t="str">
        <f ca="1">IF(AND(ISNUMBER($AX$279),$B$258=1),$AX$279,HLOOKUP(INDIRECT(ADDRESS(2,COLUMN())),OFFSET($BN$2,0,0,ROW()-1,60),ROW()-1,FALSE))</f>
        <v/>
      </c>
      <c r="AY24" t="str">
        <f ca="1">IF(AND(ISNUMBER($AY$279),$B$258=1),$AY$279,HLOOKUP(INDIRECT(ADDRESS(2,COLUMN())),OFFSET($BN$2,0,0,ROW()-1,60),ROW()-1,FALSE))</f>
        <v/>
      </c>
      <c r="AZ24" t="str">
        <f ca="1">IF(AND(ISNUMBER($AZ$279),$B$258=1),$AZ$279,HLOOKUP(INDIRECT(ADDRESS(2,COLUMN())),OFFSET($BN$2,0,0,ROW()-1,60),ROW()-1,FALSE))</f>
        <v/>
      </c>
      <c r="BA24" t="str">
        <f ca="1">IF(AND(ISNUMBER($BA$279),$B$258=1),$BA$279,HLOOKUP(INDIRECT(ADDRESS(2,COLUMN())),OFFSET($BN$2,0,0,ROW()-1,60),ROW()-1,FALSE))</f>
        <v/>
      </c>
      <c r="BB24" t="str">
        <f ca="1">IF(AND(ISNUMBER($BB$279),$B$258=1),$BB$279,HLOOKUP(INDIRECT(ADDRESS(2,COLUMN())),OFFSET($BN$2,0,0,ROW()-1,60),ROW()-1,FALSE))</f>
        <v/>
      </c>
      <c r="BC24" t="str">
        <f ca="1">IF(AND(ISNUMBER($BC$279),$B$258=1),$BC$279,HLOOKUP(INDIRECT(ADDRESS(2,COLUMN())),OFFSET($BN$2,0,0,ROW()-1,60),ROW()-1,FALSE))</f>
        <v/>
      </c>
      <c r="BD24" t="str">
        <f ca="1">IF(AND(ISNUMBER($BD$279),$B$258=1),$BD$279,HLOOKUP(INDIRECT(ADDRESS(2,COLUMN())),OFFSET($BN$2,0,0,ROW()-1,60),ROW()-1,FALSE))</f>
        <v/>
      </c>
      <c r="BE24" t="str">
        <f ca="1">IF(AND(ISNUMBER($BE$279),$B$258=1),$BE$279,HLOOKUP(INDIRECT(ADDRESS(2,COLUMN())),OFFSET($BN$2,0,0,ROW()-1,60),ROW()-1,FALSE))</f>
        <v/>
      </c>
      <c r="BF24" t="str">
        <f ca="1">IF(AND(ISNUMBER($BF$279),$B$258=1),$BF$279,HLOOKUP(INDIRECT(ADDRESS(2,COLUMN())),OFFSET($BN$2,0,0,ROW()-1,60),ROW()-1,FALSE))</f>
        <v/>
      </c>
      <c r="BG24" t="str">
        <f ca="1">IF(AND(ISNUMBER($BG$279),$B$258=1),$BG$279,HLOOKUP(INDIRECT(ADDRESS(2,COLUMN())),OFFSET($BN$2,0,0,ROW()-1,60),ROW()-1,FALSE))</f>
        <v/>
      </c>
      <c r="BH24" t="str">
        <f ca="1">IF(AND(ISNUMBER($BH$279),$B$258=1),$BH$279,HLOOKUP(INDIRECT(ADDRESS(2,COLUMN())),OFFSET($BN$2,0,0,ROW()-1,60),ROW()-1,FALSE))</f>
        <v/>
      </c>
      <c r="BI24" t="str">
        <f ca="1">IF(AND(ISNUMBER($BI$279),$B$258=1),$BI$279,HLOOKUP(INDIRECT(ADDRESS(2,COLUMN())),OFFSET($BN$2,0,0,ROW()-1,60),ROW()-1,FALSE))</f>
        <v/>
      </c>
      <c r="BJ24" t="str">
        <f ca="1">IF(AND(ISNUMBER($BJ$279),$B$258=1),$BJ$279,HLOOKUP(INDIRECT(ADDRESS(2,COLUMN())),OFFSET($BN$2,0,0,ROW()-1,60),ROW()-1,FALSE))</f>
        <v/>
      </c>
      <c r="BK24" t="str">
        <f ca="1">IF(AND(ISNUMBER($BK$279),$B$258=1),$BK$279,HLOOKUP(INDIRECT(ADDRESS(2,COLUMN())),OFFSET($BN$2,0,0,ROW()-1,60),ROW()-1,FALSE))</f>
        <v/>
      </c>
      <c r="BL24" t="str">
        <f ca="1">IF(AND(ISNUMBER($BL$279),$B$258=1),$BL$279,HLOOKUP(INDIRECT(ADDRESS(2,COLUMN())),OFFSET($BN$2,0,0,ROW()-1,60),ROW()-1,FALSE))</f>
        <v/>
      </c>
      <c r="BM24" t="str">
        <f ca="1">IF(AND(ISNUMBER($BM$279),$B$258=1),$BM$279,HLOOKUP(INDIRECT(ADDRESS(2,COLUMN())),OFFSET($BN$2,0,0,ROW()-1,60),ROW()-1,FALSE))</f>
        <v/>
      </c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A25" t="str">
        <f>"    Ventas Inc"</f>
        <v xml:space="preserve">    Ventas Inc</v>
      </c>
      <c r="B25" t="str">
        <f>"VTR US Equity"</f>
        <v>VTR US Equity</v>
      </c>
      <c r="C25" t="str">
        <f t="shared" si="3"/>
        <v>IM275</v>
      </c>
      <c r="D25" t="str">
        <f t="shared" si="4"/>
        <v>IS_OTHER_RENTAL_INCOME</v>
      </c>
      <c r="E25" t="str">
        <f t="shared" si="5"/>
        <v>动态</v>
      </c>
      <c r="F25" t="str">
        <f ca="1">IF(AND(ISNUMBER($F$280),$B$258=1),$F$280,HLOOKUP(INDIRECT(ADDRESS(2,COLUMN())),OFFSET($BN$2,0,0,ROW()-1,60),ROW()-1,FALSE))</f>
        <v/>
      </c>
      <c r="G25" t="str">
        <f ca="1">IF(AND(ISNUMBER($G$280),$B$258=1),$G$280,HLOOKUP(INDIRECT(ADDRESS(2,COLUMN())),OFFSET($BN$2,0,0,ROW()-1,60),ROW()-1,FALSE))</f>
        <v/>
      </c>
      <c r="H25" t="str">
        <f ca="1">IF(AND(ISNUMBER($H$280),$B$258=1),$H$280,HLOOKUP(INDIRECT(ADDRESS(2,COLUMN())),OFFSET($BN$2,0,0,ROW()-1,60),ROW()-1,FALSE))</f>
        <v/>
      </c>
      <c r="I25" t="str">
        <f ca="1">IF(AND(ISNUMBER($I$280),$B$258=1),$I$280,HLOOKUP(INDIRECT(ADDRESS(2,COLUMN())),OFFSET($BN$2,0,0,ROW()-1,60),ROW()-1,FALSE))</f>
        <v/>
      </c>
      <c r="J25" t="str">
        <f ca="1">IF(AND(ISNUMBER($J$280),$B$258=1),$J$280,HLOOKUP(INDIRECT(ADDRESS(2,COLUMN())),OFFSET($BN$2,0,0,ROW()-1,60),ROW()-1,FALSE))</f>
        <v/>
      </c>
      <c r="K25" t="str">
        <f ca="1">IF(AND(ISNUMBER($K$280),$B$258=1),$K$280,HLOOKUP(INDIRECT(ADDRESS(2,COLUMN())),OFFSET($BN$2,0,0,ROW()-1,60),ROW()-1,FALSE))</f>
        <v/>
      </c>
      <c r="L25" t="str">
        <f ca="1">IF(AND(ISNUMBER($L$280),$B$258=1),$L$280,HLOOKUP(INDIRECT(ADDRESS(2,COLUMN())),OFFSET($BN$2,0,0,ROW()-1,60),ROW()-1,FALSE))</f>
        <v/>
      </c>
      <c r="M25" t="str">
        <f ca="1">IF(AND(ISNUMBER($M$280),$B$258=1),$M$280,HLOOKUP(INDIRECT(ADDRESS(2,COLUMN())),OFFSET($BN$2,0,0,ROW()-1,60),ROW()-1,FALSE))</f>
        <v/>
      </c>
      <c r="N25" t="str">
        <f ca="1">IF(AND(ISNUMBER($N$280),$B$258=1),$N$280,HLOOKUP(INDIRECT(ADDRESS(2,COLUMN())),OFFSET($BN$2,0,0,ROW()-1,60),ROW()-1,FALSE))</f>
        <v/>
      </c>
      <c r="O25" t="str">
        <f ca="1">IF(AND(ISNUMBER($O$280),$B$258=1),$O$280,HLOOKUP(INDIRECT(ADDRESS(2,COLUMN())),OFFSET($BN$2,0,0,ROW()-1,60),ROW()-1,FALSE))</f>
        <v/>
      </c>
      <c r="P25" t="str">
        <f ca="1">IF(AND(ISNUMBER($P$280),$B$258=1),$P$280,HLOOKUP(INDIRECT(ADDRESS(2,COLUMN())),OFFSET($BN$2,0,0,ROW()-1,60),ROW()-1,FALSE))</f>
        <v/>
      </c>
      <c r="Q25" t="str">
        <f ca="1">IF(AND(ISNUMBER($Q$280),$B$258=1),$Q$280,HLOOKUP(INDIRECT(ADDRESS(2,COLUMN())),OFFSET($BN$2,0,0,ROW()-1,60),ROW()-1,FALSE))</f>
        <v/>
      </c>
      <c r="R25" t="str">
        <f ca="1">IF(AND(ISNUMBER($R$280),$B$258=1),$R$280,HLOOKUP(INDIRECT(ADDRESS(2,COLUMN())),OFFSET($BN$2,0,0,ROW()-1,60),ROW()-1,FALSE))</f>
        <v/>
      </c>
      <c r="S25" t="str">
        <f ca="1">IF(AND(ISNUMBER($S$280),$B$258=1),$S$280,HLOOKUP(INDIRECT(ADDRESS(2,COLUMN())),OFFSET($BN$2,0,0,ROW()-1,60),ROW()-1,FALSE))</f>
        <v/>
      </c>
      <c r="T25" t="str">
        <f ca="1">IF(AND(ISNUMBER($T$280),$B$258=1),$T$280,HLOOKUP(INDIRECT(ADDRESS(2,COLUMN())),OFFSET($BN$2,0,0,ROW()-1,60),ROW()-1,FALSE))</f>
        <v/>
      </c>
      <c r="U25" t="str">
        <f ca="1">IF(AND(ISNUMBER($U$280),$B$258=1),$U$280,HLOOKUP(INDIRECT(ADDRESS(2,COLUMN())),OFFSET($BN$2,0,0,ROW()-1,60),ROW()-1,FALSE))</f>
        <v/>
      </c>
      <c r="V25" t="str">
        <f ca="1">IF(AND(ISNUMBER($V$280),$B$258=1),$V$280,HLOOKUP(INDIRECT(ADDRESS(2,COLUMN())),OFFSET($BN$2,0,0,ROW()-1,60),ROW()-1,FALSE))</f>
        <v/>
      </c>
      <c r="W25" t="str">
        <f ca="1">IF(AND(ISNUMBER($W$280),$B$258=1),$W$280,HLOOKUP(INDIRECT(ADDRESS(2,COLUMN())),OFFSET($BN$2,0,0,ROW()-1,60),ROW()-1,FALSE))</f>
        <v/>
      </c>
      <c r="X25" t="str">
        <f ca="1">IF(AND(ISNUMBER($X$280),$B$258=1),$X$280,HLOOKUP(INDIRECT(ADDRESS(2,COLUMN())),OFFSET($BN$2,0,0,ROW()-1,60),ROW()-1,FALSE))</f>
        <v/>
      </c>
      <c r="Y25" t="str">
        <f ca="1">IF(AND(ISNUMBER($Y$280),$B$258=1),$Y$280,HLOOKUP(INDIRECT(ADDRESS(2,COLUMN())),OFFSET($BN$2,0,0,ROW()-1,60),ROW()-1,FALSE))</f>
        <v/>
      </c>
      <c r="Z25" t="str">
        <f ca="1">IF(AND(ISNUMBER($Z$280),$B$258=1),$Z$280,HLOOKUP(INDIRECT(ADDRESS(2,COLUMN())),OFFSET($BN$2,0,0,ROW()-1,60),ROW()-1,FALSE))</f>
        <v/>
      </c>
      <c r="AA25" t="str">
        <f ca="1">IF(AND(ISNUMBER($AA$280),$B$258=1),$AA$280,HLOOKUP(INDIRECT(ADDRESS(2,COLUMN())),OFFSET($BN$2,0,0,ROW()-1,60),ROW()-1,FALSE))</f>
        <v/>
      </c>
      <c r="AB25" t="str">
        <f ca="1">IF(AND(ISNUMBER($AB$280),$B$258=1),$AB$280,HLOOKUP(INDIRECT(ADDRESS(2,COLUMN())),OFFSET($BN$2,0,0,ROW()-1,60),ROW()-1,FALSE))</f>
        <v/>
      </c>
      <c r="AC25" t="str">
        <f ca="1">IF(AND(ISNUMBER($AC$280),$B$258=1),$AC$280,HLOOKUP(INDIRECT(ADDRESS(2,COLUMN())),OFFSET($BN$2,0,0,ROW()-1,60),ROW()-1,FALSE))</f>
        <v/>
      </c>
      <c r="AD25" t="str">
        <f ca="1">IF(AND(ISNUMBER($AD$280),$B$258=1),$AD$280,HLOOKUP(INDIRECT(ADDRESS(2,COLUMN())),OFFSET($BN$2,0,0,ROW()-1,60),ROW()-1,FALSE))</f>
        <v/>
      </c>
      <c r="AE25" t="str">
        <f ca="1">IF(AND(ISNUMBER($AE$280),$B$258=1),$AE$280,HLOOKUP(INDIRECT(ADDRESS(2,COLUMN())),OFFSET($BN$2,0,0,ROW()-1,60),ROW()-1,FALSE))</f>
        <v/>
      </c>
      <c r="AF25" t="str">
        <f ca="1">IF(AND(ISNUMBER($AF$280),$B$258=1),$AF$280,HLOOKUP(INDIRECT(ADDRESS(2,COLUMN())),OFFSET($BN$2,0,0,ROW()-1,60),ROW()-1,FALSE))</f>
        <v/>
      </c>
      <c r="AG25" t="str">
        <f ca="1">IF(AND(ISNUMBER($AG$280),$B$258=1),$AG$280,HLOOKUP(INDIRECT(ADDRESS(2,COLUMN())),OFFSET($BN$2,0,0,ROW()-1,60),ROW()-1,FALSE))</f>
        <v/>
      </c>
      <c r="AH25" t="str">
        <f ca="1">IF(AND(ISNUMBER($AH$280),$B$258=1),$AH$280,HLOOKUP(INDIRECT(ADDRESS(2,COLUMN())),OFFSET($BN$2,0,0,ROW()-1,60),ROW()-1,FALSE))</f>
        <v/>
      </c>
      <c r="AI25" t="str">
        <f ca="1">IF(AND(ISNUMBER($AI$280),$B$258=1),$AI$280,HLOOKUP(INDIRECT(ADDRESS(2,COLUMN())),OFFSET($BN$2,0,0,ROW()-1,60),ROW()-1,FALSE))</f>
        <v/>
      </c>
      <c r="AJ25" t="str">
        <f ca="1">IF(AND(ISNUMBER($AJ$280),$B$258=1),$AJ$280,HLOOKUP(INDIRECT(ADDRESS(2,COLUMN())),OFFSET($BN$2,0,0,ROW()-1,60),ROW()-1,FALSE))</f>
        <v/>
      </c>
      <c r="AK25" t="str">
        <f ca="1">IF(AND(ISNUMBER($AK$280),$B$258=1),$AK$280,HLOOKUP(INDIRECT(ADDRESS(2,COLUMN())),OFFSET($BN$2,0,0,ROW()-1,60),ROW()-1,FALSE))</f>
        <v/>
      </c>
      <c r="AL25" t="str">
        <f ca="1">IF(AND(ISNUMBER($AL$280),$B$258=1),$AL$280,HLOOKUP(INDIRECT(ADDRESS(2,COLUMN())),OFFSET($BN$2,0,0,ROW()-1,60),ROW()-1,FALSE))</f>
        <v/>
      </c>
      <c r="AM25" t="str">
        <f ca="1">IF(AND(ISNUMBER($AM$280),$B$258=1),$AM$280,HLOOKUP(INDIRECT(ADDRESS(2,COLUMN())),OFFSET($BN$2,0,0,ROW()-1,60),ROW()-1,FALSE))</f>
        <v/>
      </c>
      <c r="AN25" t="str">
        <f ca="1">IF(AND(ISNUMBER($AN$280),$B$258=1),$AN$280,HLOOKUP(INDIRECT(ADDRESS(2,COLUMN())),OFFSET($BN$2,0,0,ROW()-1,60),ROW()-1,FALSE))</f>
        <v/>
      </c>
      <c r="AO25" t="str">
        <f ca="1">IF(AND(ISNUMBER($AO$280),$B$258=1),$AO$280,HLOOKUP(INDIRECT(ADDRESS(2,COLUMN())),OFFSET($BN$2,0,0,ROW()-1,60),ROW()-1,FALSE))</f>
        <v/>
      </c>
      <c r="AP25" t="str">
        <f ca="1">IF(AND(ISNUMBER($AP$280),$B$258=1),$AP$280,HLOOKUP(INDIRECT(ADDRESS(2,COLUMN())),OFFSET($BN$2,0,0,ROW()-1,60),ROW()-1,FALSE))</f>
        <v/>
      </c>
      <c r="AQ25" t="str">
        <f ca="1">IF(AND(ISNUMBER($AQ$280),$B$258=1),$AQ$280,HLOOKUP(INDIRECT(ADDRESS(2,COLUMN())),OFFSET($BN$2,0,0,ROW()-1,60),ROW()-1,FALSE))</f>
        <v/>
      </c>
      <c r="AR25" t="str">
        <f ca="1">IF(AND(ISNUMBER($AR$280),$B$258=1),$AR$280,HLOOKUP(INDIRECT(ADDRESS(2,COLUMN())),OFFSET($BN$2,0,0,ROW()-1,60),ROW()-1,FALSE))</f>
        <v/>
      </c>
      <c r="AS25" t="str">
        <f ca="1">IF(AND(ISNUMBER($AS$280),$B$258=1),$AS$280,HLOOKUP(INDIRECT(ADDRESS(2,COLUMN())),OFFSET($BN$2,0,0,ROW()-1,60),ROW()-1,FALSE))</f>
        <v/>
      </c>
      <c r="AT25" t="str">
        <f ca="1">IF(AND(ISNUMBER($AT$280),$B$258=1),$AT$280,HLOOKUP(INDIRECT(ADDRESS(2,COLUMN())),OFFSET($BN$2,0,0,ROW()-1,60),ROW()-1,FALSE))</f>
        <v/>
      </c>
      <c r="AU25" t="str">
        <f ca="1">IF(AND(ISNUMBER($AU$280),$B$258=1),$AU$280,HLOOKUP(INDIRECT(ADDRESS(2,COLUMN())),OFFSET($BN$2,0,0,ROW()-1,60),ROW()-1,FALSE))</f>
        <v/>
      </c>
      <c r="AV25" t="str">
        <f ca="1">IF(AND(ISNUMBER($AV$280),$B$258=1),$AV$280,HLOOKUP(INDIRECT(ADDRESS(2,COLUMN())),OFFSET($BN$2,0,0,ROW()-1,60),ROW()-1,FALSE))</f>
        <v/>
      </c>
      <c r="AW25" t="str">
        <f ca="1">IF(AND(ISNUMBER($AW$280),$B$258=1),$AW$280,HLOOKUP(INDIRECT(ADDRESS(2,COLUMN())),OFFSET($BN$2,0,0,ROW()-1,60),ROW()-1,FALSE))</f>
        <v/>
      </c>
      <c r="AX25" t="str">
        <f ca="1">IF(AND(ISNUMBER($AX$280),$B$258=1),$AX$280,HLOOKUP(INDIRECT(ADDRESS(2,COLUMN())),OFFSET($BN$2,0,0,ROW()-1,60),ROW()-1,FALSE))</f>
        <v/>
      </c>
      <c r="AY25" t="str">
        <f ca="1">IF(AND(ISNUMBER($AY$280),$B$258=1),$AY$280,HLOOKUP(INDIRECT(ADDRESS(2,COLUMN())),OFFSET($BN$2,0,0,ROW()-1,60),ROW()-1,FALSE))</f>
        <v/>
      </c>
      <c r="AZ25" t="str">
        <f ca="1">IF(AND(ISNUMBER($AZ$280),$B$258=1),$AZ$280,HLOOKUP(INDIRECT(ADDRESS(2,COLUMN())),OFFSET($BN$2,0,0,ROW()-1,60),ROW()-1,FALSE))</f>
        <v/>
      </c>
      <c r="BA25" t="str">
        <f ca="1">IF(AND(ISNUMBER($BA$280),$B$258=1),$BA$280,HLOOKUP(INDIRECT(ADDRESS(2,COLUMN())),OFFSET($BN$2,0,0,ROW()-1,60),ROW()-1,FALSE))</f>
        <v/>
      </c>
      <c r="BB25" t="str">
        <f ca="1">IF(AND(ISNUMBER($BB$280),$B$258=1),$BB$280,HLOOKUP(INDIRECT(ADDRESS(2,COLUMN())),OFFSET($BN$2,0,0,ROW()-1,60),ROW()-1,FALSE))</f>
        <v/>
      </c>
      <c r="BC25" t="str">
        <f ca="1">IF(AND(ISNUMBER($BC$280),$B$258=1),$BC$280,HLOOKUP(INDIRECT(ADDRESS(2,COLUMN())),OFFSET($BN$2,0,0,ROW()-1,60),ROW()-1,FALSE))</f>
        <v/>
      </c>
      <c r="BD25" t="str">
        <f ca="1">IF(AND(ISNUMBER($BD$280),$B$258=1),$BD$280,HLOOKUP(INDIRECT(ADDRESS(2,COLUMN())),OFFSET($BN$2,0,0,ROW()-1,60),ROW()-1,FALSE))</f>
        <v/>
      </c>
      <c r="BE25" t="str">
        <f ca="1">IF(AND(ISNUMBER($BE$280),$B$258=1),$BE$280,HLOOKUP(INDIRECT(ADDRESS(2,COLUMN())),OFFSET($BN$2,0,0,ROW()-1,60),ROW()-1,FALSE))</f>
        <v/>
      </c>
      <c r="BF25" t="str">
        <f ca="1">IF(AND(ISNUMBER($BF$280),$B$258=1),$BF$280,HLOOKUP(INDIRECT(ADDRESS(2,COLUMN())),OFFSET($BN$2,0,0,ROW()-1,60),ROW()-1,FALSE))</f>
        <v/>
      </c>
      <c r="BG25" t="str">
        <f ca="1">IF(AND(ISNUMBER($BG$280),$B$258=1),$BG$280,HLOOKUP(INDIRECT(ADDRESS(2,COLUMN())),OFFSET($BN$2,0,0,ROW()-1,60),ROW()-1,FALSE))</f>
        <v/>
      </c>
      <c r="BH25" t="str">
        <f ca="1">IF(AND(ISNUMBER($BH$280),$B$258=1),$BH$280,HLOOKUP(INDIRECT(ADDRESS(2,COLUMN())),OFFSET($BN$2,0,0,ROW()-1,60),ROW()-1,FALSE))</f>
        <v/>
      </c>
      <c r="BI25" t="str">
        <f ca="1">IF(AND(ISNUMBER($BI$280),$B$258=1),$BI$280,HLOOKUP(INDIRECT(ADDRESS(2,COLUMN())),OFFSET($BN$2,0,0,ROW()-1,60),ROW()-1,FALSE))</f>
        <v/>
      </c>
      <c r="BJ25" t="str">
        <f ca="1">IF(AND(ISNUMBER($BJ$280),$B$258=1),$BJ$280,HLOOKUP(INDIRECT(ADDRESS(2,COLUMN())),OFFSET($BN$2,0,0,ROW()-1,60),ROW()-1,FALSE))</f>
        <v/>
      </c>
      <c r="BK25" t="str">
        <f ca="1">IF(AND(ISNUMBER($BK$280),$B$258=1),$BK$280,HLOOKUP(INDIRECT(ADDRESS(2,COLUMN())),OFFSET($BN$2,0,0,ROW()-1,60),ROW()-1,FALSE))</f>
        <v/>
      </c>
      <c r="BL25" t="str">
        <f ca="1">IF(AND(ISNUMBER($BL$280),$B$258=1),$BL$280,HLOOKUP(INDIRECT(ADDRESS(2,COLUMN())),OFFSET($BN$2,0,0,ROW()-1,60),ROW()-1,FALSE))</f>
        <v/>
      </c>
      <c r="BM25" t="str">
        <f ca="1">IF(AND(ISNUMBER($BM$280),$B$258=1),$BM$280,HLOOKUP(INDIRECT(ADDRESS(2,COLUMN())),OFFSET($BN$2,0,0,ROW()-1,60),ROW()-1,FALSE))</f>
        <v/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 t="str">
        <f>""</f>
        <v/>
      </c>
      <c r="CT25" t="str">
        <f>""</f>
        <v/>
      </c>
      <c r="CU25" t="str">
        <f>""</f>
        <v/>
      </c>
      <c r="CV25" t="str">
        <f>""</f>
        <v/>
      </c>
      <c r="CW25" t="str">
        <f>""</f>
        <v/>
      </c>
      <c r="CX25" t="str">
        <f>""</f>
        <v/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A26" t="str">
        <f>"    Welltower Inc"</f>
        <v xml:space="preserve">    Welltower Inc</v>
      </c>
      <c r="B26" t="str">
        <f>"HCN US Equity"</f>
        <v>HCN US Equity</v>
      </c>
      <c r="C26" t="str">
        <f t="shared" si="3"/>
        <v>IM275</v>
      </c>
      <c r="D26" t="str">
        <f t="shared" si="4"/>
        <v>IS_OTHER_RENTAL_INCOME</v>
      </c>
      <c r="E26" t="str">
        <f t="shared" si="5"/>
        <v>动态</v>
      </c>
      <c r="F26" t="str">
        <f ca="1">IF(AND(ISNUMBER($F$281),$B$258=1),$F$281,HLOOKUP(INDIRECT(ADDRESS(2,COLUMN())),OFFSET($BN$2,0,0,ROW()-1,60),ROW()-1,FALSE))</f>
        <v/>
      </c>
      <c r="G26" t="str">
        <f ca="1">IF(AND(ISNUMBER($G$281),$B$258=1),$G$281,HLOOKUP(INDIRECT(ADDRESS(2,COLUMN())),OFFSET($BN$2,0,0,ROW()-1,60),ROW()-1,FALSE))</f>
        <v/>
      </c>
      <c r="H26" t="str">
        <f ca="1">IF(AND(ISNUMBER($H$281),$B$258=1),$H$281,HLOOKUP(INDIRECT(ADDRESS(2,COLUMN())),OFFSET($BN$2,0,0,ROW()-1,60),ROW()-1,FALSE))</f>
        <v/>
      </c>
      <c r="I26" t="str">
        <f ca="1">IF(AND(ISNUMBER($I$281),$B$258=1),$I$281,HLOOKUP(INDIRECT(ADDRESS(2,COLUMN())),OFFSET($BN$2,0,0,ROW()-1,60),ROW()-1,FALSE))</f>
        <v/>
      </c>
      <c r="J26" t="str">
        <f ca="1">IF(AND(ISNUMBER($J$281),$B$258=1),$J$281,HLOOKUP(INDIRECT(ADDRESS(2,COLUMN())),OFFSET($BN$2,0,0,ROW()-1,60),ROW()-1,FALSE))</f>
        <v/>
      </c>
      <c r="K26" t="str">
        <f ca="1">IF(AND(ISNUMBER($K$281),$B$258=1),$K$281,HLOOKUP(INDIRECT(ADDRESS(2,COLUMN())),OFFSET($BN$2,0,0,ROW()-1,60),ROW()-1,FALSE))</f>
        <v/>
      </c>
      <c r="L26" t="str">
        <f ca="1">IF(AND(ISNUMBER($L$281),$B$258=1),$L$281,HLOOKUP(INDIRECT(ADDRESS(2,COLUMN())),OFFSET($BN$2,0,0,ROW()-1,60),ROW()-1,FALSE))</f>
        <v/>
      </c>
      <c r="M26" t="str">
        <f ca="1">IF(AND(ISNUMBER($M$281),$B$258=1),$M$281,HLOOKUP(INDIRECT(ADDRESS(2,COLUMN())),OFFSET($BN$2,0,0,ROW()-1,60),ROW()-1,FALSE))</f>
        <v/>
      </c>
      <c r="N26" t="str">
        <f ca="1">IF(AND(ISNUMBER($N$281),$B$258=1),$N$281,HLOOKUP(INDIRECT(ADDRESS(2,COLUMN())),OFFSET($BN$2,0,0,ROW()-1,60),ROW()-1,FALSE))</f>
        <v/>
      </c>
      <c r="O26" t="str">
        <f ca="1">IF(AND(ISNUMBER($O$281),$B$258=1),$O$281,HLOOKUP(INDIRECT(ADDRESS(2,COLUMN())),OFFSET($BN$2,0,0,ROW()-1,60),ROW()-1,FALSE))</f>
        <v/>
      </c>
      <c r="P26" t="str">
        <f ca="1">IF(AND(ISNUMBER($P$281),$B$258=1),$P$281,HLOOKUP(INDIRECT(ADDRESS(2,COLUMN())),OFFSET($BN$2,0,0,ROW()-1,60),ROW()-1,FALSE))</f>
        <v/>
      </c>
      <c r="Q26" t="str">
        <f ca="1">IF(AND(ISNUMBER($Q$281),$B$258=1),$Q$281,HLOOKUP(INDIRECT(ADDRESS(2,COLUMN())),OFFSET($BN$2,0,0,ROW()-1,60),ROW()-1,FALSE))</f>
        <v/>
      </c>
      <c r="R26" t="str">
        <f ca="1">IF(AND(ISNUMBER($R$281),$B$258=1),$R$281,HLOOKUP(INDIRECT(ADDRESS(2,COLUMN())),OFFSET($BN$2,0,0,ROW()-1,60),ROW()-1,FALSE))</f>
        <v/>
      </c>
      <c r="S26" t="str">
        <f ca="1">IF(AND(ISNUMBER($S$281),$B$258=1),$S$281,HLOOKUP(INDIRECT(ADDRESS(2,COLUMN())),OFFSET($BN$2,0,0,ROW()-1,60),ROW()-1,FALSE))</f>
        <v/>
      </c>
      <c r="T26" t="str">
        <f ca="1">IF(AND(ISNUMBER($T$281),$B$258=1),$T$281,HLOOKUP(INDIRECT(ADDRESS(2,COLUMN())),OFFSET($BN$2,0,0,ROW()-1,60),ROW()-1,FALSE))</f>
        <v/>
      </c>
      <c r="U26" t="str">
        <f ca="1">IF(AND(ISNUMBER($U$281),$B$258=1),$U$281,HLOOKUP(INDIRECT(ADDRESS(2,COLUMN())),OFFSET($BN$2,0,0,ROW()-1,60),ROW()-1,FALSE))</f>
        <v/>
      </c>
      <c r="V26" t="str">
        <f ca="1">IF(AND(ISNUMBER($V$281),$B$258=1),$V$281,HLOOKUP(INDIRECT(ADDRESS(2,COLUMN())),OFFSET($BN$2,0,0,ROW()-1,60),ROW()-1,FALSE))</f>
        <v/>
      </c>
      <c r="W26" t="str">
        <f ca="1">IF(AND(ISNUMBER($W$281),$B$258=1),$W$281,HLOOKUP(INDIRECT(ADDRESS(2,COLUMN())),OFFSET($BN$2,0,0,ROW()-1,60),ROW()-1,FALSE))</f>
        <v/>
      </c>
      <c r="X26" t="str">
        <f ca="1">IF(AND(ISNUMBER($X$281),$B$258=1),$X$281,HLOOKUP(INDIRECT(ADDRESS(2,COLUMN())),OFFSET($BN$2,0,0,ROW()-1,60),ROW()-1,FALSE))</f>
        <v/>
      </c>
      <c r="Y26" t="str">
        <f ca="1">IF(AND(ISNUMBER($Y$281),$B$258=1),$Y$281,HLOOKUP(INDIRECT(ADDRESS(2,COLUMN())),OFFSET($BN$2,0,0,ROW()-1,60),ROW()-1,FALSE))</f>
        <v/>
      </c>
      <c r="Z26" t="str">
        <f ca="1">IF(AND(ISNUMBER($Z$281),$B$258=1),$Z$281,HLOOKUP(INDIRECT(ADDRESS(2,COLUMN())),OFFSET($BN$2,0,0,ROW()-1,60),ROW()-1,FALSE))</f>
        <v/>
      </c>
      <c r="AA26" t="str">
        <f ca="1">IF(AND(ISNUMBER($AA$281),$B$258=1),$AA$281,HLOOKUP(INDIRECT(ADDRESS(2,COLUMN())),OFFSET($BN$2,0,0,ROW()-1,60),ROW()-1,FALSE))</f>
        <v/>
      </c>
      <c r="AB26" t="str">
        <f ca="1">IF(AND(ISNUMBER($AB$281),$B$258=1),$AB$281,HLOOKUP(INDIRECT(ADDRESS(2,COLUMN())),OFFSET($BN$2,0,0,ROW()-1,60),ROW()-1,FALSE))</f>
        <v/>
      </c>
      <c r="AC26" t="str">
        <f ca="1">IF(AND(ISNUMBER($AC$281),$B$258=1),$AC$281,HLOOKUP(INDIRECT(ADDRESS(2,COLUMN())),OFFSET($BN$2,0,0,ROW()-1,60),ROW()-1,FALSE))</f>
        <v/>
      </c>
      <c r="AD26" t="str">
        <f ca="1">IF(AND(ISNUMBER($AD$281),$B$258=1),$AD$281,HLOOKUP(INDIRECT(ADDRESS(2,COLUMN())),OFFSET($BN$2,0,0,ROW()-1,60),ROW()-1,FALSE))</f>
        <v/>
      </c>
      <c r="AE26" t="str">
        <f ca="1">IF(AND(ISNUMBER($AE$281),$B$258=1),$AE$281,HLOOKUP(INDIRECT(ADDRESS(2,COLUMN())),OFFSET($BN$2,0,0,ROW()-1,60),ROW()-1,FALSE))</f>
        <v/>
      </c>
      <c r="AF26" t="str">
        <f ca="1">IF(AND(ISNUMBER($AF$281),$B$258=1),$AF$281,HLOOKUP(INDIRECT(ADDRESS(2,COLUMN())),OFFSET($BN$2,0,0,ROW()-1,60),ROW()-1,FALSE))</f>
        <v/>
      </c>
      <c r="AG26" t="str">
        <f ca="1">IF(AND(ISNUMBER($AG$281),$B$258=1),$AG$281,HLOOKUP(INDIRECT(ADDRESS(2,COLUMN())),OFFSET($BN$2,0,0,ROW()-1,60),ROW()-1,FALSE))</f>
        <v/>
      </c>
      <c r="AH26" t="str">
        <f ca="1">IF(AND(ISNUMBER($AH$281),$B$258=1),$AH$281,HLOOKUP(INDIRECT(ADDRESS(2,COLUMN())),OFFSET($BN$2,0,0,ROW()-1,60),ROW()-1,FALSE))</f>
        <v/>
      </c>
      <c r="AI26" t="str">
        <f ca="1">IF(AND(ISNUMBER($AI$281),$B$258=1),$AI$281,HLOOKUP(INDIRECT(ADDRESS(2,COLUMN())),OFFSET($BN$2,0,0,ROW()-1,60),ROW()-1,FALSE))</f>
        <v/>
      </c>
      <c r="AJ26" t="str">
        <f ca="1">IF(AND(ISNUMBER($AJ$281),$B$258=1),$AJ$281,HLOOKUP(INDIRECT(ADDRESS(2,COLUMN())),OFFSET($BN$2,0,0,ROW()-1,60),ROW()-1,FALSE))</f>
        <v/>
      </c>
      <c r="AK26" t="str">
        <f ca="1">IF(AND(ISNUMBER($AK$281),$B$258=1),$AK$281,HLOOKUP(INDIRECT(ADDRESS(2,COLUMN())),OFFSET($BN$2,0,0,ROW()-1,60),ROW()-1,FALSE))</f>
        <v/>
      </c>
      <c r="AL26" t="str">
        <f ca="1">IF(AND(ISNUMBER($AL$281),$B$258=1),$AL$281,HLOOKUP(INDIRECT(ADDRESS(2,COLUMN())),OFFSET($BN$2,0,0,ROW()-1,60),ROW()-1,FALSE))</f>
        <v/>
      </c>
      <c r="AM26" t="str">
        <f ca="1">IF(AND(ISNUMBER($AM$281),$B$258=1),$AM$281,HLOOKUP(INDIRECT(ADDRESS(2,COLUMN())),OFFSET($BN$2,0,0,ROW()-1,60),ROW()-1,FALSE))</f>
        <v/>
      </c>
      <c r="AN26" t="str">
        <f ca="1">IF(AND(ISNUMBER($AN$281),$B$258=1),$AN$281,HLOOKUP(INDIRECT(ADDRESS(2,COLUMN())),OFFSET($BN$2,0,0,ROW()-1,60),ROW()-1,FALSE))</f>
        <v/>
      </c>
      <c r="AO26" t="str">
        <f ca="1">IF(AND(ISNUMBER($AO$281),$B$258=1),$AO$281,HLOOKUP(INDIRECT(ADDRESS(2,COLUMN())),OFFSET($BN$2,0,0,ROW()-1,60),ROW()-1,FALSE))</f>
        <v/>
      </c>
      <c r="AP26" t="str">
        <f ca="1">IF(AND(ISNUMBER($AP$281),$B$258=1),$AP$281,HLOOKUP(INDIRECT(ADDRESS(2,COLUMN())),OFFSET($BN$2,0,0,ROW()-1,60),ROW()-1,FALSE))</f>
        <v/>
      </c>
      <c r="AQ26" t="str">
        <f ca="1">IF(AND(ISNUMBER($AQ$281),$B$258=1),$AQ$281,HLOOKUP(INDIRECT(ADDRESS(2,COLUMN())),OFFSET($BN$2,0,0,ROW()-1,60),ROW()-1,FALSE))</f>
        <v/>
      </c>
      <c r="AR26" t="str">
        <f ca="1">IF(AND(ISNUMBER($AR$281),$B$258=1),$AR$281,HLOOKUP(INDIRECT(ADDRESS(2,COLUMN())),OFFSET($BN$2,0,0,ROW()-1,60),ROW()-1,FALSE))</f>
        <v/>
      </c>
      <c r="AS26" t="str">
        <f ca="1">IF(AND(ISNUMBER($AS$281),$B$258=1),$AS$281,HLOOKUP(INDIRECT(ADDRESS(2,COLUMN())),OFFSET($BN$2,0,0,ROW()-1,60),ROW()-1,FALSE))</f>
        <v/>
      </c>
      <c r="AT26" t="str">
        <f ca="1">IF(AND(ISNUMBER($AT$281),$B$258=1),$AT$281,HLOOKUP(INDIRECT(ADDRESS(2,COLUMN())),OFFSET($BN$2,0,0,ROW()-1,60),ROW()-1,FALSE))</f>
        <v/>
      </c>
      <c r="AU26" t="str">
        <f ca="1">IF(AND(ISNUMBER($AU$281),$B$258=1),$AU$281,HLOOKUP(INDIRECT(ADDRESS(2,COLUMN())),OFFSET($BN$2,0,0,ROW()-1,60),ROW()-1,FALSE))</f>
        <v/>
      </c>
      <c r="AV26" t="str">
        <f ca="1">IF(AND(ISNUMBER($AV$281),$B$258=1),$AV$281,HLOOKUP(INDIRECT(ADDRESS(2,COLUMN())),OFFSET($BN$2,0,0,ROW()-1,60),ROW()-1,FALSE))</f>
        <v/>
      </c>
      <c r="AW26" t="str">
        <f ca="1">IF(AND(ISNUMBER($AW$281),$B$258=1),$AW$281,HLOOKUP(INDIRECT(ADDRESS(2,COLUMN())),OFFSET($BN$2,0,0,ROW()-1,60),ROW()-1,FALSE))</f>
        <v/>
      </c>
      <c r="AX26" t="str">
        <f ca="1">IF(AND(ISNUMBER($AX$281),$B$258=1),$AX$281,HLOOKUP(INDIRECT(ADDRESS(2,COLUMN())),OFFSET($BN$2,0,0,ROW()-1,60),ROW()-1,FALSE))</f>
        <v/>
      </c>
      <c r="AY26" t="str">
        <f ca="1">IF(AND(ISNUMBER($AY$281),$B$258=1),$AY$281,HLOOKUP(INDIRECT(ADDRESS(2,COLUMN())),OFFSET($BN$2,0,0,ROW()-1,60),ROW()-1,FALSE))</f>
        <v/>
      </c>
      <c r="AZ26" t="str">
        <f ca="1">IF(AND(ISNUMBER($AZ$281),$B$258=1),$AZ$281,HLOOKUP(INDIRECT(ADDRESS(2,COLUMN())),OFFSET($BN$2,0,0,ROW()-1,60),ROW()-1,FALSE))</f>
        <v/>
      </c>
      <c r="BA26" t="str">
        <f ca="1">IF(AND(ISNUMBER($BA$281),$B$258=1),$BA$281,HLOOKUP(INDIRECT(ADDRESS(2,COLUMN())),OFFSET($BN$2,0,0,ROW()-1,60),ROW()-1,FALSE))</f>
        <v/>
      </c>
      <c r="BB26" t="str">
        <f ca="1">IF(AND(ISNUMBER($BB$281),$B$258=1),$BB$281,HLOOKUP(INDIRECT(ADDRESS(2,COLUMN())),OFFSET($BN$2,0,0,ROW()-1,60),ROW()-1,FALSE))</f>
        <v/>
      </c>
      <c r="BC26" t="str">
        <f ca="1">IF(AND(ISNUMBER($BC$281),$B$258=1),$BC$281,HLOOKUP(INDIRECT(ADDRESS(2,COLUMN())),OFFSET($BN$2,0,0,ROW()-1,60),ROW()-1,FALSE))</f>
        <v/>
      </c>
      <c r="BD26" t="str">
        <f ca="1">IF(AND(ISNUMBER($BD$281),$B$258=1),$BD$281,HLOOKUP(INDIRECT(ADDRESS(2,COLUMN())),OFFSET($BN$2,0,0,ROW()-1,60),ROW()-1,FALSE))</f>
        <v/>
      </c>
      <c r="BE26" t="str">
        <f ca="1">IF(AND(ISNUMBER($BE$281),$B$258=1),$BE$281,HLOOKUP(INDIRECT(ADDRESS(2,COLUMN())),OFFSET($BN$2,0,0,ROW()-1,60),ROW()-1,FALSE))</f>
        <v/>
      </c>
      <c r="BF26" t="str">
        <f ca="1">IF(AND(ISNUMBER($BF$281),$B$258=1),$BF$281,HLOOKUP(INDIRECT(ADDRESS(2,COLUMN())),OFFSET($BN$2,0,0,ROW()-1,60),ROW()-1,FALSE))</f>
        <v/>
      </c>
      <c r="BG26" t="str">
        <f ca="1">IF(AND(ISNUMBER($BG$281),$B$258=1),$BG$281,HLOOKUP(INDIRECT(ADDRESS(2,COLUMN())),OFFSET($BN$2,0,0,ROW()-1,60),ROW()-1,FALSE))</f>
        <v/>
      </c>
      <c r="BH26" t="str">
        <f ca="1">IF(AND(ISNUMBER($BH$281),$B$258=1),$BH$281,HLOOKUP(INDIRECT(ADDRESS(2,COLUMN())),OFFSET($BN$2,0,0,ROW()-1,60),ROW()-1,FALSE))</f>
        <v/>
      </c>
      <c r="BI26" t="str">
        <f ca="1">IF(AND(ISNUMBER($BI$281),$B$258=1),$BI$281,HLOOKUP(INDIRECT(ADDRESS(2,COLUMN())),OFFSET($BN$2,0,0,ROW()-1,60),ROW()-1,FALSE))</f>
        <v/>
      </c>
      <c r="BJ26" t="str">
        <f ca="1">IF(AND(ISNUMBER($BJ$281),$B$258=1),$BJ$281,HLOOKUP(INDIRECT(ADDRESS(2,COLUMN())),OFFSET($BN$2,0,0,ROW()-1,60),ROW()-1,FALSE))</f>
        <v/>
      </c>
      <c r="BK26" t="str">
        <f ca="1">IF(AND(ISNUMBER($BK$281),$B$258=1),$BK$281,HLOOKUP(INDIRECT(ADDRESS(2,COLUMN())),OFFSET($BN$2,0,0,ROW()-1,60),ROW()-1,FALSE))</f>
        <v/>
      </c>
      <c r="BL26" t="str">
        <f ca="1">IF(AND(ISNUMBER($BL$281),$B$258=1),$BL$281,HLOOKUP(INDIRECT(ADDRESS(2,COLUMN())),OFFSET($BN$2,0,0,ROW()-1,60),ROW()-1,FALSE))</f>
        <v/>
      </c>
      <c r="BM26" t="str">
        <f ca="1">IF(AND(ISNUMBER($BM$281),$B$258=1),$BM$281,HLOOKUP(INDIRECT(ADDRESS(2,COLUMN())),OFFSET($BN$2,0,0,ROW()-1,60),ROW()-1,FALSE))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A27" t="str">
        <f>"其他营业收入"</f>
        <v>其他营业收入</v>
      </c>
      <c r="B27" t="str">
        <f>""</f>
        <v/>
      </c>
      <c r="E27" t="str">
        <f>"Median"</f>
        <v>Median</v>
      </c>
      <c r="F27" t="str">
        <f ca="1">IF(ISERROR(IF(MEDIAN($F$28:$F$38) = 0, "", MEDIAN($F$28:$F$38))), "", (IF(MEDIAN($F$28:$F$38) = 0, "", MEDIAN($F$28:$F$38))))</f>
        <v/>
      </c>
      <c r="G27">
        <f ca="1">IF(ISERROR(IF(MEDIAN($G$28:$G$38) = 0, "", MEDIAN($G$28:$G$38))), "", (IF(MEDIAN($G$28:$G$38) = 0, "", MEDIAN($G$28:$G$38))))</f>
        <v>6.1135000000000002</v>
      </c>
      <c r="H27">
        <f ca="1">IF(ISERROR(IF(MEDIAN($H$28:$H$38) = 0, "", MEDIAN($H$28:$H$38))), "", (IF(MEDIAN($H$28:$H$38) = 0, "", MEDIAN($H$28:$H$38))))</f>
        <v>6.0655000000000001</v>
      </c>
      <c r="I27">
        <f ca="1">IF(ISERROR(IF(MEDIAN($I$28:$I$38) = 0, "", MEDIAN($I$28:$I$38))), "", (IF(MEDIAN($I$28:$I$38) = 0, "", MEDIAN($I$28:$I$38))))</f>
        <v>2.0270000000000001</v>
      </c>
      <c r="J27">
        <f ca="1">IF(ISERROR(IF(MEDIAN($J$28:$J$38) = 0, "", MEDIAN($J$28:$J$38))), "", (IF(MEDIAN($J$28:$J$38) = 0, "", MEDIAN($J$28:$J$38))))</f>
        <v>2.3380000000000001</v>
      </c>
      <c r="K27">
        <f ca="1">IF(ISERROR(IF(MEDIAN($K$28:$K$38) = 0, "", MEDIAN($K$28:$K$38))), "", (IF(MEDIAN($K$28:$K$38) = 0, "", MEDIAN($K$28:$K$38))))</f>
        <v>3.577</v>
      </c>
      <c r="L27">
        <f ca="1">IF(ISERROR(IF(MEDIAN($L$28:$L$38) = 0, "", MEDIAN($L$28:$L$38))), "", (IF(MEDIAN($L$28:$L$38) = 0, "", MEDIAN($L$28:$L$38))))</f>
        <v>5.1070000000000002</v>
      </c>
      <c r="M27">
        <f ca="1">IF(ISERROR(IF(MEDIAN($M$28:$M$38) = 0, "", MEDIAN($M$28:$M$38))), "", (IF(MEDIAN($M$28:$M$38) = 0, "", MEDIAN($M$28:$M$38))))</f>
        <v>10.331</v>
      </c>
      <c r="N27">
        <f ca="1">IF(ISERROR(IF(MEDIAN($N$28:$N$38) = 0, "", MEDIAN($N$28:$N$38))), "", (IF(MEDIAN($N$28:$N$38) = 0, "", MEDIAN($N$28:$N$38))))</f>
        <v>5.2160000000000002</v>
      </c>
      <c r="O27">
        <f ca="1">IF(ISERROR(IF(MEDIAN($O$28:$O$38) = 0, "", MEDIAN($O$28:$O$38))), "", (IF(MEDIAN($O$28:$O$38) = 0, "", MEDIAN($O$28:$O$38))))</f>
        <v>7.91</v>
      </c>
      <c r="P27">
        <f ca="1">IF(ISERROR(IF(MEDIAN($P$28:$P$38) = 0, "", MEDIAN($P$28:$P$38))), "", (IF(MEDIAN($P$28:$P$38) = 0, "", MEDIAN($P$28:$P$38))))</f>
        <v>6.7610000000000001</v>
      </c>
      <c r="Q27">
        <f ca="1">IF(ISERROR(IF(MEDIAN($Q$28:$Q$38) = 0, "", MEDIAN($Q$28:$Q$38))), "", (IF(MEDIAN($Q$28:$Q$38) = 0, "", MEDIAN($Q$28:$Q$38))))</f>
        <v>2.7570000000000001</v>
      </c>
      <c r="R27">
        <f ca="1">IF(ISERROR(IF(MEDIAN($R$28:$R$38) = 0, "", MEDIAN($R$28:$R$38))), "", (IF(MEDIAN($R$28:$R$38) = 0, "", MEDIAN($R$28:$R$38))))</f>
        <v>5.4090000000000007</v>
      </c>
      <c r="S27">
        <f ca="1">IF(ISERROR(IF(MEDIAN($S$28:$S$38) = 0, "", MEDIAN($S$28:$S$38))), "", (IF(MEDIAN($S$28:$S$38) = 0, "", MEDIAN($S$28:$S$38))))</f>
        <v>4.7115</v>
      </c>
      <c r="T27">
        <f ca="1">IF(ISERROR(IF(MEDIAN($T$28:$T$38) = 0, "", MEDIAN($T$28:$T$38))), "", (IF(MEDIAN($T$28:$T$38) = 0, "", MEDIAN($T$28:$T$38))))</f>
        <v>4.0720000000000001</v>
      </c>
      <c r="U27">
        <f ca="1">IF(ISERROR(IF(MEDIAN($U$28:$U$38) = 0, "", MEDIAN($U$28:$U$38))), "", (IF(MEDIAN($U$28:$U$38) = 0, "", MEDIAN($U$28:$U$38))))</f>
        <v>3.4885000000000002</v>
      </c>
      <c r="V27">
        <f ca="1">IF(ISERROR(IF(MEDIAN($V$28:$V$38) = 0, "", MEDIAN($V$28:$V$38))), "", (IF(MEDIAN($V$28:$V$38) = 0, "", MEDIAN($V$28:$V$38))))</f>
        <v>4.3454999999999995</v>
      </c>
      <c r="W27">
        <f ca="1">IF(ISERROR(IF(MEDIAN($W$28:$W$38) = 0, "", MEDIAN($W$28:$W$38))), "", (IF(MEDIAN($W$28:$W$38) = 0, "", MEDIAN($W$28:$W$38))))</f>
        <v>3.3970000000000002</v>
      </c>
      <c r="X27">
        <f ca="1">IF(ISERROR(IF(MEDIAN($X$28:$X$38) = 0, "", MEDIAN($X$28:$X$38))), "", (IF(MEDIAN($X$28:$X$38) = 0, "", MEDIAN($X$28:$X$38))))</f>
        <v>2.8734999999999999</v>
      </c>
      <c r="Y27">
        <f ca="1">IF(ISERROR(IF(MEDIAN($Y$28:$Y$38) = 0, "", MEDIAN($Y$28:$Y$38))), "", (IF(MEDIAN($Y$28:$Y$38) = 0, "", MEDIAN($Y$28:$Y$38))))</f>
        <v>2.7895000000000003</v>
      </c>
      <c r="Z27">
        <f ca="1">IF(ISERROR(IF(MEDIAN($Z$28:$Z$38) = 0, "", MEDIAN($Z$28:$Z$38))), "", (IF(MEDIAN($Z$28:$Z$38) = 0, "", MEDIAN($Z$28:$Z$38))))</f>
        <v>2.2240000000000002</v>
      </c>
      <c r="AA27">
        <f ca="1">IF(ISERROR(IF(MEDIAN($AA$28:$AA$38) = 0, "", MEDIAN($AA$28:$AA$38))), "", (IF(MEDIAN($AA$28:$AA$38) = 0, "", MEDIAN($AA$28:$AA$38))))</f>
        <v>2.7744999999999997</v>
      </c>
      <c r="AB27">
        <f ca="1">IF(ISERROR(IF(MEDIAN($AB$28:$AB$38) = 0, "", MEDIAN($AB$28:$AB$38))), "", (IF(MEDIAN($AB$28:$AB$38) = 0, "", MEDIAN($AB$28:$AB$38))))</f>
        <v>2.0735000000000001</v>
      </c>
      <c r="AC27">
        <f ca="1">IF(ISERROR(IF(MEDIAN($AC$28:$AC$38) = 0, "", MEDIAN($AC$28:$AC$38))), "", (IF(MEDIAN($AC$28:$AC$38) = 0, "", MEDIAN($AC$28:$AC$38))))</f>
        <v>1.339</v>
      </c>
      <c r="AD27">
        <f ca="1">IF(ISERROR(IF(MEDIAN($AD$28:$AD$38) = 0, "", MEDIAN($AD$28:$AD$38))), "", (IF(MEDIAN($AD$28:$AD$38) = 0, "", MEDIAN($AD$28:$AD$38))))</f>
        <v>1.5409999999999999</v>
      </c>
      <c r="AE27">
        <f ca="1">IF(ISERROR(IF(MEDIAN($AE$28:$AE$38) = 0, "", MEDIAN($AE$28:$AE$38))), "", (IF(MEDIAN($AE$28:$AE$38) = 0, "", MEDIAN($AE$28:$AE$38))))</f>
        <v>1.5470000000000002</v>
      </c>
      <c r="AF27">
        <f ca="1">IF(ISERROR(IF(MEDIAN($AF$28:$AF$38) = 0, "", MEDIAN($AF$28:$AF$38))), "", (IF(MEDIAN($AF$28:$AF$38) = 0, "", MEDIAN($AF$28:$AF$38))))</f>
        <v>1.1139999999999999</v>
      </c>
      <c r="AG27">
        <f ca="1">IF(ISERROR(IF(MEDIAN($AG$28:$AG$38) = 0, "", MEDIAN($AG$28:$AG$38))), "", (IF(MEDIAN($AG$28:$AG$38) = 0, "", MEDIAN($AG$28:$AG$38))))</f>
        <v>1.2869999999999999</v>
      </c>
      <c r="AH27">
        <f ca="1">IF(ISERROR(IF(MEDIAN($AH$28:$AH$38) = 0, "", MEDIAN($AH$28:$AH$38))), "", (IF(MEDIAN($AH$28:$AH$38) = 0, "", MEDIAN($AH$28:$AH$38))))</f>
        <v>1.2130000000000001</v>
      </c>
      <c r="AI27">
        <f ca="1">IF(ISERROR(IF(MEDIAN($AI$28:$AI$38) = 0, "", MEDIAN($AI$28:$AI$38))), "", (IF(MEDIAN($AI$28:$AI$38) = 0, "", MEDIAN($AI$28:$AI$38))))</f>
        <v>1.6930000000000001</v>
      </c>
      <c r="AJ27">
        <f ca="1">IF(ISERROR(IF(MEDIAN($AJ$28:$AJ$38) = 0, "", MEDIAN($AJ$28:$AJ$38))), "", (IF(MEDIAN($AJ$28:$AJ$38) = 0, "", MEDIAN($AJ$28:$AJ$38))))</f>
        <v>1.649</v>
      </c>
      <c r="AK27">
        <f ca="1">IF(ISERROR(IF(MEDIAN($AK$28:$AK$38) = 0, "", MEDIAN($AK$28:$AK$38))), "", (IF(MEDIAN($AK$28:$AK$38) = 0, "", MEDIAN($AK$28:$AK$38))))</f>
        <v>2.1019999999999999</v>
      </c>
      <c r="AL27">
        <f ca="1">IF(ISERROR(IF(MEDIAN($AL$28:$AL$38) = 0, "", MEDIAN($AL$28:$AL$38))), "", (IF(MEDIAN($AL$28:$AL$38) = 0, "", MEDIAN($AL$28:$AL$38))))</f>
        <v>2.6389999999999998</v>
      </c>
      <c r="AM27">
        <f ca="1">IF(ISERROR(IF(MEDIAN($AM$28:$AM$38) = 0, "", MEDIAN($AM$28:$AM$38))), "", (IF(MEDIAN($AM$28:$AM$38) = 0, "", MEDIAN($AM$28:$AM$38))))</f>
        <v>3.9719999999999995</v>
      </c>
      <c r="AN27">
        <f ca="1">IF(ISERROR(IF(MEDIAN($AN$28:$AN$38) = 0, "", MEDIAN($AN$28:$AN$38))), "", (IF(MEDIAN($AN$28:$AN$38) = 0, "", MEDIAN($AN$28:$AN$38))))</f>
        <v>3.8609999999999998</v>
      </c>
      <c r="AO27">
        <f ca="1">IF(ISERROR(IF(MEDIAN($AO$28:$AO$38) = 0, "", MEDIAN($AO$28:$AO$38))), "", (IF(MEDIAN($AO$28:$AO$38) = 0, "", MEDIAN($AO$28:$AO$38))))</f>
        <v>4.0190000000000001</v>
      </c>
      <c r="AP27">
        <f ca="1">IF(ISERROR(IF(MEDIAN($AP$28:$AP$38) = 0, "", MEDIAN($AP$28:$AP$38))), "", (IF(MEDIAN($AP$28:$AP$38) = 0, "", MEDIAN($AP$28:$AP$38))))</f>
        <v>4.3090000000000002</v>
      </c>
      <c r="AQ27" t="str">
        <f ca="1">IF(ISERROR(IF(MEDIAN($AQ$28:$AQ$38) = 0, "", MEDIAN($AQ$28:$AQ$38))), "", (IF(MEDIAN($AQ$28:$AQ$38) = 0, "", MEDIAN($AQ$28:$AQ$38))))</f>
        <v/>
      </c>
      <c r="AR27" t="str">
        <f ca="1">IF(ISERROR(IF(MEDIAN($AR$28:$AR$38) = 0, "", MEDIAN($AR$28:$AR$38))), "", (IF(MEDIAN($AR$28:$AR$38) = 0, "", MEDIAN($AR$28:$AR$38))))</f>
        <v/>
      </c>
      <c r="AS27" t="str">
        <f ca="1">IF(ISERROR(IF(MEDIAN($AS$28:$AS$38) = 0, "", MEDIAN($AS$28:$AS$38))), "", (IF(MEDIAN($AS$28:$AS$38) = 0, "", MEDIAN($AS$28:$AS$38))))</f>
        <v/>
      </c>
      <c r="AT27" t="str">
        <f ca="1">IF(ISERROR(IF(MEDIAN($AT$28:$AT$38) = 0, "", MEDIAN($AT$28:$AT$38))), "", (IF(MEDIAN($AT$28:$AT$38) = 0, "", MEDIAN($AT$28:$AT$38))))</f>
        <v/>
      </c>
      <c r="AU27" t="str">
        <f ca="1">IF(ISERROR(IF(MEDIAN($AU$28:$AU$38) = 0, "", MEDIAN($AU$28:$AU$38))), "", (IF(MEDIAN($AU$28:$AU$38) = 0, "", MEDIAN($AU$28:$AU$38))))</f>
        <v/>
      </c>
      <c r="AV27" t="str">
        <f ca="1">IF(ISERROR(IF(MEDIAN($AV$28:$AV$38) = 0, "", MEDIAN($AV$28:$AV$38))), "", (IF(MEDIAN($AV$28:$AV$38) = 0, "", MEDIAN($AV$28:$AV$38))))</f>
        <v/>
      </c>
      <c r="AW27" t="str">
        <f ca="1">IF(ISERROR(IF(MEDIAN($AW$28:$AW$38) = 0, "", MEDIAN($AW$28:$AW$38))), "", (IF(MEDIAN($AW$28:$AW$38) = 0, "", MEDIAN($AW$28:$AW$38))))</f>
        <v/>
      </c>
      <c r="AX27" t="str">
        <f ca="1">IF(ISERROR(IF(MEDIAN($AX$28:$AX$38) = 0, "", MEDIAN($AX$28:$AX$38))), "", (IF(MEDIAN($AX$28:$AX$38) = 0, "", MEDIAN($AX$28:$AX$38))))</f>
        <v/>
      </c>
      <c r="AY27" t="str">
        <f ca="1">IF(ISERROR(IF(MEDIAN($AY$28:$AY$38) = 0, "", MEDIAN($AY$28:$AY$38))), "", (IF(MEDIAN($AY$28:$AY$38) = 0, "", MEDIAN($AY$28:$AY$38))))</f>
        <v/>
      </c>
      <c r="AZ27" t="str">
        <f ca="1">IF(ISERROR(IF(MEDIAN($AZ$28:$AZ$38) = 0, "", MEDIAN($AZ$28:$AZ$38))), "", (IF(MEDIAN($AZ$28:$AZ$38) = 0, "", MEDIAN($AZ$28:$AZ$38))))</f>
        <v/>
      </c>
      <c r="BA27" t="str">
        <f ca="1">IF(ISERROR(IF(MEDIAN($BA$28:$BA$38) = 0, "", MEDIAN($BA$28:$BA$38))), "", (IF(MEDIAN($BA$28:$BA$38) = 0, "", MEDIAN($BA$28:$BA$38))))</f>
        <v/>
      </c>
      <c r="BB27" t="str">
        <f ca="1">IF(ISERROR(IF(MEDIAN($BB$28:$BB$38) = 0, "", MEDIAN($BB$28:$BB$38))), "", (IF(MEDIAN($BB$28:$BB$38) = 0, "", MEDIAN($BB$28:$BB$38))))</f>
        <v/>
      </c>
      <c r="BC27" t="str">
        <f ca="1">IF(ISERROR(IF(MEDIAN($BC$28:$BC$38) = 0, "", MEDIAN($BC$28:$BC$38))), "", (IF(MEDIAN($BC$28:$BC$38) = 0, "", MEDIAN($BC$28:$BC$38))))</f>
        <v/>
      </c>
      <c r="BD27" t="str">
        <f ca="1">IF(ISERROR(IF(MEDIAN($BD$28:$BD$38) = 0, "", MEDIAN($BD$28:$BD$38))), "", (IF(MEDIAN($BD$28:$BD$38) = 0, "", MEDIAN($BD$28:$BD$38))))</f>
        <v/>
      </c>
      <c r="BE27" t="str">
        <f ca="1">IF(ISERROR(IF(MEDIAN($BE$28:$BE$38) = 0, "", MEDIAN($BE$28:$BE$38))), "", (IF(MEDIAN($BE$28:$BE$38) = 0, "", MEDIAN($BE$28:$BE$38))))</f>
        <v/>
      </c>
      <c r="BF27" t="str">
        <f ca="1">IF(ISERROR(IF(MEDIAN($BF$28:$BF$38) = 0, "", MEDIAN($BF$28:$BF$38))), "", (IF(MEDIAN($BF$28:$BF$38) = 0, "", MEDIAN($BF$28:$BF$38))))</f>
        <v/>
      </c>
      <c r="BG27" t="str">
        <f ca="1">IF(ISERROR(IF(MEDIAN($BG$28:$BG$38) = 0, "", MEDIAN($BG$28:$BG$38))), "", (IF(MEDIAN($BG$28:$BG$38) = 0, "", MEDIAN($BG$28:$BG$38))))</f>
        <v/>
      </c>
      <c r="BH27" t="str">
        <f ca="1">IF(ISERROR(IF(MEDIAN($BH$28:$BH$38) = 0, "", MEDIAN($BH$28:$BH$38))), "", (IF(MEDIAN($BH$28:$BH$38) = 0, "", MEDIAN($BH$28:$BH$38))))</f>
        <v/>
      </c>
      <c r="BI27" t="str">
        <f ca="1">IF(ISERROR(IF(MEDIAN($BI$28:$BI$38) = 0, "", MEDIAN($BI$28:$BI$38))), "", (IF(MEDIAN($BI$28:$BI$38) = 0, "", MEDIAN($BI$28:$BI$38))))</f>
        <v/>
      </c>
      <c r="BJ27" t="str">
        <f ca="1">IF(ISERROR(IF(MEDIAN($BJ$28:$BJ$38) = 0, "", MEDIAN($BJ$28:$BJ$38))), "", (IF(MEDIAN($BJ$28:$BJ$38) = 0, "", MEDIAN($BJ$28:$BJ$38))))</f>
        <v/>
      </c>
      <c r="BK27" t="str">
        <f ca="1">IF(ISERROR(IF(MEDIAN($BK$28:$BK$38) = 0, "", MEDIAN($BK$28:$BK$38))), "", (IF(MEDIAN($BK$28:$BK$38) = 0, "", MEDIAN($BK$28:$BK$38))))</f>
        <v/>
      </c>
      <c r="BL27" t="str">
        <f ca="1">IF(ISERROR(IF(MEDIAN($BL$28:$BL$38) = 0, "", MEDIAN($BL$28:$BL$38))), "", (IF(MEDIAN($BL$28:$BL$38) = 0, "", MEDIAN($BL$28:$BL$38))))</f>
        <v/>
      </c>
      <c r="BM27" t="str">
        <f ca="1">IF(ISERROR(IF(MEDIAN($BM$28:$BM$38) = 0, "", MEDIAN($BM$28:$BM$38))), "", (IF(MEDIAN($BM$28:$BM$38) = 0, "", MEDIAN($BM$28:$BM$38))))</f>
        <v/>
      </c>
      <c r="BN27" t="str">
        <f>""</f>
        <v/>
      </c>
      <c r="BO27">
        <f>6.1135</f>
        <v>6.1135000000000002</v>
      </c>
      <c r="BP27">
        <f>6.0655</f>
        <v>6.0655000000000001</v>
      </c>
      <c r="BQ27">
        <f>2.027</f>
        <v>2.0270000000000001</v>
      </c>
      <c r="BR27">
        <f>2.338</f>
        <v>2.3380000000000001</v>
      </c>
      <c r="BS27">
        <f>3.577</f>
        <v>3.577</v>
      </c>
      <c r="BT27">
        <f>5.107</f>
        <v>5.1070000000000002</v>
      </c>
      <c r="BU27">
        <f>10.331</f>
        <v>10.331</v>
      </c>
      <c r="BV27">
        <f>5.216</f>
        <v>5.2160000000000002</v>
      </c>
      <c r="BW27">
        <f>7.91</f>
        <v>7.91</v>
      </c>
      <c r="BX27">
        <f>6.761</f>
        <v>6.7610000000000001</v>
      </c>
      <c r="BY27">
        <f>2.757</f>
        <v>2.7570000000000001</v>
      </c>
      <c r="BZ27">
        <f>5.409</f>
        <v>5.4089999999999998</v>
      </c>
      <c r="CA27">
        <f>4.7115</f>
        <v>4.7115</v>
      </c>
      <c r="CB27">
        <f>4.072</f>
        <v>4.0720000000000001</v>
      </c>
      <c r="CC27">
        <f>3.4885</f>
        <v>3.4885000000000002</v>
      </c>
      <c r="CD27">
        <f>4.3455</f>
        <v>4.3455000000000004</v>
      </c>
      <c r="CE27">
        <f>3.397</f>
        <v>3.3969999999999998</v>
      </c>
      <c r="CF27">
        <f>2.8735</f>
        <v>2.8734999999999999</v>
      </c>
      <c r="CG27">
        <f>2.7895</f>
        <v>2.7894999999999999</v>
      </c>
      <c r="CH27">
        <f>2.224</f>
        <v>2.2240000000000002</v>
      </c>
      <c r="CI27">
        <f>2.7745</f>
        <v>2.7745000000000002</v>
      </c>
      <c r="CJ27">
        <f>2.0735</f>
        <v>2.0735000000000001</v>
      </c>
      <c r="CK27">
        <f>1.339</f>
        <v>1.339</v>
      </c>
      <c r="CL27">
        <f>1.541</f>
        <v>1.5409999999999999</v>
      </c>
      <c r="CM27">
        <f>1.547</f>
        <v>1.5469999999999999</v>
      </c>
      <c r="CN27">
        <f>1.114</f>
        <v>1.1140000000000001</v>
      </c>
      <c r="CO27">
        <f>1.287</f>
        <v>1.2869999999999999</v>
      </c>
      <c r="CP27">
        <f>1.213</f>
        <v>1.2130000000000001</v>
      </c>
      <c r="CQ27">
        <f>1.693</f>
        <v>1.6930000000000001</v>
      </c>
      <c r="CR27">
        <f>1.649</f>
        <v>1.649</v>
      </c>
      <c r="CS27">
        <f>2.102</f>
        <v>2.1019999999999999</v>
      </c>
      <c r="CT27">
        <f>2.639</f>
        <v>2.6389999999999998</v>
      </c>
      <c r="CU27">
        <f>3.972</f>
        <v>3.972</v>
      </c>
      <c r="CV27">
        <f>3.861</f>
        <v>3.8610000000000002</v>
      </c>
      <c r="CW27">
        <f>4.019</f>
        <v>4.0190000000000001</v>
      </c>
      <c r="CX27">
        <f>4.309</f>
        <v>4.3090000000000002</v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A28" t="str">
        <f>"    Alexandria Real Estate Equitie"</f>
        <v xml:space="preserve">    Alexandria Real Estate Equitie</v>
      </c>
      <c r="B28" t="str">
        <f>"ARE US Equity"</f>
        <v>ARE US Equity</v>
      </c>
      <c r="C28" t="str">
        <f t="shared" ref="C28:C38" si="6">"IM281"</f>
        <v>IM281</v>
      </c>
      <c r="D28" t="str">
        <f t="shared" ref="D28:D38" si="7">"IS_NON_REAL_ESTATE_INCOME"</f>
        <v>IS_NON_REAL_ESTATE_INCOME</v>
      </c>
      <c r="E28" t="str">
        <f t="shared" ref="E28:E38" si="8">"动态"</f>
        <v>动态</v>
      </c>
      <c r="F28" t="str">
        <f ca="1">IF(AND(ISNUMBER($F$282),$B$258=1),$F$282,HLOOKUP(INDIRECT(ADDRESS(2,COLUMN())),OFFSET($BN$2,0,0,ROW()-1,60),ROW()-1,FALSE))</f>
        <v/>
      </c>
      <c r="G28">
        <f ca="1">IF(AND(ISNUMBER($G$282),$B$258=1),$G$282,HLOOKUP(INDIRECT(ADDRESS(2,COLUMN())),OFFSET($BN$2,0,0,ROW()-1,60),ROW()-1,FALSE))</f>
        <v>0.496</v>
      </c>
      <c r="H28">
        <f ca="1">IF(AND(ISNUMBER($H$282),$B$258=1),$H$282,HLOOKUP(INDIRECT(ADDRESS(2,COLUMN())),OFFSET($BN$2,0,0,ROW()-1,60),ROW()-1,FALSE))</f>
        <v>2.2909999999999999</v>
      </c>
      <c r="I28">
        <f ca="1">IF(AND(ISNUMBER($I$282),$B$258=1),$I$282,HLOOKUP(INDIRECT(ADDRESS(2,COLUMN())),OFFSET($BN$2,0,0,ROW()-1,60),ROW()-1,FALSE))</f>
        <v>0.64700000000000002</v>
      </c>
      <c r="J28">
        <f ca="1">IF(AND(ISNUMBER($J$282),$B$258=1),$J$282,HLOOKUP(INDIRECT(ADDRESS(2,COLUMN())),OFFSET($BN$2,0,0,ROW()-1,60),ROW()-1,FALSE))</f>
        <v>2.3380000000000001</v>
      </c>
      <c r="K28">
        <f ca="1">IF(AND(ISNUMBER($K$282),$B$258=1),$K$282,HLOOKUP(INDIRECT(ADDRESS(2,COLUMN())),OFFSET($BN$2,0,0,ROW()-1,60),ROW()-1,FALSE))</f>
        <v>3.577</v>
      </c>
      <c r="L28">
        <f ca="1">IF(AND(ISNUMBER($L$282),$B$258=1),$L$282,HLOOKUP(INDIRECT(ADDRESS(2,COLUMN())),OFFSET($BN$2,0,0,ROW()-1,60),ROW()-1,FALSE))</f>
        <v>5.1070000000000002</v>
      </c>
      <c r="M28">
        <f ca="1">IF(AND(ISNUMBER($M$282),$B$258=1),$M$282,HLOOKUP(INDIRECT(ADDRESS(2,COLUMN())),OFFSET($BN$2,0,0,ROW()-1,60),ROW()-1,FALSE))</f>
        <v>10.331</v>
      </c>
      <c r="N28">
        <f ca="1">IF(AND(ISNUMBER($N$282),$B$258=1),$N$282,HLOOKUP(INDIRECT(ADDRESS(2,COLUMN())),OFFSET($BN$2,0,0,ROW()-1,60),ROW()-1,FALSE))</f>
        <v>5.2160000000000002</v>
      </c>
      <c r="O28">
        <f ca="1">IF(AND(ISNUMBER($O$282),$B$258=1),$O$282,HLOOKUP(INDIRECT(ADDRESS(2,COLUMN())),OFFSET($BN$2,0,0,ROW()-1,60),ROW()-1,FALSE))</f>
        <v>10.898999999999999</v>
      </c>
      <c r="P28">
        <f ca="1">IF(AND(ISNUMBER($P$282),$B$258=1),$P$282,HLOOKUP(INDIRECT(ADDRESS(2,COLUMN())),OFFSET($BN$2,0,0,ROW()-1,60),ROW()-1,FALSE))</f>
        <v>7.18</v>
      </c>
      <c r="Q28">
        <f ca="1">IF(AND(ISNUMBER($Q$282),$B$258=1),$Q$282,HLOOKUP(INDIRECT(ADDRESS(2,COLUMN())),OFFSET($BN$2,0,0,ROW()-1,60),ROW()-1,FALSE))</f>
        <v>2.7570000000000001</v>
      </c>
      <c r="R28">
        <f ca="1">IF(AND(ISNUMBER($R$282),$B$258=1),$R$282,HLOOKUP(INDIRECT(ADDRESS(2,COLUMN())),OFFSET($BN$2,0,0,ROW()-1,60),ROW()-1,FALSE))</f>
        <v>4.7510000000000003</v>
      </c>
      <c r="S28">
        <f ca="1">IF(AND(ISNUMBER($S$282),$B$258=1),$S$282,HLOOKUP(INDIRECT(ADDRESS(2,COLUMN())),OFFSET($BN$2,0,0,ROW()-1,60),ROW()-1,FALSE))</f>
        <v>2.5190000000000001</v>
      </c>
      <c r="T28">
        <f ca="1">IF(AND(ISNUMBER($T$282),$B$258=1),$T$282,HLOOKUP(INDIRECT(ADDRESS(2,COLUMN())),OFFSET($BN$2,0,0,ROW()-1,60),ROW()-1,FALSE))</f>
        <v>2.3250000000000002</v>
      </c>
      <c r="U28">
        <f ca="1">IF(AND(ISNUMBER($U$282),$B$258=1),$U$282,HLOOKUP(INDIRECT(ADDRESS(2,COLUMN())),OFFSET($BN$2,0,0,ROW()-1,60),ROW()-1,FALSE))</f>
        <v>0.46600000000000003</v>
      </c>
      <c r="V28">
        <f ca="1">IF(AND(ISNUMBER($V$282),$B$258=1),$V$282,HLOOKUP(INDIRECT(ADDRESS(2,COLUMN())),OFFSET($BN$2,0,0,ROW()-1,60),ROW()-1,FALSE))</f>
        <v>3.9340000000000002</v>
      </c>
      <c r="W28">
        <f ca="1">IF(AND(ISNUMBER($W$282),$B$258=1),$W$282,HLOOKUP(INDIRECT(ADDRESS(2,COLUMN())),OFFSET($BN$2,0,0,ROW()-1,60),ROW()-1,FALSE))</f>
        <v>3.16</v>
      </c>
      <c r="X28">
        <f ca="1">IF(AND(ISNUMBER($X$282),$B$258=1),$X$282,HLOOKUP(INDIRECT(ADDRESS(2,COLUMN())),OFFSET($BN$2,0,0,ROW()-1,60),ROW()-1,FALSE))</f>
        <v>3.5720000000000001</v>
      </c>
      <c r="Y28">
        <f ca="1">IF(AND(ISNUMBER($Y$282),$B$258=1),$Y$282,HLOOKUP(INDIRECT(ADDRESS(2,COLUMN())),OFFSET($BN$2,0,0,ROW()-1,60),ROW()-1,FALSE))</f>
        <v>3.5680000000000001</v>
      </c>
      <c r="Z28">
        <f ca="1">IF(AND(ISNUMBER($Z$282),$B$258=1),$Z$282,HLOOKUP(INDIRECT(ADDRESS(2,COLUMN())),OFFSET($BN$2,0,0,ROW()-1,60),ROW()-1,FALSE))</f>
        <v>2.992</v>
      </c>
      <c r="AA28">
        <f ca="1">IF(AND(ISNUMBER($AA$282),$B$258=1),$AA$282,HLOOKUP(INDIRECT(ADDRESS(2,COLUMN())),OFFSET($BN$2,0,0,ROW()-1,60),ROW()-1,FALSE))</f>
        <v>3.7850000000000001</v>
      </c>
      <c r="AB28">
        <f ca="1">IF(AND(ISNUMBER($AB$282),$B$258=1),$AB$282,HLOOKUP(INDIRECT(ADDRESS(2,COLUMN())),OFFSET($BN$2,0,0,ROW()-1,60),ROW()-1,FALSE))</f>
        <v>2.6280000000000001</v>
      </c>
      <c r="AC28">
        <f ca="1">IF(AND(ISNUMBER($AC$282),$B$258=1),$AC$282,HLOOKUP(INDIRECT(ADDRESS(2,COLUMN())),OFFSET($BN$2,0,0,ROW()-1,60),ROW()-1,FALSE))</f>
        <v>9.3829999999999991</v>
      </c>
      <c r="AD28">
        <f ca="1">IF(AND(ISNUMBER($AD$282),$B$258=1),$AD$282,HLOOKUP(INDIRECT(ADDRESS(2,COLUMN())),OFFSET($BN$2,0,0,ROW()-1,60),ROW()-1,FALSE))</f>
        <v>2.6280000000000001</v>
      </c>
      <c r="AE28">
        <f ca="1">IF(AND(ISNUMBER($AE$282),$B$258=1),$AE$282,HLOOKUP(INDIRECT(ADDRESS(2,COLUMN())),OFFSET($BN$2,0,0,ROW()-1,60),ROW()-1,FALSE))</f>
        <v>1.5840000000000001</v>
      </c>
      <c r="AF28">
        <f ca="1">IF(AND(ISNUMBER($AF$282),$B$258=1),$AF$282,HLOOKUP(INDIRECT(ADDRESS(2,COLUMN())),OFFSET($BN$2,0,0,ROW()-1,60),ROW()-1,FALSE))</f>
        <v>2.4750000000000001</v>
      </c>
      <c r="AG28">
        <f ca="1">IF(AND(ISNUMBER($AG$282),$B$258=1),$AG$282,HLOOKUP(INDIRECT(ADDRESS(2,COLUMN())),OFFSET($BN$2,0,0,ROW()-1,60),ROW()-1,FALSE))</f>
        <v>0.92600000000000005</v>
      </c>
      <c r="AH28">
        <f ca="1">IF(AND(ISNUMBER($AH$282),$B$258=1),$AH$282,HLOOKUP(INDIRECT(ADDRESS(2,COLUMN())),OFFSET($BN$2,0,0,ROW()-1,60),ROW()-1,FALSE))</f>
        <v>0.77700000000000002</v>
      </c>
      <c r="AI28">
        <f ca="1">IF(AND(ISNUMBER($AI$282),$B$258=1),$AI$282,HLOOKUP(INDIRECT(ADDRESS(2,COLUMN())),OFFSET($BN$2,0,0,ROW()-1,60),ROW()-1,FALSE))</f>
        <v>1.633</v>
      </c>
      <c r="AJ28">
        <f ca="1">IF(AND(ISNUMBER($AJ$282),$B$258=1),$AJ$282,HLOOKUP(INDIRECT(ADDRESS(2,COLUMN())),OFFSET($BN$2,0,0,ROW()-1,60),ROW()-1,FALSE))</f>
        <v>1.5680000000000001</v>
      </c>
      <c r="AK28">
        <f ca="1">IF(AND(ISNUMBER($AK$282),$B$258=1),$AK$282,HLOOKUP(INDIRECT(ADDRESS(2,COLUMN())),OFFSET($BN$2,0,0,ROW()-1,60),ROW()-1,FALSE))</f>
        <v>0.92200000000000004</v>
      </c>
      <c r="AL28">
        <f ca="1">IF(AND(ISNUMBER($AL$282),$B$258=1),$AL$282,HLOOKUP(INDIRECT(ADDRESS(2,COLUMN())),OFFSET($BN$2,0,0,ROW()-1,60),ROW()-1,FALSE))</f>
        <v>1.0720000000000001</v>
      </c>
      <c r="AM28">
        <f ca="1">IF(AND(ISNUMBER($AM$282),$B$258=1),$AM$282,HLOOKUP(INDIRECT(ADDRESS(2,COLUMN())),OFFSET($BN$2,0,0,ROW()-1,60),ROW()-1,FALSE))</f>
        <v>1.01</v>
      </c>
      <c r="AN28">
        <f ca="1">IF(AND(ISNUMBER($AN$282),$B$258=1),$AN$282,HLOOKUP(INDIRECT(ADDRESS(2,COLUMN())),OFFSET($BN$2,0,0,ROW()-1,60),ROW()-1,FALSE))</f>
        <v>1.177</v>
      </c>
      <c r="AO28">
        <f ca="1">IF(AND(ISNUMBER($AO$282),$B$258=1),$AO$282,HLOOKUP(INDIRECT(ADDRESS(2,COLUMN())),OFFSET($BN$2,0,0,ROW()-1,60),ROW()-1,FALSE))</f>
        <v>8.91</v>
      </c>
      <c r="AP28">
        <f ca="1">IF(AND(ISNUMBER($AP$282),$B$258=1),$AP$282,HLOOKUP(INDIRECT(ADDRESS(2,COLUMN())),OFFSET($BN$2,0,0,ROW()-1,60),ROW()-1,FALSE))</f>
        <v>0.752</v>
      </c>
      <c r="AQ28" t="str">
        <f ca="1">IF(AND(ISNUMBER($AQ$282),$B$258=1),$AQ$282,HLOOKUP(INDIRECT(ADDRESS(2,COLUMN())),OFFSET($BN$2,0,0,ROW()-1,60),ROW()-1,FALSE))</f>
        <v/>
      </c>
      <c r="AR28" t="str">
        <f ca="1">IF(AND(ISNUMBER($AR$282),$B$258=1),$AR$282,HLOOKUP(INDIRECT(ADDRESS(2,COLUMN())),OFFSET($BN$2,0,0,ROW()-1,60),ROW()-1,FALSE))</f>
        <v/>
      </c>
      <c r="AS28" t="str">
        <f ca="1">IF(AND(ISNUMBER($AS$282),$B$258=1),$AS$282,HLOOKUP(INDIRECT(ADDRESS(2,COLUMN())),OFFSET($BN$2,0,0,ROW()-1,60),ROW()-1,FALSE))</f>
        <v/>
      </c>
      <c r="AT28" t="str">
        <f ca="1">IF(AND(ISNUMBER($AT$282),$B$258=1),$AT$282,HLOOKUP(INDIRECT(ADDRESS(2,COLUMN())),OFFSET($BN$2,0,0,ROW()-1,60),ROW()-1,FALSE))</f>
        <v/>
      </c>
      <c r="AU28" t="str">
        <f ca="1">IF(AND(ISNUMBER($AU$282),$B$258=1),$AU$282,HLOOKUP(INDIRECT(ADDRESS(2,COLUMN())),OFFSET($BN$2,0,0,ROW()-1,60),ROW()-1,FALSE))</f>
        <v/>
      </c>
      <c r="AV28" t="str">
        <f ca="1">IF(AND(ISNUMBER($AV$282),$B$258=1),$AV$282,HLOOKUP(INDIRECT(ADDRESS(2,COLUMN())),OFFSET($BN$2,0,0,ROW()-1,60),ROW()-1,FALSE))</f>
        <v/>
      </c>
      <c r="AW28" t="str">
        <f ca="1">IF(AND(ISNUMBER($AW$282),$B$258=1),$AW$282,HLOOKUP(INDIRECT(ADDRESS(2,COLUMN())),OFFSET($BN$2,0,0,ROW()-1,60),ROW()-1,FALSE))</f>
        <v/>
      </c>
      <c r="AX28" t="str">
        <f ca="1">IF(AND(ISNUMBER($AX$282),$B$258=1),$AX$282,HLOOKUP(INDIRECT(ADDRESS(2,COLUMN())),OFFSET($BN$2,0,0,ROW()-1,60),ROW()-1,FALSE))</f>
        <v/>
      </c>
      <c r="AY28" t="str">
        <f ca="1">IF(AND(ISNUMBER($AY$282),$B$258=1),$AY$282,HLOOKUP(INDIRECT(ADDRESS(2,COLUMN())),OFFSET($BN$2,0,0,ROW()-1,60),ROW()-1,FALSE))</f>
        <v/>
      </c>
      <c r="AZ28" t="str">
        <f ca="1">IF(AND(ISNUMBER($AZ$282),$B$258=1),$AZ$282,HLOOKUP(INDIRECT(ADDRESS(2,COLUMN())),OFFSET($BN$2,0,0,ROW()-1,60),ROW()-1,FALSE))</f>
        <v/>
      </c>
      <c r="BA28" t="str">
        <f ca="1">IF(AND(ISNUMBER($BA$282),$B$258=1),$BA$282,HLOOKUP(INDIRECT(ADDRESS(2,COLUMN())),OFFSET($BN$2,0,0,ROW()-1,60),ROW()-1,FALSE))</f>
        <v/>
      </c>
      <c r="BB28" t="str">
        <f ca="1">IF(AND(ISNUMBER($BB$282),$B$258=1),$BB$282,HLOOKUP(INDIRECT(ADDRESS(2,COLUMN())),OFFSET($BN$2,0,0,ROW()-1,60),ROW()-1,FALSE))</f>
        <v/>
      </c>
      <c r="BC28" t="str">
        <f ca="1">IF(AND(ISNUMBER($BC$282),$B$258=1),$BC$282,HLOOKUP(INDIRECT(ADDRESS(2,COLUMN())),OFFSET($BN$2,0,0,ROW()-1,60),ROW()-1,FALSE))</f>
        <v/>
      </c>
      <c r="BD28" t="str">
        <f ca="1">IF(AND(ISNUMBER($BD$282),$B$258=1),$BD$282,HLOOKUP(INDIRECT(ADDRESS(2,COLUMN())),OFFSET($BN$2,0,0,ROW()-1,60),ROW()-1,FALSE))</f>
        <v/>
      </c>
      <c r="BE28" t="str">
        <f ca="1">IF(AND(ISNUMBER($BE$282),$B$258=1),$BE$282,HLOOKUP(INDIRECT(ADDRESS(2,COLUMN())),OFFSET($BN$2,0,0,ROW()-1,60),ROW()-1,FALSE))</f>
        <v/>
      </c>
      <c r="BF28" t="str">
        <f ca="1">IF(AND(ISNUMBER($BF$282),$B$258=1),$BF$282,HLOOKUP(INDIRECT(ADDRESS(2,COLUMN())),OFFSET($BN$2,0,0,ROW()-1,60),ROW()-1,FALSE))</f>
        <v/>
      </c>
      <c r="BG28" t="str">
        <f ca="1">IF(AND(ISNUMBER($BG$282),$B$258=1),$BG$282,HLOOKUP(INDIRECT(ADDRESS(2,COLUMN())),OFFSET($BN$2,0,0,ROW()-1,60),ROW()-1,FALSE))</f>
        <v/>
      </c>
      <c r="BH28" t="str">
        <f ca="1">IF(AND(ISNUMBER($BH$282),$B$258=1),$BH$282,HLOOKUP(INDIRECT(ADDRESS(2,COLUMN())),OFFSET($BN$2,0,0,ROW()-1,60),ROW()-1,FALSE))</f>
        <v/>
      </c>
      <c r="BI28" t="str">
        <f ca="1">IF(AND(ISNUMBER($BI$282),$B$258=1),$BI$282,HLOOKUP(INDIRECT(ADDRESS(2,COLUMN())),OFFSET($BN$2,0,0,ROW()-1,60),ROW()-1,FALSE))</f>
        <v/>
      </c>
      <c r="BJ28" t="str">
        <f ca="1">IF(AND(ISNUMBER($BJ$282),$B$258=1),$BJ$282,HLOOKUP(INDIRECT(ADDRESS(2,COLUMN())),OFFSET($BN$2,0,0,ROW()-1,60),ROW()-1,FALSE))</f>
        <v/>
      </c>
      <c r="BK28" t="str">
        <f ca="1">IF(AND(ISNUMBER($BK$282),$B$258=1),$BK$282,HLOOKUP(INDIRECT(ADDRESS(2,COLUMN())),OFFSET($BN$2,0,0,ROW()-1,60),ROW()-1,FALSE))</f>
        <v/>
      </c>
      <c r="BL28" t="str">
        <f ca="1">IF(AND(ISNUMBER($BL$282),$B$258=1),$BL$282,HLOOKUP(INDIRECT(ADDRESS(2,COLUMN())),OFFSET($BN$2,0,0,ROW()-1,60),ROW()-1,FALSE))</f>
        <v/>
      </c>
      <c r="BM28" t="str">
        <f ca="1">IF(AND(ISNUMBER($BM$282),$B$258=1),$BM$282,HLOOKUP(INDIRECT(ADDRESS(2,COLUMN())),OFFSET($BN$2,0,0,ROW()-1,60),ROW()-1,FALSE))</f>
        <v/>
      </c>
      <c r="BN28" t="str">
        <f>""</f>
        <v/>
      </c>
      <c r="BO28">
        <f>0.496</f>
        <v>0.496</v>
      </c>
      <c r="BP28">
        <f>2.291</f>
        <v>2.2909999999999999</v>
      </c>
      <c r="BQ28">
        <f>0.647</f>
        <v>0.64700000000000002</v>
      </c>
      <c r="BR28">
        <f>2.338</f>
        <v>2.3380000000000001</v>
      </c>
      <c r="BS28">
        <f>3.577</f>
        <v>3.577</v>
      </c>
      <c r="BT28">
        <f>5.107</f>
        <v>5.1070000000000002</v>
      </c>
      <c r="BU28">
        <f>10.331</f>
        <v>10.331</v>
      </c>
      <c r="BV28">
        <f>5.216</f>
        <v>5.2160000000000002</v>
      </c>
      <c r="BW28">
        <f>10.899</f>
        <v>10.898999999999999</v>
      </c>
      <c r="BX28">
        <f>7.18</f>
        <v>7.18</v>
      </c>
      <c r="BY28">
        <f>2.757</f>
        <v>2.7570000000000001</v>
      </c>
      <c r="BZ28">
        <f>4.751</f>
        <v>4.7510000000000003</v>
      </c>
      <c r="CA28">
        <f>2.519</f>
        <v>2.5190000000000001</v>
      </c>
      <c r="CB28">
        <f>2.325</f>
        <v>2.3250000000000002</v>
      </c>
      <c r="CC28">
        <f>0.466</f>
        <v>0.46600000000000003</v>
      </c>
      <c r="CD28">
        <f>3.934</f>
        <v>3.9340000000000002</v>
      </c>
      <c r="CE28">
        <f>3.16</f>
        <v>3.16</v>
      </c>
      <c r="CF28">
        <f>3.572</f>
        <v>3.5720000000000001</v>
      </c>
      <c r="CG28">
        <f>3.568</f>
        <v>3.5680000000000001</v>
      </c>
      <c r="CH28">
        <f>2.992</f>
        <v>2.992</v>
      </c>
      <c r="CI28">
        <f>3.785</f>
        <v>3.7850000000000001</v>
      </c>
      <c r="CJ28">
        <f>2.628</f>
        <v>2.6280000000000001</v>
      </c>
      <c r="CK28">
        <f>9.383</f>
        <v>9.3829999999999991</v>
      </c>
      <c r="CL28">
        <f>2.628</f>
        <v>2.6280000000000001</v>
      </c>
      <c r="CM28">
        <f>1.584</f>
        <v>1.5840000000000001</v>
      </c>
      <c r="CN28">
        <f>2.475</f>
        <v>2.4750000000000001</v>
      </c>
      <c r="CO28">
        <f>0.926</f>
        <v>0.92600000000000005</v>
      </c>
      <c r="CP28">
        <f>0.777</f>
        <v>0.77700000000000002</v>
      </c>
      <c r="CQ28">
        <f>1.633</f>
        <v>1.633</v>
      </c>
      <c r="CR28">
        <f>1.568</f>
        <v>1.5680000000000001</v>
      </c>
      <c r="CS28">
        <f>0.922</f>
        <v>0.92200000000000004</v>
      </c>
      <c r="CT28">
        <f>1.072</f>
        <v>1.0720000000000001</v>
      </c>
      <c r="CU28">
        <f>1.01</f>
        <v>1.01</v>
      </c>
      <c r="CV28">
        <f>1.177</f>
        <v>1.177</v>
      </c>
      <c r="CW28">
        <f>8.91</f>
        <v>8.91</v>
      </c>
      <c r="CX28">
        <f>0.752</f>
        <v>0.752</v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A29" t="str">
        <f>"    Care Capital Properties Inc"</f>
        <v xml:space="preserve">    Care Capital Properties Inc</v>
      </c>
      <c r="B29" t="str">
        <f>"CCP US Equity"</f>
        <v>CCP US Equity</v>
      </c>
      <c r="C29" t="str">
        <f t="shared" si="6"/>
        <v>IM281</v>
      </c>
      <c r="D29" t="str">
        <f t="shared" si="7"/>
        <v>IS_NON_REAL_ESTATE_INCOME</v>
      </c>
      <c r="E29" t="str">
        <f t="shared" si="8"/>
        <v>动态</v>
      </c>
      <c r="F29" t="str">
        <f ca="1">IF(AND(ISNUMBER($F$283),$B$258=1),$F$283,HLOOKUP(INDIRECT(ADDRESS(2,COLUMN())),OFFSET($BN$2,0,0,ROW()-1,60),ROW()-1,FALSE))</f>
        <v/>
      </c>
      <c r="G29" t="str">
        <f ca="1">IF(AND(ISNUMBER($G$283),$B$258=1),$G$283,HLOOKUP(INDIRECT(ADDRESS(2,COLUMN())),OFFSET($BN$2,0,0,ROW()-1,60),ROW()-1,FALSE))</f>
        <v/>
      </c>
      <c r="H29" t="str">
        <f ca="1">IF(AND(ISNUMBER($H$283),$B$258=1),$H$283,HLOOKUP(INDIRECT(ADDRESS(2,COLUMN())),OFFSET($BN$2,0,0,ROW()-1,60),ROW()-1,FALSE))</f>
        <v/>
      </c>
      <c r="I29">
        <f ca="1">IF(AND(ISNUMBER($I$283),$B$258=1),$I$283,HLOOKUP(INDIRECT(ADDRESS(2,COLUMN())),OFFSET($BN$2,0,0,ROW()-1,60),ROW()-1,FALSE))</f>
        <v>0.25</v>
      </c>
      <c r="J29">
        <f ca="1">IF(AND(ISNUMBER($J$283),$B$258=1),$J$283,HLOOKUP(INDIRECT(ADDRESS(2,COLUMN())),OFFSET($BN$2,0,0,ROW()-1,60),ROW()-1,FALSE))</f>
        <v>0.32300000000000001</v>
      </c>
      <c r="K29">
        <f ca="1">IF(AND(ISNUMBER($K$283),$B$258=1),$K$283,HLOOKUP(INDIRECT(ADDRESS(2,COLUMN())),OFFSET($BN$2,0,0,ROW()-1,60),ROW()-1,FALSE))</f>
        <v>0.28299999999999997</v>
      </c>
      <c r="L29">
        <f ca="1">IF(AND(ISNUMBER($L$283),$B$258=1),$L$283,HLOOKUP(INDIRECT(ADDRESS(2,COLUMN())),OFFSET($BN$2,0,0,ROW()-1,60),ROW()-1,FALSE))</f>
        <v>1.073</v>
      </c>
      <c r="M29">
        <f ca="1">IF(AND(ISNUMBER($M$283),$B$258=1),$M$283,HLOOKUP(INDIRECT(ADDRESS(2,COLUMN())),OFFSET($BN$2,0,0,ROW()-1,60),ROW()-1,FALSE))</f>
        <v>0.41299999999999998</v>
      </c>
      <c r="N29">
        <f ca="1">IF(AND(ISNUMBER($N$283),$B$258=1),$N$283,HLOOKUP(INDIRECT(ADDRESS(2,COLUMN())),OFFSET($BN$2,0,0,ROW()-1,60),ROW()-1,FALSE))</f>
        <v>0.30499999999999999</v>
      </c>
      <c r="O29">
        <f ca="1">IF(AND(ISNUMBER($O$283),$B$258=1),$O$283,HLOOKUP(INDIRECT(ADDRESS(2,COLUMN())),OFFSET($BN$2,0,0,ROW()-1,60),ROW()-1,FALSE))</f>
        <v>2.4E-2</v>
      </c>
      <c r="P29">
        <f ca="1">IF(AND(ISNUMBER($P$283),$B$258=1),$P$283,HLOOKUP(INDIRECT(ADDRESS(2,COLUMN())),OFFSET($BN$2,0,0,ROW()-1,60),ROW()-1,FALSE))</f>
        <v>4.0000000000000001E-3</v>
      </c>
      <c r="Q29">
        <f ca="1">IF(AND(ISNUMBER($Q$283),$B$258=1),$Q$283,HLOOKUP(INDIRECT(ADDRESS(2,COLUMN())),OFFSET($BN$2,0,0,ROW()-1,60),ROW()-1,FALSE))</f>
        <v>6.2E-2</v>
      </c>
      <c r="R29" t="str">
        <f ca="1">IF(AND(ISNUMBER($R$283),$B$258=1),$R$283,HLOOKUP(INDIRECT(ADDRESS(2,COLUMN())),OFFSET($BN$2,0,0,ROW()-1,60),ROW()-1,FALSE))</f>
        <v/>
      </c>
      <c r="S29" t="str">
        <f ca="1">IF(AND(ISNUMBER($S$283),$B$258=1),$S$283,HLOOKUP(INDIRECT(ADDRESS(2,COLUMN())),OFFSET($BN$2,0,0,ROW()-1,60),ROW()-1,FALSE))</f>
        <v/>
      </c>
      <c r="T29" t="str">
        <f ca="1">IF(AND(ISNUMBER($T$283),$B$258=1),$T$283,HLOOKUP(INDIRECT(ADDRESS(2,COLUMN())),OFFSET($BN$2,0,0,ROW()-1,60),ROW()-1,FALSE))</f>
        <v/>
      </c>
      <c r="U29" t="str">
        <f ca="1">IF(AND(ISNUMBER($U$283),$B$258=1),$U$283,HLOOKUP(INDIRECT(ADDRESS(2,COLUMN())),OFFSET($BN$2,0,0,ROW()-1,60),ROW()-1,FALSE))</f>
        <v/>
      </c>
      <c r="V29" t="str">
        <f ca="1">IF(AND(ISNUMBER($V$283),$B$258=1),$V$283,HLOOKUP(INDIRECT(ADDRESS(2,COLUMN())),OFFSET($BN$2,0,0,ROW()-1,60),ROW()-1,FALSE))</f>
        <v/>
      </c>
      <c r="W29" t="str">
        <f ca="1">IF(AND(ISNUMBER($W$283),$B$258=1),$W$283,HLOOKUP(INDIRECT(ADDRESS(2,COLUMN())),OFFSET($BN$2,0,0,ROW()-1,60),ROW()-1,FALSE))</f>
        <v/>
      </c>
      <c r="X29" t="str">
        <f ca="1">IF(AND(ISNUMBER($X$283),$B$258=1),$X$283,HLOOKUP(INDIRECT(ADDRESS(2,COLUMN())),OFFSET($BN$2,0,0,ROW()-1,60),ROW()-1,FALSE))</f>
        <v/>
      </c>
      <c r="Y29" t="str">
        <f ca="1">IF(AND(ISNUMBER($Y$283),$B$258=1),$Y$283,HLOOKUP(INDIRECT(ADDRESS(2,COLUMN())),OFFSET($BN$2,0,0,ROW()-1,60),ROW()-1,FALSE))</f>
        <v/>
      </c>
      <c r="Z29" t="str">
        <f ca="1">IF(AND(ISNUMBER($Z$283),$B$258=1),$Z$283,HLOOKUP(INDIRECT(ADDRESS(2,COLUMN())),OFFSET($BN$2,0,0,ROW()-1,60),ROW()-1,FALSE))</f>
        <v/>
      </c>
      <c r="AA29" t="str">
        <f ca="1">IF(AND(ISNUMBER($AA$283),$B$258=1),$AA$283,HLOOKUP(INDIRECT(ADDRESS(2,COLUMN())),OFFSET($BN$2,0,0,ROW()-1,60),ROW()-1,FALSE))</f>
        <v/>
      </c>
      <c r="AB29" t="str">
        <f ca="1">IF(AND(ISNUMBER($AB$283),$B$258=1),$AB$283,HLOOKUP(INDIRECT(ADDRESS(2,COLUMN())),OFFSET($BN$2,0,0,ROW()-1,60),ROW()-1,FALSE))</f>
        <v/>
      </c>
      <c r="AC29" t="str">
        <f ca="1">IF(AND(ISNUMBER($AC$283),$B$258=1),$AC$283,HLOOKUP(INDIRECT(ADDRESS(2,COLUMN())),OFFSET($BN$2,0,0,ROW()-1,60),ROW()-1,FALSE))</f>
        <v/>
      </c>
      <c r="AD29" t="str">
        <f ca="1">IF(AND(ISNUMBER($AD$283),$B$258=1),$AD$283,HLOOKUP(INDIRECT(ADDRESS(2,COLUMN())),OFFSET($BN$2,0,0,ROW()-1,60),ROW()-1,FALSE))</f>
        <v/>
      </c>
      <c r="AE29" t="str">
        <f ca="1">IF(AND(ISNUMBER($AE$283),$B$258=1),$AE$283,HLOOKUP(INDIRECT(ADDRESS(2,COLUMN())),OFFSET($BN$2,0,0,ROW()-1,60),ROW()-1,FALSE))</f>
        <v/>
      </c>
      <c r="AF29" t="str">
        <f ca="1">IF(AND(ISNUMBER($AF$283),$B$258=1),$AF$283,HLOOKUP(INDIRECT(ADDRESS(2,COLUMN())),OFFSET($BN$2,0,0,ROW()-1,60),ROW()-1,FALSE))</f>
        <v/>
      </c>
      <c r="AG29" t="str">
        <f ca="1">IF(AND(ISNUMBER($AG$283),$B$258=1),$AG$283,HLOOKUP(INDIRECT(ADDRESS(2,COLUMN())),OFFSET($BN$2,0,0,ROW()-1,60),ROW()-1,FALSE))</f>
        <v/>
      </c>
      <c r="AH29" t="str">
        <f ca="1">IF(AND(ISNUMBER($AH$283),$B$258=1),$AH$283,HLOOKUP(INDIRECT(ADDRESS(2,COLUMN())),OFFSET($BN$2,0,0,ROW()-1,60),ROW()-1,FALSE))</f>
        <v/>
      </c>
      <c r="AI29" t="str">
        <f ca="1">IF(AND(ISNUMBER($AI$283),$B$258=1),$AI$283,HLOOKUP(INDIRECT(ADDRESS(2,COLUMN())),OFFSET($BN$2,0,0,ROW()-1,60),ROW()-1,FALSE))</f>
        <v/>
      </c>
      <c r="AJ29" t="str">
        <f ca="1">IF(AND(ISNUMBER($AJ$283),$B$258=1),$AJ$283,HLOOKUP(INDIRECT(ADDRESS(2,COLUMN())),OFFSET($BN$2,0,0,ROW()-1,60),ROW()-1,FALSE))</f>
        <v/>
      </c>
      <c r="AK29" t="str">
        <f ca="1">IF(AND(ISNUMBER($AK$283),$B$258=1),$AK$283,HLOOKUP(INDIRECT(ADDRESS(2,COLUMN())),OFFSET($BN$2,0,0,ROW()-1,60),ROW()-1,FALSE))</f>
        <v/>
      </c>
      <c r="AL29" t="str">
        <f ca="1">IF(AND(ISNUMBER($AL$283),$B$258=1),$AL$283,HLOOKUP(INDIRECT(ADDRESS(2,COLUMN())),OFFSET($BN$2,0,0,ROW()-1,60),ROW()-1,FALSE))</f>
        <v/>
      </c>
      <c r="AM29" t="str">
        <f ca="1">IF(AND(ISNUMBER($AM$283),$B$258=1),$AM$283,HLOOKUP(INDIRECT(ADDRESS(2,COLUMN())),OFFSET($BN$2,0,0,ROW()-1,60),ROW()-1,FALSE))</f>
        <v/>
      </c>
      <c r="AN29" t="str">
        <f ca="1">IF(AND(ISNUMBER($AN$283),$B$258=1),$AN$283,HLOOKUP(INDIRECT(ADDRESS(2,COLUMN())),OFFSET($BN$2,0,0,ROW()-1,60),ROW()-1,FALSE))</f>
        <v/>
      </c>
      <c r="AO29" t="str">
        <f ca="1">IF(AND(ISNUMBER($AO$283),$B$258=1),$AO$283,HLOOKUP(INDIRECT(ADDRESS(2,COLUMN())),OFFSET($BN$2,0,0,ROW()-1,60),ROW()-1,FALSE))</f>
        <v/>
      </c>
      <c r="AP29" t="str">
        <f ca="1">IF(AND(ISNUMBER($AP$283),$B$258=1),$AP$283,HLOOKUP(INDIRECT(ADDRESS(2,COLUMN())),OFFSET($BN$2,0,0,ROW()-1,60),ROW()-1,FALSE))</f>
        <v/>
      </c>
      <c r="AQ29" t="str">
        <f ca="1">IF(AND(ISNUMBER($AQ$283),$B$258=1),$AQ$283,HLOOKUP(INDIRECT(ADDRESS(2,COLUMN())),OFFSET($BN$2,0,0,ROW()-1,60),ROW()-1,FALSE))</f>
        <v/>
      </c>
      <c r="AR29" t="str">
        <f ca="1">IF(AND(ISNUMBER($AR$283),$B$258=1),$AR$283,HLOOKUP(INDIRECT(ADDRESS(2,COLUMN())),OFFSET($BN$2,0,0,ROW()-1,60),ROW()-1,FALSE))</f>
        <v/>
      </c>
      <c r="AS29" t="str">
        <f ca="1">IF(AND(ISNUMBER($AS$283),$B$258=1),$AS$283,HLOOKUP(INDIRECT(ADDRESS(2,COLUMN())),OFFSET($BN$2,0,0,ROW()-1,60),ROW()-1,FALSE))</f>
        <v/>
      </c>
      <c r="AT29" t="str">
        <f ca="1">IF(AND(ISNUMBER($AT$283),$B$258=1),$AT$283,HLOOKUP(INDIRECT(ADDRESS(2,COLUMN())),OFFSET($BN$2,0,0,ROW()-1,60),ROW()-1,FALSE))</f>
        <v/>
      </c>
      <c r="AU29" t="str">
        <f ca="1">IF(AND(ISNUMBER($AU$283),$B$258=1),$AU$283,HLOOKUP(INDIRECT(ADDRESS(2,COLUMN())),OFFSET($BN$2,0,0,ROW()-1,60),ROW()-1,FALSE))</f>
        <v/>
      </c>
      <c r="AV29" t="str">
        <f ca="1">IF(AND(ISNUMBER($AV$283),$B$258=1),$AV$283,HLOOKUP(INDIRECT(ADDRESS(2,COLUMN())),OFFSET($BN$2,0,0,ROW()-1,60),ROW()-1,FALSE))</f>
        <v/>
      </c>
      <c r="AW29" t="str">
        <f ca="1">IF(AND(ISNUMBER($AW$283),$B$258=1),$AW$283,HLOOKUP(INDIRECT(ADDRESS(2,COLUMN())),OFFSET($BN$2,0,0,ROW()-1,60),ROW()-1,FALSE))</f>
        <v/>
      </c>
      <c r="AX29" t="str">
        <f ca="1">IF(AND(ISNUMBER($AX$283),$B$258=1),$AX$283,HLOOKUP(INDIRECT(ADDRESS(2,COLUMN())),OFFSET($BN$2,0,0,ROW()-1,60),ROW()-1,FALSE))</f>
        <v/>
      </c>
      <c r="AY29" t="str">
        <f ca="1">IF(AND(ISNUMBER($AY$283),$B$258=1),$AY$283,HLOOKUP(INDIRECT(ADDRESS(2,COLUMN())),OFFSET($BN$2,0,0,ROW()-1,60),ROW()-1,FALSE))</f>
        <v/>
      </c>
      <c r="AZ29" t="str">
        <f ca="1">IF(AND(ISNUMBER($AZ$283),$B$258=1),$AZ$283,HLOOKUP(INDIRECT(ADDRESS(2,COLUMN())),OFFSET($BN$2,0,0,ROW()-1,60),ROW()-1,FALSE))</f>
        <v/>
      </c>
      <c r="BA29" t="str">
        <f ca="1">IF(AND(ISNUMBER($BA$283),$B$258=1),$BA$283,HLOOKUP(INDIRECT(ADDRESS(2,COLUMN())),OFFSET($BN$2,0,0,ROW()-1,60),ROW()-1,FALSE))</f>
        <v/>
      </c>
      <c r="BB29" t="str">
        <f ca="1">IF(AND(ISNUMBER($BB$283),$B$258=1),$BB$283,HLOOKUP(INDIRECT(ADDRESS(2,COLUMN())),OFFSET($BN$2,0,0,ROW()-1,60),ROW()-1,FALSE))</f>
        <v/>
      </c>
      <c r="BC29" t="str">
        <f ca="1">IF(AND(ISNUMBER($BC$283),$B$258=1),$BC$283,HLOOKUP(INDIRECT(ADDRESS(2,COLUMN())),OFFSET($BN$2,0,0,ROW()-1,60),ROW()-1,FALSE))</f>
        <v/>
      </c>
      <c r="BD29" t="str">
        <f ca="1">IF(AND(ISNUMBER($BD$283),$B$258=1),$BD$283,HLOOKUP(INDIRECT(ADDRESS(2,COLUMN())),OFFSET($BN$2,0,0,ROW()-1,60),ROW()-1,FALSE))</f>
        <v/>
      </c>
      <c r="BE29" t="str">
        <f ca="1">IF(AND(ISNUMBER($BE$283),$B$258=1),$BE$283,HLOOKUP(INDIRECT(ADDRESS(2,COLUMN())),OFFSET($BN$2,0,0,ROW()-1,60),ROW()-1,FALSE))</f>
        <v/>
      </c>
      <c r="BF29" t="str">
        <f ca="1">IF(AND(ISNUMBER($BF$283),$B$258=1),$BF$283,HLOOKUP(INDIRECT(ADDRESS(2,COLUMN())),OFFSET($BN$2,0,0,ROW()-1,60),ROW()-1,FALSE))</f>
        <v/>
      </c>
      <c r="BG29" t="str">
        <f ca="1">IF(AND(ISNUMBER($BG$283),$B$258=1),$BG$283,HLOOKUP(INDIRECT(ADDRESS(2,COLUMN())),OFFSET($BN$2,0,0,ROW()-1,60),ROW()-1,FALSE))</f>
        <v/>
      </c>
      <c r="BH29" t="str">
        <f ca="1">IF(AND(ISNUMBER($BH$283),$B$258=1),$BH$283,HLOOKUP(INDIRECT(ADDRESS(2,COLUMN())),OFFSET($BN$2,0,0,ROW()-1,60),ROW()-1,FALSE))</f>
        <v/>
      </c>
      <c r="BI29" t="str">
        <f ca="1">IF(AND(ISNUMBER($BI$283),$B$258=1),$BI$283,HLOOKUP(INDIRECT(ADDRESS(2,COLUMN())),OFFSET($BN$2,0,0,ROW()-1,60),ROW()-1,FALSE))</f>
        <v/>
      </c>
      <c r="BJ29" t="str">
        <f ca="1">IF(AND(ISNUMBER($BJ$283),$B$258=1),$BJ$283,HLOOKUP(INDIRECT(ADDRESS(2,COLUMN())),OFFSET($BN$2,0,0,ROW()-1,60),ROW()-1,FALSE))</f>
        <v/>
      </c>
      <c r="BK29" t="str">
        <f ca="1">IF(AND(ISNUMBER($BK$283),$B$258=1),$BK$283,HLOOKUP(INDIRECT(ADDRESS(2,COLUMN())),OFFSET($BN$2,0,0,ROW()-1,60),ROW()-1,FALSE))</f>
        <v/>
      </c>
      <c r="BL29" t="str">
        <f ca="1">IF(AND(ISNUMBER($BL$283),$B$258=1),$BL$283,HLOOKUP(INDIRECT(ADDRESS(2,COLUMN())),OFFSET($BN$2,0,0,ROW()-1,60),ROW()-1,FALSE))</f>
        <v/>
      </c>
      <c r="BM29" t="str">
        <f ca="1">IF(AND(ISNUMBER($BM$283),$B$258=1),$BM$283,HLOOKUP(INDIRECT(ADDRESS(2,COLUMN())),OFFSET($BN$2,0,0,ROW()-1,60),ROW()-1,FALSE))</f>
        <v/>
      </c>
      <c r="BN29" t="str">
        <f>""</f>
        <v/>
      </c>
      <c r="BO29" t="str">
        <f>""</f>
        <v/>
      </c>
      <c r="BP29" t="str">
        <f>""</f>
        <v/>
      </c>
      <c r="BQ29">
        <f>0.25</f>
        <v>0.25</v>
      </c>
      <c r="BR29">
        <f>0.323</f>
        <v>0.32300000000000001</v>
      </c>
      <c r="BS29">
        <f>0.283</f>
        <v>0.28299999999999997</v>
      </c>
      <c r="BT29">
        <f>1.073</f>
        <v>1.073</v>
      </c>
      <c r="BU29">
        <f>0.413</f>
        <v>0.41299999999999998</v>
      </c>
      <c r="BV29">
        <f>0.305</f>
        <v>0.30499999999999999</v>
      </c>
      <c r="BW29">
        <f>0.024</f>
        <v>2.4E-2</v>
      </c>
      <c r="BX29">
        <f>0.004</f>
        <v>4.0000000000000001E-3</v>
      </c>
      <c r="BY29">
        <f>0.062</f>
        <v>6.2E-2</v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A30" t="str">
        <f>"    HCP Inc"</f>
        <v xml:space="preserve">    HCP Inc</v>
      </c>
      <c r="B30" t="str">
        <f>"HCP US Equity"</f>
        <v>HCP US Equity</v>
      </c>
      <c r="C30" t="str">
        <f t="shared" si="6"/>
        <v>IM281</v>
      </c>
      <c r="D30" t="str">
        <f t="shared" si="7"/>
        <v>IS_NON_REAL_ESTATE_INCOME</v>
      </c>
      <c r="E30" t="str">
        <f t="shared" si="8"/>
        <v>动态</v>
      </c>
      <c r="F30" t="str">
        <f ca="1">IF(AND(ISNUMBER($F$284),$B$258=1),$F$284,HLOOKUP(INDIRECT(ADDRESS(2,COLUMN())),OFFSET($BN$2,0,0,ROW()-1,60),ROW()-1,FALSE))</f>
        <v/>
      </c>
      <c r="G30">
        <f ca="1">IF(AND(ISNUMBER($G$284),$B$258=1),$G$284,HLOOKUP(INDIRECT(ADDRESS(2,COLUMN())),OFFSET($BN$2,0,0,ROW()-1,60),ROW()-1,FALSE))</f>
        <v>5.2629999999999999</v>
      </c>
      <c r="H30">
        <f ca="1">IF(AND(ISNUMBER($H$284),$B$258=1),$H$284,HLOOKUP(INDIRECT(ADDRESS(2,COLUMN())),OFFSET($BN$2,0,0,ROW()-1,60),ROW()-1,FALSE))</f>
        <v>11.773999999999999</v>
      </c>
      <c r="I30">
        <f ca="1">IF(AND(ISNUMBER($I$284),$B$258=1),$I$284,HLOOKUP(INDIRECT(ADDRESS(2,COLUMN())),OFFSET($BN$2,0,0,ROW()-1,60),ROW()-1,FALSE))</f>
        <v>20.869</v>
      </c>
      <c r="J30">
        <f ca="1">IF(AND(ISNUMBER($J$284),$B$258=1),$J$284,HLOOKUP(INDIRECT(ADDRESS(2,COLUMN())),OFFSET($BN$2,0,0,ROW()-1,60),ROW()-1,FALSE))</f>
        <v>18.331</v>
      </c>
      <c r="K30">
        <f ca="1">IF(AND(ISNUMBER($K$284),$B$258=1),$K$284,HLOOKUP(INDIRECT(ADDRESS(2,COLUMN())),OFFSET($BN$2,0,0,ROW()-1,60),ROW()-1,FALSE))</f>
        <v>17.510000000000002</v>
      </c>
      <c r="L30">
        <f ca="1">IF(AND(ISNUMBER($L$284),$B$258=1),$L$284,HLOOKUP(INDIRECT(ADDRESS(2,COLUMN())),OFFSET($BN$2,0,0,ROW()-1,60),ROW()-1,FALSE))</f>
        <v>20.481999999999999</v>
      </c>
      <c r="M30">
        <f ca="1">IF(AND(ISNUMBER($M$284),$B$258=1),$M$284,HLOOKUP(INDIRECT(ADDRESS(2,COLUMN())),OFFSET($BN$2,0,0,ROW()-1,60),ROW()-1,FALSE))</f>
        <v>32.786999999999999</v>
      </c>
      <c r="N30">
        <f ca="1">IF(AND(ISNUMBER($N$284),$B$258=1),$N$284,HLOOKUP(INDIRECT(ADDRESS(2,COLUMN())),OFFSET($BN$2,0,0,ROW()-1,60),ROW()-1,FALSE))</f>
        <v>18.029</v>
      </c>
      <c r="O30">
        <f ca="1">IF(AND(ISNUMBER($O$284),$B$258=1),$O$284,HLOOKUP(INDIRECT(ADDRESS(2,COLUMN())),OFFSET($BN$2,0,0,ROW()-1,60),ROW()-1,FALSE))</f>
        <v>23.135000000000002</v>
      </c>
      <c r="P30">
        <f ca="1">IF(AND(ISNUMBER($P$284),$B$258=1),$P$284,HLOOKUP(INDIRECT(ADDRESS(2,COLUMN())),OFFSET($BN$2,0,0,ROW()-1,60),ROW()-1,FALSE))</f>
        <v>19.841999999999999</v>
      </c>
      <c r="Q30">
        <f ca="1">IF(AND(ISNUMBER($Q$284),$B$258=1),$Q$284,HLOOKUP(INDIRECT(ADDRESS(2,COLUMN())),OFFSET($BN$2,0,0,ROW()-1,60),ROW()-1,FALSE))</f>
        <v>35.945</v>
      </c>
      <c r="R30">
        <f ca="1">IF(AND(ISNUMBER($R$284),$B$258=1),$R$284,HLOOKUP(INDIRECT(ADDRESS(2,COLUMN())),OFFSET($BN$2,0,0,ROW()-1,60),ROW()-1,FALSE))</f>
        <v>33.262</v>
      </c>
      <c r="S30">
        <f ca="1">IF(AND(ISNUMBER($S$284),$B$258=1),$S$284,HLOOKUP(INDIRECT(ADDRESS(2,COLUMN())),OFFSET($BN$2,0,0,ROW()-1,60),ROW()-1,FALSE))</f>
        <v>23.341000000000001</v>
      </c>
      <c r="T30">
        <f ca="1">IF(AND(ISNUMBER($T$284),$B$258=1),$T$284,HLOOKUP(INDIRECT(ADDRESS(2,COLUMN())),OFFSET($BN$2,0,0,ROW()-1,60),ROW()-1,FALSE))</f>
        <v>17.516999999999999</v>
      </c>
      <c r="U30">
        <f ca="1">IF(AND(ISNUMBER($U$284),$B$258=1),$U$284,HLOOKUP(INDIRECT(ADDRESS(2,COLUMN())),OFFSET($BN$2,0,0,ROW()-1,60),ROW()-1,FALSE))</f>
        <v>16.937000000000001</v>
      </c>
      <c r="V30">
        <f ca="1">IF(AND(ISNUMBER($V$284),$B$258=1),$V$284,HLOOKUP(INDIRECT(ADDRESS(2,COLUMN())),OFFSET($BN$2,0,0,ROW()-1,60),ROW()-1,FALSE))</f>
        <v>16.696000000000002</v>
      </c>
      <c r="W30">
        <f ca="1">IF(AND(ISNUMBER($W$284),$B$258=1),$W$284,HLOOKUP(INDIRECT(ADDRESS(2,COLUMN())),OFFSET($BN$2,0,0,ROW()-1,60),ROW()-1,FALSE))</f>
        <v>17.547999999999998</v>
      </c>
      <c r="X30">
        <f ca="1">IF(AND(ISNUMBER($X$284),$B$258=1),$X$284,HLOOKUP(INDIRECT(ADDRESS(2,COLUMN())),OFFSET($BN$2,0,0,ROW()-1,60),ROW()-1,FALSE))</f>
        <v>42.078000000000003</v>
      </c>
      <c r="Y30">
        <f ca="1">IF(AND(ISNUMBER($Y$284),$B$258=1),$Y$284,HLOOKUP(INDIRECT(ADDRESS(2,COLUMN())),OFFSET($BN$2,0,0,ROW()-1,60),ROW()-1,FALSE))</f>
        <v>14.147</v>
      </c>
      <c r="Z30">
        <f ca="1">IF(AND(ISNUMBER($Z$284),$B$258=1),$Z$284,HLOOKUP(INDIRECT(ADDRESS(2,COLUMN())),OFFSET($BN$2,0,0,ROW()-1,60),ROW()-1,FALSE))</f>
        <v>12.385999999999999</v>
      </c>
      <c r="AA30">
        <f ca="1">IF(AND(ISNUMBER($AA$284),$B$258=1),$AA$284,HLOOKUP(INDIRECT(ADDRESS(2,COLUMN())),OFFSET($BN$2,0,0,ROW()-1,60),ROW()-1,FALSE))</f>
        <v>12.223000000000001</v>
      </c>
      <c r="AB30">
        <f ca="1">IF(AND(ISNUMBER($AB$284),$B$258=1),$AB$284,HLOOKUP(INDIRECT(ADDRESS(2,COLUMN())),OFFSET($BN$2,0,0,ROW()-1,60),ROW()-1,FALSE))</f>
        <v>10.278</v>
      </c>
      <c r="AC30">
        <f ca="1">IF(AND(ISNUMBER($AC$284),$B$258=1),$AC$284,HLOOKUP(INDIRECT(ADDRESS(2,COLUMN())),OFFSET($BN$2,0,0,ROW()-1,60),ROW()-1,FALSE))</f>
        <v>1.216</v>
      </c>
      <c r="AD30">
        <f ca="1">IF(AND(ISNUMBER($AD$284),$B$258=1),$AD$284,HLOOKUP(INDIRECT(ADDRESS(2,COLUMN())),OFFSET($BN$2,0,0,ROW()-1,60),ROW()-1,FALSE))</f>
        <v>0.81899999999999995</v>
      </c>
      <c r="AE30">
        <f ca="1">IF(AND(ISNUMBER($AE$284),$B$258=1),$AE$284,HLOOKUP(INDIRECT(ADDRESS(2,COLUMN())),OFFSET($BN$2,0,0,ROW()-1,60),ROW()-1,FALSE))</f>
        <v>0.66500000000000004</v>
      </c>
      <c r="AF30">
        <f ca="1">IF(AND(ISNUMBER($AF$284),$B$258=1),$AF$284,HLOOKUP(INDIRECT(ADDRESS(2,COLUMN())),OFFSET($BN$2,0,0,ROW()-1,60),ROW()-1,FALSE))</f>
        <v>0.57699999999999996</v>
      </c>
      <c r="AG30">
        <f ca="1">IF(AND(ISNUMBER($AG$284),$B$258=1),$AG$284,HLOOKUP(INDIRECT(ADDRESS(2,COLUMN())),OFFSET($BN$2,0,0,ROW()-1,60),ROW()-1,FALSE))</f>
        <v>60.526000000000003</v>
      </c>
      <c r="AH30">
        <f ca="1">IF(AND(ISNUMBER($AH$284),$B$258=1),$AH$284,HLOOKUP(INDIRECT(ADDRESS(2,COLUMN())),OFFSET($BN$2,0,0,ROW()-1,60),ROW()-1,FALSE))</f>
        <v>38.095999999999997</v>
      </c>
      <c r="AI30">
        <f ca="1">IF(AND(ISNUMBER($AI$284),$B$258=1),$AI$284,HLOOKUP(INDIRECT(ADDRESS(2,COLUMN())),OFFSET($BN$2,0,0,ROW()-1,60),ROW()-1,FALSE))</f>
        <v>52.158999999999999</v>
      </c>
      <c r="AJ30">
        <f ca="1">IF(AND(ISNUMBER($AJ$284),$B$258=1),$AJ$284,HLOOKUP(INDIRECT(ADDRESS(2,COLUMN())),OFFSET($BN$2,0,0,ROW()-1,60),ROW()-1,FALSE))</f>
        <v>36.582000000000001</v>
      </c>
      <c r="AK30">
        <f ca="1">IF(AND(ISNUMBER($AK$284),$B$258=1),$AK$284,HLOOKUP(INDIRECT(ADDRESS(2,COLUMN())),OFFSET($BN$2,0,0,ROW()-1,60),ROW()-1,FALSE))</f>
        <v>36.155999999999999</v>
      </c>
      <c r="AL30">
        <f ca="1">IF(AND(ISNUMBER($AL$284),$B$258=1),$AL$284,HLOOKUP(INDIRECT(ADDRESS(2,COLUMN())),OFFSET($BN$2,0,0,ROW()-1,60),ROW()-1,FALSE))</f>
        <v>35.265999999999998</v>
      </c>
      <c r="AM30">
        <f ca="1">IF(AND(ISNUMBER($AM$284),$B$258=1),$AM$284,HLOOKUP(INDIRECT(ADDRESS(2,COLUMN())),OFFSET($BN$2,0,0,ROW()-1,60),ROW()-1,FALSE))</f>
        <v>36.353999999999999</v>
      </c>
      <c r="AN30">
        <f ca="1">IF(AND(ISNUMBER($AN$284),$B$258=1),$AN$284,HLOOKUP(INDIRECT(ADDRESS(2,COLUMN())),OFFSET($BN$2,0,0,ROW()-1,60),ROW()-1,FALSE))</f>
        <v>33.936</v>
      </c>
      <c r="AO30">
        <f ca="1">IF(AND(ISNUMBER($AO$284),$B$258=1),$AO$284,HLOOKUP(INDIRECT(ADDRESS(2,COLUMN())),OFFSET($BN$2,0,0,ROW()-1,60),ROW()-1,FALSE))</f>
        <v>27.084</v>
      </c>
      <c r="AP30">
        <f ca="1">IF(AND(ISNUMBER($AP$284),$B$258=1),$AP$284,HLOOKUP(INDIRECT(ADDRESS(2,COLUMN())),OFFSET($BN$2,0,0,ROW()-1,60),ROW()-1,FALSE))</f>
        <v>26.771000000000001</v>
      </c>
      <c r="AQ30" t="str">
        <f ca="1">IF(AND(ISNUMBER($AQ$284),$B$258=1),$AQ$284,HLOOKUP(INDIRECT(ADDRESS(2,COLUMN())),OFFSET($BN$2,0,0,ROW()-1,60),ROW()-1,FALSE))</f>
        <v/>
      </c>
      <c r="AR30" t="str">
        <f ca="1">IF(AND(ISNUMBER($AR$284),$B$258=1),$AR$284,HLOOKUP(INDIRECT(ADDRESS(2,COLUMN())),OFFSET($BN$2,0,0,ROW()-1,60),ROW()-1,FALSE))</f>
        <v/>
      </c>
      <c r="AS30" t="str">
        <f ca="1">IF(AND(ISNUMBER($AS$284),$B$258=1),$AS$284,HLOOKUP(INDIRECT(ADDRESS(2,COLUMN())),OFFSET($BN$2,0,0,ROW()-1,60),ROW()-1,FALSE))</f>
        <v/>
      </c>
      <c r="AT30" t="str">
        <f ca="1">IF(AND(ISNUMBER($AT$284),$B$258=1),$AT$284,HLOOKUP(INDIRECT(ADDRESS(2,COLUMN())),OFFSET($BN$2,0,0,ROW()-1,60),ROW()-1,FALSE))</f>
        <v/>
      </c>
      <c r="AU30" t="str">
        <f ca="1">IF(AND(ISNUMBER($AU$284),$B$258=1),$AU$284,HLOOKUP(INDIRECT(ADDRESS(2,COLUMN())),OFFSET($BN$2,0,0,ROW()-1,60),ROW()-1,FALSE))</f>
        <v/>
      </c>
      <c r="AV30" t="str">
        <f ca="1">IF(AND(ISNUMBER($AV$284),$B$258=1),$AV$284,HLOOKUP(INDIRECT(ADDRESS(2,COLUMN())),OFFSET($BN$2,0,0,ROW()-1,60),ROW()-1,FALSE))</f>
        <v/>
      </c>
      <c r="AW30" t="str">
        <f ca="1">IF(AND(ISNUMBER($AW$284),$B$258=1),$AW$284,HLOOKUP(INDIRECT(ADDRESS(2,COLUMN())),OFFSET($BN$2,0,0,ROW()-1,60),ROW()-1,FALSE))</f>
        <v/>
      </c>
      <c r="AX30" t="str">
        <f ca="1">IF(AND(ISNUMBER($AX$284),$B$258=1),$AX$284,HLOOKUP(INDIRECT(ADDRESS(2,COLUMN())),OFFSET($BN$2,0,0,ROW()-1,60),ROW()-1,FALSE))</f>
        <v/>
      </c>
      <c r="AY30" t="str">
        <f ca="1">IF(AND(ISNUMBER($AY$284),$B$258=1),$AY$284,HLOOKUP(INDIRECT(ADDRESS(2,COLUMN())),OFFSET($BN$2,0,0,ROW()-1,60),ROW()-1,FALSE))</f>
        <v/>
      </c>
      <c r="AZ30" t="str">
        <f ca="1">IF(AND(ISNUMBER($AZ$284),$B$258=1),$AZ$284,HLOOKUP(INDIRECT(ADDRESS(2,COLUMN())),OFFSET($BN$2,0,0,ROW()-1,60),ROW()-1,FALSE))</f>
        <v/>
      </c>
      <c r="BA30" t="str">
        <f ca="1">IF(AND(ISNUMBER($BA$284),$B$258=1),$BA$284,HLOOKUP(INDIRECT(ADDRESS(2,COLUMN())),OFFSET($BN$2,0,0,ROW()-1,60),ROW()-1,FALSE))</f>
        <v/>
      </c>
      <c r="BB30" t="str">
        <f ca="1">IF(AND(ISNUMBER($BB$284),$B$258=1),$BB$284,HLOOKUP(INDIRECT(ADDRESS(2,COLUMN())),OFFSET($BN$2,0,0,ROW()-1,60),ROW()-1,FALSE))</f>
        <v/>
      </c>
      <c r="BC30" t="str">
        <f ca="1">IF(AND(ISNUMBER($BC$284),$B$258=1),$BC$284,HLOOKUP(INDIRECT(ADDRESS(2,COLUMN())),OFFSET($BN$2,0,0,ROW()-1,60),ROW()-1,FALSE))</f>
        <v/>
      </c>
      <c r="BD30" t="str">
        <f ca="1">IF(AND(ISNUMBER($BD$284),$B$258=1),$BD$284,HLOOKUP(INDIRECT(ADDRESS(2,COLUMN())),OFFSET($BN$2,0,0,ROW()-1,60),ROW()-1,FALSE))</f>
        <v/>
      </c>
      <c r="BE30" t="str">
        <f ca="1">IF(AND(ISNUMBER($BE$284),$B$258=1),$BE$284,HLOOKUP(INDIRECT(ADDRESS(2,COLUMN())),OFFSET($BN$2,0,0,ROW()-1,60),ROW()-1,FALSE))</f>
        <v/>
      </c>
      <c r="BF30" t="str">
        <f ca="1">IF(AND(ISNUMBER($BF$284),$B$258=1),$BF$284,HLOOKUP(INDIRECT(ADDRESS(2,COLUMN())),OFFSET($BN$2,0,0,ROW()-1,60),ROW()-1,FALSE))</f>
        <v/>
      </c>
      <c r="BG30" t="str">
        <f ca="1">IF(AND(ISNUMBER($BG$284),$B$258=1),$BG$284,HLOOKUP(INDIRECT(ADDRESS(2,COLUMN())),OFFSET($BN$2,0,0,ROW()-1,60),ROW()-1,FALSE))</f>
        <v/>
      </c>
      <c r="BH30" t="str">
        <f ca="1">IF(AND(ISNUMBER($BH$284),$B$258=1),$BH$284,HLOOKUP(INDIRECT(ADDRESS(2,COLUMN())),OFFSET($BN$2,0,0,ROW()-1,60),ROW()-1,FALSE))</f>
        <v/>
      </c>
      <c r="BI30" t="str">
        <f ca="1">IF(AND(ISNUMBER($BI$284),$B$258=1),$BI$284,HLOOKUP(INDIRECT(ADDRESS(2,COLUMN())),OFFSET($BN$2,0,0,ROW()-1,60),ROW()-1,FALSE))</f>
        <v/>
      </c>
      <c r="BJ30" t="str">
        <f ca="1">IF(AND(ISNUMBER($BJ$284),$B$258=1),$BJ$284,HLOOKUP(INDIRECT(ADDRESS(2,COLUMN())),OFFSET($BN$2,0,0,ROW()-1,60),ROW()-1,FALSE))</f>
        <v/>
      </c>
      <c r="BK30" t="str">
        <f ca="1">IF(AND(ISNUMBER($BK$284),$B$258=1),$BK$284,HLOOKUP(INDIRECT(ADDRESS(2,COLUMN())),OFFSET($BN$2,0,0,ROW()-1,60),ROW()-1,FALSE))</f>
        <v/>
      </c>
      <c r="BL30" t="str">
        <f ca="1">IF(AND(ISNUMBER($BL$284),$B$258=1),$BL$284,HLOOKUP(INDIRECT(ADDRESS(2,COLUMN())),OFFSET($BN$2,0,0,ROW()-1,60),ROW()-1,FALSE))</f>
        <v/>
      </c>
      <c r="BM30" t="str">
        <f ca="1">IF(AND(ISNUMBER($BM$284),$B$258=1),$BM$284,HLOOKUP(INDIRECT(ADDRESS(2,COLUMN())),OFFSET($BN$2,0,0,ROW()-1,60),ROW()-1,FALSE))</f>
        <v/>
      </c>
      <c r="BN30" t="str">
        <f>""</f>
        <v/>
      </c>
      <c r="BO30">
        <f>5.263</f>
        <v>5.2629999999999999</v>
      </c>
      <c r="BP30">
        <f>11.774</f>
        <v>11.773999999999999</v>
      </c>
      <c r="BQ30">
        <f>20.869</f>
        <v>20.869</v>
      </c>
      <c r="BR30">
        <f>18.331</f>
        <v>18.331</v>
      </c>
      <c r="BS30">
        <f>17.51</f>
        <v>17.510000000000002</v>
      </c>
      <c r="BT30">
        <f>20.482</f>
        <v>20.481999999999999</v>
      </c>
      <c r="BU30">
        <f>32.787</f>
        <v>32.786999999999999</v>
      </c>
      <c r="BV30">
        <f>18.029</f>
        <v>18.029</v>
      </c>
      <c r="BW30">
        <f>23.135</f>
        <v>23.135000000000002</v>
      </c>
      <c r="BX30">
        <f>19.842</f>
        <v>19.841999999999999</v>
      </c>
      <c r="BY30">
        <f>35.945</f>
        <v>35.945</v>
      </c>
      <c r="BZ30">
        <f>33.262</f>
        <v>33.262</v>
      </c>
      <c r="CA30">
        <f>23.341</f>
        <v>23.341000000000001</v>
      </c>
      <c r="CB30">
        <f>17.517</f>
        <v>17.516999999999999</v>
      </c>
      <c r="CC30">
        <f>16.937</f>
        <v>16.937000000000001</v>
      </c>
      <c r="CD30">
        <f>16.696</f>
        <v>16.696000000000002</v>
      </c>
      <c r="CE30">
        <f>17.548</f>
        <v>17.547999999999998</v>
      </c>
      <c r="CF30">
        <f>42.078</f>
        <v>42.078000000000003</v>
      </c>
      <c r="CG30">
        <f>14.147</f>
        <v>14.147</v>
      </c>
      <c r="CH30">
        <f>12.386</f>
        <v>12.385999999999999</v>
      </c>
      <c r="CI30">
        <f>12.223</f>
        <v>12.223000000000001</v>
      </c>
      <c r="CJ30">
        <f>10.278</f>
        <v>10.278</v>
      </c>
      <c r="CK30">
        <f>1.216</f>
        <v>1.216</v>
      </c>
      <c r="CL30">
        <f>0.819</f>
        <v>0.81899999999999995</v>
      </c>
      <c r="CM30">
        <f>0.665</f>
        <v>0.66500000000000004</v>
      </c>
      <c r="CN30">
        <f>0.577</f>
        <v>0.57699999999999996</v>
      </c>
      <c r="CO30">
        <f>60.526</f>
        <v>60.526000000000003</v>
      </c>
      <c r="CP30">
        <f>38.096</f>
        <v>38.095999999999997</v>
      </c>
      <c r="CQ30">
        <f>52.159</f>
        <v>52.158999999999999</v>
      </c>
      <c r="CR30">
        <f>36.582</f>
        <v>36.582000000000001</v>
      </c>
      <c r="CS30">
        <f>36.156</f>
        <v>36.155999999999999</v>
      </c>
      <c r="CT30">
        <f>35.266</f>
        <v>35.265999999999998</v>
      </c>
      <c r="CU30">
        <f>36.354</f>
        <v>36.353999999999999</v>
      </c>
      <c r="CV30">
        <f>33.936</f>
        <v>33.936</v>
      </c>
      <c r="CW30">
        <f>27.084</f>
        <v>27.084</v>
      </c>
      <c r="CX30">
        <f>26.771</f>
        <v>26.771000000000001</v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A31" t="str">
        <f>"    Healthcare Realty Trust Inc"</f>
        <v xml:space="preserve">    Healthcare Realty Trust Inc</v>
      </c>
      <c r="B31" t="str">
        <f>"HR US Equity"</f>
        <v>HR US Equity</v>
      </c>
      <c r="C31" t="str">
        <f t="shared" si="6"/>
        <v>IM281</v>
      </c>
      <c r="D31" t="str">
        <f t="shared" si="7"/>
        <v>IS_NON_REAL_ESTATE_INCOME</v>
      </c>
      <c r="E31" t="str">
        <f t="shared" si="8"/>
        <v>动态</v>
      </c>
      <c r="F31" t="str">
        <f ca="1">IF(AND(ISNUMBER($F$285),$B$258=1),$F$285,HLOOKUP(INDIRECT(ADDRESS(2,COLUMN())),OFFSET($BN$2,0,0,ROW()-1,60),ROW()-1,FALSE))</f>
        <v/>
      </c>
      <c r="G31">
        <f ca="1">IF(AND(ISNUMBER($G$285),$B$258=1),$G$285,HLOOKUP(INDIRECT(ADDRESS(2,COLUMN())),OFFSET($BN$2,0,0,ROW()-1,60),ROW()-1,FALSE))</f>
        <v>0.39800000000000002</v>
      </c>
      <c r="H31">
        <f ca="1">IF(AND(ISNUMBER($H$285),$B$258=1),$H$285,HLOOKUP(INDIRECT(ADDRESS(2,COLUMN())),OFFSET($BN$2,0,0,ROW()-1,60),ROW()-1,FALSE))</f>
        <v>0.39200000000000002</v>
      </c>
      <c r="I31">
        <f ca="1">IF(AND(ISNUMBER($I$285),$B$258=1),$I$285,HLOOKUP(INDIRECT(ADDRESS(2,COLUMN())),OFFSET($BN$2,0,0,ROW()-1,60),ROW()-1,FALSE))</f>
        <v>0.376</v>
      </c>
      <c r="J31">
        <f ca="1">IF(AND(ISNUMBER($J$285),$B$258=1),$J$285,HLOOKUP(INDIRECT(ADDRESS(2,COLUMN())),OFFSET($BN$2,0,0,ROW()-1,60),ROW()-1,FALSE))</f>
        <v>0.48099999999999998</v>
      </c>
      <c r="K31">
        <f ca="1">IF(AND(ISNUMBER($K$285),$B$258=1),$K$285,HLOOKUP(INDIRECT(ADDRESS(2,COLUMN())),OFFSET($BN$2,0,0,ROW()-1,60),ROW()-1,FALSE))</f>
        <v>0.57299999999999995</v>
      </c>
      <c r="L31">
        <f ca="1">IF(AND(ISNUMBER($L$285),$B$258=1),$L$285,HLOOKUP(INDIRECT(ADDRESS(2,COLUMN())),OFFSET($BN$2,0,0,ROW()-1,60),ROW()-1,FALSE))</f>
        <v>1.125</v>
      </c>
      <c r="M31">
        <f ca="1">IF(AND(ISNUMBER($M$285),$B$258=1),$M$285,HLOOKUP(INDIRECT(ADDRESS(2,COLUMN())),OFFSET($BN$2,0,0,ROW()-1,60),ROW()-1,FALSE))</f>
        <v>1.17</v>
      </c>
      <c r="N31">
        <f ca="1">IF(AND(ISNUMBER($N$285),$B$258=1),$N$285,HLOOKUP(INDIRECT(ADDRESS(2,COLUMN())),OFFSET($BN$2,0,0,ROW()-1,60),ROW()-1,FALSE))</f>
        <v>1.2809999999999999</v>
      </c>
      <c r="O31">
        <f ca="1">IF(AND(ISNUMBER($O$285),$B$258=1),$O$285,HLOOKUP(INDIRECT(ADDRESS(2,COLUMN())),OFFSET($BN$2,0,0,ROW()-1,60),ROW()-1,FALSE))</f>
        <v>1.1160000000000001</v>
      </c>
      <c r="P31">
        <f ca="1">IF(AND(ISNUMBER($P$285),$B$258=1),$P$285,HLOOKUP(INDIRECT(ADDRESS(2,COLUMN())),OFFSET($BN$2,0,0,ROW()-1,60),ROW()-1,FALSE))</f>
        <v>1.3129999999999999</v>
      </c>
      <c r="Q31">
        <f ca="1">IF(AND(ISNUMBER($Q$285),$B$258=1),$Q$285,HLOOKUP(INDIRECT(ADDRESS(2,COLUMN())),OFFSET($BN$2,0,0,ROW()-1,60),ROW()-1,FALSE))</f>
        <v>1.2270000000000001</v>
      </c>
      <c r="R31">
        <f ca="1">IF(AND(ISNUMBER($R$285),$B$258=1),$R$285,HLOOKUP(INDIRECT(ADDRESS(2,COLUMN())),OFFSET($BN$2,0,0,ROW()-1,60),ROW()-1,FALSE))</f>
        <v>1.391</v>
      </c>
      <c r="S31">
        <f ca="1">IF(AND(ISNUMBER($S$285),$B$258=1),$S$285,HLOOKUP(INDIRECT(ADDRESS(2,COLUMN())),OFFSET($BN$2,0,0,ROW()-1,60),ROW()-1,FALSE))</f>
        <v>1.32</v>
      </c>
      <c r="T31">
        <f ca="1">IF(AND(ISNUMBER($T$285),$B$258=1),$T$285,HLOOKUP(INDIRECT(ADDRESS(2,COLUMN())),OFFSET($BN$2,0,0,ROW()-1,60),ROW()-1,FALSE))</f>
        <v>1.474</v>
      </c>
      <c r="U31">
        <f ca="1">IF(AND(ISNUMBER($U$285),$B$258=1),$U$285,HLOOKUP(INDIRECT(ADDRESS(2,COLUMN())),OFFSET($BN$2,0,0,ROW()-1,60),ROW()-1,FALSE))</f>
        <v>1.423</v>
      </c>
      <c r="V31">
        <f ca="1">IF(AND(ISNUMBER($V$285),$B$258=1),$V$285,HLOOKUP(INDIRECT(ADDRESS(2,COLUMN())),OFFSET($BN$2,0,0,ROW()-1,60),ROW()-1,FALSE))</f>
        <v>1.448</v>
      </c>
      <c r="W31">
        <f ca="1">IF(AND(ISNUMBER($W$285),$B$258=1),$W$285,HLOOKUP(INDIRECT(ADDRESS(2,COLUMN())),OFFSET($BN$2,0,0,ROW()-1,60),ROW()-1,FALSE))</f>
        <v>1.3859999999999999</v>
      </c>
      <c r="X31">
        <f ca="1">IF(AND(ISNUMBER($X$285),$B$258=1),$X$285,HLOOKUP(INDIRECT(ADDRESS(2,COLUMN())),OFFSET($BN$2,0,0,ROW()-1,60),ROW()-1,FALSE))</f>
        <v>1.579</v>
      </c>
      <c r="Y31">
        <f ca="1">IF(AND(ISNUMBER($Y$285),$B$258=1),$Y$285,HLOOKUP(INDIRECT(ADDRESS(2,COLUMN())),OFFSET($BN$2,0,0,ROW()-1,60),ROW()-1,FALSE))</f>
        <v>1.508</v>
      </c>
      <c r="Z31">
        <f ca="1">IF(AND(ISNUMBER($Z$285),$B$258=1),$Z$285,HLOOKUP(INDIRECT(ADDRESS(2,COLUMN())),OFFSET($BN$2,0,0,ROW()-1,60),ROW()-1,FALSE))</f>
        <v>1.456</v>
      </c>
      <c r="AA31">
        <f ca="1">IF(AND(ISNUMBER($AA$285),$B$258=1),$AA$285,HLOOKUP(INDIRECT(ADDRESS(2,COLUMN())),OFFSET($BN$2,0,0,ROW()-1,60),ROW()-1,FALSE))</f>
        <v>1.4419999999999999</v>
      </c>
      <c r="AB31">
        <f ca="1">IF(AND(ISNUMBER($AB$285),$B$258=1),$AB$285,HLOOKUP(INDIRECT(ADDRESS(2,COLUMN())),OFFSET($BN$2,0,0,ROW()-1,60),ROW()-1,FALSE))</f>
        <v>1.5189999999999999</v>
      </c>
      <c r="AC31">
        <f ca="1">IF(AND(ISNUMBER($AC$285),$B$258=1),$AC$285,HLOOKUP(INDIRECT(ADDRESS(2,COLUMN())),OFFSET($BN$2,0,0,ROW()-1,60),ROW()-1,FALSE))</f>
        <v>1.37</v>
      </c>
      <c r="AD31">
        <f ca="1">IF(AND(ISNUMBER($AD$285),$B$258=1),$AD$285,HLOOKUP(INDIRECT(ADDRESS(2,COLUMN())),OFFSET($BN$2,0,0,ROW()-1,60),ROW()-1,FALSE))</f>
        <v>1.774</v>
      </c>
      <c r="AE31">
        <f ca="1">IF(AND(ISNUMBER($AE$285),$B$258=1),$AE$285,HLOOKUP(INDIRECT(ADDRESS(2,COLUMN())),OFFSET($BN$2,0,0,ROW()-1,60),ROW()-1,FALSE))</f>
        <v>1.51</v>
      </c>
      <c r="AF31">
        <f ca="1">IF(AND(ISNUMBER($AF$285),$B$258=1),$AF$285,HLOOKUP(INDIRECT(ADDRESS(2,COLUMN())),OFFSET($BN$2,0,0,ROW()-1,60),ROW()-1,FALSE))</f>
        <v>2.0609999999999999</v>
      </c>
      <c r="AG31">
        <f ca="1">IF(AND(ISNUMBER($AG$285),$B$258=1),$AG$285,HLOOKUP(INDIRECT(ADDRESS(2,COLUMN())),OFFSET($BN$2,0,0,ROW()-1,60),ROW()-1,FALSE))</f>
        <v>2.0470000000000002</v>
      </c>
      <c r="AH31">
        <f ca="1">IF(AND(ISNUMBER($AH$285),$B$258=1),$AH$285,HLOOKUP(INDIRECT(ADDRESS(2,COLUMN())),OFFSET($BN$2,0,0,ROW()-1,60),ROW()-1,FALSE))</f>
        <v>2.302</v>
      </c>
      <c r="AI31">
        <f ca="1">IF(AND(ISNUMBER($AI$285),$B$258=1),$AI$285,HLOOKUP(INDIRECT(ADDRESS(2,COLUMN())),OFFSET($BN$2,0,0,ROW()-1,60),ROW()-1,FALSE))</f>
        <v>2.242</v>
      </c>
      <c r="AJ31">
        <f ca="1">IF(AND(ISNUMBER($AJ$285),$B$258=1),$AJ$285,HLOOKUP(INDIRECT(ADDRESS(2,COLUMN())),OFFSET($BN$2,0,0,ROW()-1,60),ROW()-1,FALSE))</f>
        <v>2.1280000000000001</v>
      </c>
      <c r="AK31">
        <f ca="1">IF(AND(ISNUMBER($AK$285),$B$258=1),$AK$285,HLOOKUP(INDIRECT(ADDRESS(2,COLUMN())),OFFSET($BN$2,0,0,ROW()-1,60),ROW()-1,FALSE))</f>
        <v>2.1019999999999999</v>
      </c>
      <c r="AL31">
        <f ca="1">IF(AND(ISNUMBER($AL$285),$B$258=1),$AL$285,HLOOKUP(INDIRECT(ADDRESS(2,COLUMN())),OFFSET($BN$2,0,0,ROW()-1,60),ROW()-1,FALSE))</f>
        <v>2.169</v>
      </c>
      <c r="AM31">
        <f ca="1">IF(AND(ISNUMBER($AM$285),$B$258=1),$AM$285,HLOOKUP(INDIRECT(ADDRESS(2,COLUMN())),OFFSET($BN$2,0,0,ROW()-1,60),ROW()-1,FALSE))</f>
        <v>2.3279999999999998</v>
      </c>
      <c r="AN31">
        <f ca="1">IF(AND(ISNUMBER($AN$285),$B$258=1),$AN$285,HLOOKUP(INDIRECT(ADDRESS(2,COLUMN())),OFFSET($BN$2,0,0,ROW()-1,60),ROW()-1,FALSE))</f>
        <v>2.11</v>
      </c>
      <c r="AO31">
        <f ca="1">IF(AND(ISNUMBER($AO$285),$B$258=1),$AO$285,HLOOKUP(INDIRECT(ADDRESS(2,COLUMN())),OFFSET($BN$2,0,0,ROW()-1,60),ROW()-1,FALSE))</f>
        <v>3.0059999999999998</v>
      </c>
      <c r="AP31">
        <f ca="1">IF(AND(ISNUMBER($AP$285),$B$258=1),$AP$285,HLOOKUP(INDIRECT(ADDRESS(2,COLUMN())),OFFSET($BN$2,0,0,ROW()-1,60),ROW()-1,FALSE))</f>
        <v>3.5089999999999999</v>
      </c>
      <c r="AQ31" t="str">
        <f ca="1">IF(AND(ISNUMBER($AQ$285),$B$258=1),$AQ$285,HLOOKUP(INDIRECT(ADDRESS(2,COLUMN())),OFFSET($BN$2,0,0,ROW()-1,60),ROW()-1,FALSE))</f>
        <v/>
      </c>
      <c r="AR31" t="str">
        <f ca="1">IF(AND(ISNUMBER($AR$285),$B$258=1),$AR$285,HLOOKUP(INDIRECT(ADDRESS(2,COLUMN())),OFFSET($BN$2,0,0,ROW()-1,60),ROW()-1,FALSE))</f>
        <v/>
      </c>
      <c r="AS31" t="str">
        <f ca="1">IF(AND(ISNUMBER($AS$285),$B$258=1),$AS$285,HLOOKUP(INDIRECT(ADDRESS(2,COLUMN())),OFFSET($BN$2,0,0,ROW()-1,60),ROW()-1,FALSE))</f>
        <v/>
      </c>
      <c r="AT31" t="str">
        <f ca="1">IF(AND(ISNUMBER($AT$285),$B$258=1),$AT$285,HLOOKUP(INDIRECT(ADDRESS(2,COLUMN())),OFFSET($BN$2,0,0,ROW()-1,60),ROW()-1,FALSE))</f>
        <v/>
      </c>
      <c r="AU31" t="str">
        <f ca="1">IF(AND(ISNUMBER($AU$285),$B$258=1),$AU$285,HLOOKUP(INDIRECT(ADDRESS(2,COLUMN())),OFFSET($BN$2,0,0,ROW()-1,60),ROW()-1,FALSE))</f>
        <v/>
      </c>
      <c r="AV31" t="str">
        <f ca="1">IF(AND(ISNUMBER($AV$285),$B$258=1),$AV$285,HLOOKUP(INDIRECT(ADDRESS(2,COLUMN())),OFFSET($BN$2,0,0,ROW()-1,60),ROW()-1,FALSE))</f>
        <v/>
      </c>
      <c r="AW31" t="str">
        <f ca="1">IF(AND(ISNUMBER($AW$285),$B$258=1),$AW$285,HLOOKUP(INDIRECT(ADDRESS(2,COLUMN())),OFFSET($BN$2,0,0,ROW()-1,60),ROW()-1,FALSE))</f>
        <v/>
      </c>
      <c r="AX31" t="str">
        <f ca="1">IF(AND(ISNUMBER($AX$285),$B$258=1),$AX$285,HLOOKUP(INDIRECT(ADDRESS(2,COLUMN())),OFFSET($BN$2,0,0,ROW()-1,60),ROW()-1,FALSE))</f>
        <v/>
      </c>
      <c r="AY31" t="str">
        <f ca="1">IF(AND(ISNUMBER($AY$285),$B$258=1),$AY$285,HLOOKUP(INDIRECT(ADDRESS(2,COLUMN())),OFFSET($BN$2,0,0,ROW()-1,60),ROW()-1,FALSE))</f>
        <v/>
      </c>
      <c r="AZ31" t="str">
        <f ca="1">IF(AND(ISNUMBER($AZ$285),$B$258=1),$AZ$285,HLOOKUP(INDIRECT(ADDRESS(2,COLUMN())),OFFSET($BN$2,0,0,ROW()-1,60),ROW()-1,FALSE))</f>
        <v/>
      </c>
      <c r="BA31" t="str">
        <f ca="1">IF(AND(ISNUMBER($BA$285),$B$258=1),$BA$285,HLOOKUP(INDIRECT(ADDRESS(2,COLUMN())),OFFSET($BN$2,0,0,ROW()-1,60),ROW()-1,FALSE))</f>
        <v/>
      </c>
      <c r="BB31" t="str">
        <f ca="1">IF(AND(ISNUMBER($BB$285),$B$258=1),$BB$285,HLOOKUP(INDIRECT(ADDRESS(2,COLUMN())),OFFSET($BN$2,0,0,ROW()-1,60),ROW()-1,FALSE))</f>
        <v/>
      </c>
      <c r="BC31" t="str">
        <f ca="1">IF(AND(ISNUMBER($BC$285),$B$258=1),$BC$285,HLOOKUP(INDIRECT(ADDRESS(2,COLUMN())),OFFSET($BN$2,0,0,ROW()-1,60),ROW()-1,FALSE))</f>
        <v/>
      </c>
      <c r="BD31" t="str">
        <f ca="1">IF(AND(ISNUMBER($BD$285),$B$258=1),$BD$285,HLOOKUP(INDIRECT(ADDRESS(2,COLUMN())),OFFSET($BN$2,0,0,ROW()-1,60),ROW()-1,FALSE))</f>
        <v/>
      </c>
      <c r="BE31" t="str">
        <f ca="1">IF(AND(ISNUMBER($BE$285),$B$258=1),$BE$285,HLOOKUP(INDIRECT(ADDRESS(2,COLUMN())),OFFSET($BN$2,0,0,ROW()-1,60),ROW()-1,FALSE))</f>
        <v/>
      </c>
      <c r="BF31" t="str">
        <f ca="1">IF(AND(ISNUMBER($BF$285),$B$258=1),$BF$285,HLOOKUP(INDIRECT(ADDRESS(2,COLUMN())),OFFSET($BN$2,0,0,ROW()-1,60),ROW()-1,FALSE))</f>
        <v/>
      </c>
      <c r="BG31" t="str">
        <f ca="1">IF(AND(ISNUMBER($BG$285),$B$258=1),$BG$285,HLOOKUP(INDIRECT(ADDRESS(2,COLUMN())),OFFSET($BN$2,0,0,ROW()-1,60),ROW()-1,FALSE))</f>
        <v/>
      </c>
      <c r="BH31" t="str">
        <f ca="1">IF(AND(ISNUMBER($BH$285),$B$258=1),$BH$285,HLOOKUP(INDIRECT(ADDRESS(2,COLUMN())),OFFSET($BN$2,0,0,ROW()-1,60),ROW()-1,FALSE))</f>
        <v/>
      </c>
      <c r="BI31" t="str">
        <f ca="1">IF(AND(ISNUMBER($BI$285),$B$258=1),$BI$285,HLOOKUP(INDIRECT(ADDRESS(2,COLUMN())),OFFSET($BN$2,0,0,ROW()-1,60),ROW()-1,FALSE))</f>
        <v/>
      </c>
      <c r="BJ31" t="str">
        <f ca="1">IF(AND(ISNUMBER($BJ$285),$B$258=1),$BJ$285,HLOOKUP(INDIRECT(ADDRESS(2,COLUMN())),OFFSET($BN$2,0,0,ROW()-1,60),ROW()-1,FALSE))</f>
        <v/>
      </c>
      <c r="BK31" t="str">
        <f ca="1">IF(AND(ISNUMBER($BK$285),$B$258=1),$BK$285,HLOOKUP(INDIRECT(ADDRESS(2,COLUMN())),OFFSET($BN$2,0,0,ROW()-1,60),ROW()-1,FALSE))</f>
        <v/>
      </c>
      <c r="BL31" t="str">
        <f ca="1">IF(AND(ISNUMBER($BL$285),$B$258=1),$BL$285,HLOOKUP(INDIRECT(ADDRESS(2,COLUMN())),OFFSET($BN$2,0,0,ROW()-1,60),ROW()-1,FALSE))</f>
        <v/>
      </c>
      <c r="BM31" t="str">
        <f ca="1">IF(AND(ISNUMBER($BM$285),$B$258=1),$BM$285,HLOOKUP(INDIRECT(ADDRESS(2,COLUMN())),OFFSET($BN$2,0,0,ROW()-1,60),ROW()-1,FALSE))</f>
        <v/>
      </c>
      <c r="BN31" t="str">
        <f>""</f>
        <v/>
      </c>
      <c r="BO31">
        <f>0.398</f>
        <v>0.39800000000000002</v>
      </c>
      <c r="BP31">
        <f>0.392</f>
        <v>0.39200000000000002</v>
      </c>
      <c r="BQ31">
        <f>0.376</f>
        <v>0.376</v>
      </c>
      <c r="BR31">
        <f>0.481</f>
        <v>0.48099999999999998</v>
      </c>
      <c r="BS31">
        <f>0.573</f>
        <v>0.57299999999999995</v>
      </c>
      <c r="BT31">
        <f>1.125</f>
        <v>1.125</v>
      </c>
      <c r="BU31">
        <f>1.17</f>
        <v>1.17</v>
      </c>
      <c r="BV31">
        <f>1.281</f>
        <v>1.2809999999999999</v>
      </c>
      <c r="BW31">
        <f>1.116</f>
        <v>1.1160000000000001</v>
      </c>
      <c r="BX31">
        <f>1.313</f>
        <v>1.3129999999999999</v>
      </c>
      <c r="BY31">
        <f>1.227</f>
        <v>1.2270000000000001</v>
      </c>
      <c r="BZ31">
        <f>1.391</f>
        <v>1.391</v>
      </c>
      <c r="CA31">
        <f>1.32</f>
        <v>1.32</v>
      </c>
      <c r="CB31">
        <f>1.474</f>
        <v>1.474</v>
      </c>
      <c r="CC31">
        <f>1.423</f>
        <v>1.423</v>
      </c>
      <c r="CD31">
        <f>1.448</f>
        <v>1.448</v>
      </c>
      <c r="CE31">
        <f>1.386</f>
        <v>1.3859999999999999</v>
      </c>
      <c r="CF31">
        <f>1.579</f>
        <v>1.579</v>
      </c>
      <c r="CG31">
        <f>1.508</f>
        <v>1.508</v>
      </c>
      <c r="CH31">
        <f>1.456</f>
        <v>1.456</v>
      </c>
      <c r="CI31">
        <f>1.442</f>
        <v>1.4419999999999999</v>
      </c>
      <c r="CJ31">
        <f>1.519</f>
        <v>1.5189999999999999</v>
      </c>
      <c r="CK31">
        <f>1.37</f>
        <v>1.37</v>
      </c>
      <c r="CL31">
        <f>1.774</f>
        <v>1.774</v>
      </c>
      <c r="CM31">
        <f>1.51</f>
        <v>1.51</v>
      </c>
      <c r="CN31">
        <f>2.061</f>
        <v>2.0609999999999999</v>
      </c>
      <c r="CO31">
        <f>2.047</f>
        <v>2.0470000000000002</v>
      </c>
      <c r="CP31">
        <f>2.302</f>
        <v>2.302</v>
      </c>
      <c r="CQ31">
        <f>2.242</f>
        <v>2.242</v>
      </c>
      <c r="CR31">
        <f>2.128</f>
        <v>2.1280000000000001</v>
      </c>
      <c r="CS31">
        <f>2.102</f>
        <v>2.1019999999999999</v>
      </c>
      <c r="CT31">
        <f>2.169</f>
        <v>2.169</v>
      </c>
      <c r="CU31">
        <f>2.328</f>
        <v>2.3279999999999998</v>
      </c>
      <c r="CV31">
        <f>2.11</f>
        <v>2.11</v>
      </c>
      <c r="CW31">
        <f>3.006</f>
        <v>3.0059999999999998</v>
      </c>
      <c r="CX31">
        <f>3.509</f>
        <v>3.5089999999999999</v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>
      <c r="A32" t="str">
        <f>"    Healthcare Trust of America In"</f>
        <v xml:space="preserve">    Healthcare Trust of America In</v>
      </c>
      <c r="B32" t="str">
        <f>"HTA US Equity"</f>
        <v>HTA US Equity</v>
      </c>
      <c r="C32" t="str">
        <f t="shared" si="6"/>
        <v>IM281</v>
      </c>
      <c r="D32" t="str">
        <f t="shared" si="7"/>
        <v>IS_NON_REAL_ESTATE_INCOME</v>
      </c>
      <c r="E32" t="str">
        <f t="shared" si="8"/>
        <v>动态</v>
      </c>
      <c r="F32" t="str">
        <f ca="1">IF(AND(ISNUMBER($F$286),$B$258=1),$F$286,HLOOKUP(INDIRECT(ADDRESS(2,COLUMN())),OFFSET($BN$2,0,0,ROW()-1,60),ROW()-1,FALSE))</f>
        <v/>
      </c>
      <c r="G32">
        <f ca="1">IF(AND(ISNUMBER($G$286),$B$258=1),$G$286,HLOOKUP(INDIRECT(ADDRESS(2,COLUMN())),OFFSET($BN$2,0,0,ROW()-1,60),ROW()-1,FALSE))</f>
        <v>0.16300000000000001</v>
      </c>
      <c r="H32">
        <f ca="1">IF(AND(ISNUMBER($H$286),$B$258=1),$H$286,HLOOKUP(INDIRECT(ADDRESS(2,COLUMN())),OFFSET($BN$2,0,0,ROW()-1,60),ROW()-1,FALSE))</f>
        <v>0.56299999999999994</v>
      </c>
      <c r="I32">
        <f ca="1">IF(AND(ISNUMBER($I$286),$B$258=1),$I$286,HLOOKUP(INDIRECT(ADDRESS(2,COLUMN())),OFFSET($BN$2,0,0,ROW()-1,60),ROW()-1,FALSE))</f>
        <v>0.35399999999999998</v>
      </c>
      <c r="J32">
        <f ca="1">IF(AND(ISNUMBER($J$286),$B$258=1),$J$286,HLOOKUP(INDIRECT(ADDRESS(2,COLUMN())),OFFSET($BN$2,0,0,ROW()-1,60),ROW()-1,FALSE))</f>
        <v>0.35399999999999998</v>
      </c>
      <c r="K32">
        <f ca="1">IF(AND(ISNUMBER($K$286),$B$258=1),$K$286,HLOOKUP(INDIRECT(ADDRESS(2,COLUMN())),OFFSET($BN$2,0,0,ROW()-1,60),ROW()-1,FALSE))</f>
        <v>0.122</v>
      </c>
      <c r="L32">
        <f ca="1">IF(AND(ISNUMBER($L$286),$B$258=1),$L$286,HLOOKUP(INDIRECT(ADDRESS(2,COLUMN())),OFFSET($BN$2,0,0,ROW()-1,60),ROW()-1,FALSE))</f>
        <v>8.7999999999999995E-2</v>
      </c>
      <c r="M32">
        <f ca="1">IF(AND(ISNUMBER($M$286),$B$258=1),$M$286,HLOOKUP(INDIRECT(ADDRESS(2,COLUMN())),OFFSET($BN$2,0,0,ROW()-1,60),ROW()-1,FALSE))</f>
        <v>0.09</v>
      </c>
      <c r="N32">
        <f ca="1">IF(AND(ISNUMBER($N$286),$B$258=1),$N$286,HLOOKUP(INDIRECT(ADDRESS(2,COLUMN())),OFFSET($BN$2,0,0,ROW()-1,60),ROW()-1,FALSE))</f>
        <v>6.5000000000000002E-2</v>
      </c>
      <c r="O32">
        <f ca="1">IF(AND(ISNUMBER($O$286),$B$258=1),$O$286,HLOOKUP(INDIRECT(ADDRESS(2,COLUMN())),OFFSET($BN$2,0,0,ROW()-1,60),ROW()-1,FALSE))</f>
        <v>6.6000000000000003E-2</v>
      </c>
      <c r="P32">
        <f ca="1">IF(AND(ISNUMBER($P$286),$B$258=1),$P$286,HLOOKUP(INDIRECT(ADDRESS(2,COLUMN())),OFFSET($BN$2,0,0,ROW()-1,60),ROW()-1,FALSE))</f>
        <v>6.7000000000000004E-2</v>
      </c>
      <c r="Q32">
        <f ca="1">IF(AND(ISNUMBER($Q$286),$B$258=1),$Q$286,HLOOKUP(INDIRECT(ADDRESS(2,COLUMN())),OFFSET($BN$2,0,0,ROW()-1,60),ROW()-1,FALSE))</f>
        <v>6.8000000000000005E-2</v>
      </c>
      <c r="R32">
        <f ca="1">IF(AND(ISNUMBER($R$286),$B$258=1),$R$286,HLOOKUP(INDIRECT(ADDRESS(2,COLUMN())),OFFSET($BN$2,0,0,ROW()-1,60),ROW()-1,FALSE))</f>
        <v>6.8000000000000005E-2</v>
      </c>
      <c r="S32">
        <f ca="1">IF(AND(ISNUMBER($S$286),$B$258=1),$S$286,HLOOKUP(INDIRECT(ADDRESS(2,COLUMN())),OFFSET($BN$2,0,0,ROW()-1,60),ROW()-1,FALSE))</f>
        <v>0.1</v>
      </c>
      <c r="T32">
        <f ca="1">IF(AND(ISNUMBER($T$286),$B$258=1),$T$286,HLOOKUP(INDIRECT(ADDRESS(2,COLUMN())),OFFSET($BN$2,0,0,ROW()-1,60),ROW()-1,FALSE))</f>
        <v>0.25700000000000001</v>
      </c>
      <c r="U32">
        <f ca="1">IF(AND(ISNUMBER($U$286),$B$258=1),$U$286,HLOOKUP(INDIRECT(ADDRESS(2,COLUMN())),OFFSET($BN$2,0,0,ROW()-1,60),ROW()-1,FALSE))</f>
        <v>0.72499999999999998</v>
      </c>
      <c r="V32">
        <f ca="1">IF(AND(ISNUMBER($V$286),$B$258=1),$V$286,HLOOKUP(INDIRECT(ADDRESS(2,COLUMN())),OFFSET($BN$2,0,0,ROW()-1,60),ROW()-1,FALSE))</f>
        <v>0.85199999999999998</v>
      </c>
      <c r="W32">
        <f ca="1">IF(AND(ISNUMBER($W$286),$B$258=1),$W$286,HLOOKUP(INDIRECT(ADDRESS(2,COLUMN())),OFFSET($BN$2,0,0,ROW()-1,60),ROW()-1,FALSE))</f>
        <v>0.68400000000000005</v>
      </c>
      <c r="X32">
        <f ca="1">IF(AND(ISNUMBER($X$286),$B$258=1),$X$286,HLOOKUP(INDIRECT(ADDRESS(2,COLUMN())),OFFSET($BN$2,0,0,ROW()-1,60),ROW()-1,FALSE))</f>
        <v>0.63500000000000001</v>
      </c>
      <c r="Y32">
        <f ca="1">IF(AND(ISNUMBER($Y$286),$B$258=1),$Y$286,HLOOKUP(INDIRECT(ADDRESS(2,COLUMN())),OFFSET($BN$2,0,0,ROW()-1,60),ROW()-1,FALSE))</f>
        <v>0.61899999999999999</v>
      </c>
      <c r="Z32">
        <f ca="1">IF(AND(ISNUMBER($Z$286),$B$258=1),$Z$286,HLOOKUP(INDIRECT(ADDRESS(2,COLUMN())),OFFSET($BN$2,0,0,ROW()-1,60),ROW()-1,FALSE))</f>
        <v>0.62</v>
      </c>
      <c r="AA32">
        <f ca="1">IF(AND(ISNUMBER($AA$286),$B$258=1),$AA$286,HLOOKUP(INDIRECT(ADDRESS(2,COLUMN())),OFFSET($BN$2,0,0,ROW()-1,60),ROW()-1,FALSE))</f>
        <v>0.621</v>
      </c>
      <c r="AB32">
        <f ca="1">IF(AND(ISNUMBER($AB$286),$B$258=1),$AB$286,HLOOKUP(INDIRECT(ADDRESS(2,COLUMN())),OFFSET($BN$2,0,0,ROW()-1,60),ROW()-1,FALSE))</f>
        <v>1.0669999999999999</v>
      </c>
      <c r="AC32">
        <f ca="1">IF(AND(ISNUMBER($AC$286),$B$258=1),$AC$286,HLOOKUP(INDIRECT(ADDRESS(2,COLUMN())),OFFSET($BN$2,0,0,ROW()-1,60),ROW()-1,FALSE))</f>
        <v>1.3080000000000001</v>
      </c>
      <c r="AD32">
        <f ca="1">IF(AND(ISNUMBER($AD$286),$B$258=1),$AD$286,HLOOKUP(INDIRECT(ADDRESS(2,COLUMN())),OFFSET($BN$2,0,0,ROW()-1,60),ROW()-1,FALSE))</f>
        <v>1.3080000000000001</v>
      </c>
      <c r="AE32">
        <f ca="1">IF(AND(ISNUMBER($AE$286),$B$258=1),$AE$286,HLOOKUP(INDIRECT(ADDRESS(2,COLUMN())),OFFSET($BN$2,0,0,ROW()-1,60),ROW()-1,FALSE))</f>
        <v>-0.154</v>
      </c>
      <c r="AF32">
        <f ca="1">IF(AND(ISNUMBER($AF$286),$B$258=1),$AF$286,HLOOKUP(INDIRECT(ADDRESS(2,COLUMN())),OFFSET($BN$2,0,0,ROW()-1,60),ROW()-1,FALSE))</f>
        <v>1.649</v>
      </c>
      <c r="AG32">
        <f ca="1">IF(AND(ISNUMBER($AG$286),$B$258=1),$AG$286,HLOOKUP(INDIRECT(ADDRESS(2,COLUMN())),OFFSET($BN$2,0,0,ROW()-1,60),ROW()-1,FALSE))</f>
        <v>1.6479999999999999</v>
      </c>
      <c r="AH32">
        <f ca="1">IF(AND(ISNUMBER($AH$286),$B$258=1),$AH$286,HLOOKUP(INDIRECT(ADDRESS(2,COLUMN())),OFFSET($BN$2,0,0,ROW()-1,60),ROW()-1,FALSE))</f>
        <v>1.649</v>
      </c>
      <c r="AI32">
        <f ca="1">IF(AND(ISNUMBER($AI$286),$B$258=1),$AI$286,HLOOKUP(INDIRECT(ADDRESS(2,COLUMN())),OFFSET($BN$2,0,0,ROW()-1,60),ROW()-1,FALSE))</f>
        <v>1.6930000000000001</v>
      </c>
      <c r="AJ32">
        <f ca="1">IF(AND(ISNUMBER($AJ$286),$B$258=1),$AJ$286,HLOOKUP(INDIRECT(ADDRESS(2,COLUMN())),OFFSET($BN$2,0,0,ROW()-1,60),ROW()-1,FALSE))</f>
        <v>1.649</v>
      </c>
      <c r="AK32">
        <f ca="1">IF(AND(ISNUMBER($AK$286),$B$258=1),$AK$286,HLOOKUP(INDIRECT(ADDRESS(2,COLUMN())),OFFSET($BN$2,0,0,ROW()-1,60),ROW()-1,FALSE))</f>
        <v>1.649</v>
      </c>
      <c r="AL32">
        <f ca="1">IF(AND(ISNUMBER($AL$286),$B$258=1),$AL$286,HLOOKUP(INDIRECT(ADDRESS(2,COLUMN())),OFFSET($BN$2,0,0,ROW()-1,60),ROW()-1,FALSE))</f>
        <v>2.6389999999999998</v>
      </c>
      <c r="AM32" t="str">
        <f ca="1">IF(AND(ISNUMBER($AM$286),$B$258=1),$AM$286,HLOOKUP(INDIRECT(ADDRESS(2,COLUMN())),OFFSET($BN$2,0,0,ROW()-1,60),ROW()-1,FALSE))</f>
        <v/>
      </c>
      <c r="AN32" t="str">
        <f ca="1">IF(AND(ISNUMBER($AN$286),$B$258=1),$AN$286,HLOOKUP(INDIRECT(ADDRESS(2,COLUMN())),OFFSET($BN$2,0,0,ROW()-1,60),ROW()-1,FALSE))</f>
        <v/>
      </c>
      <c r="AO32" t="str">
        <f ca="1">IF(AND(ISNUMBER($AO$286),$B$258=1),$AO$286,HLOOKUP(INDIRECT(ADDRESS(2,COLUMN())),OFFSET($BN$2,0,0,ROW()-1,60),ROW()-1,FALSE))</f>
        <v/>
      </c>
      <c r="AP32" t="str">
        <f ca="1">IF(AND(ISNUMBER($AP$286),$B$258=1),$AP$286,HLOOKUP(INDIRECT(ADDRESS(2,COLUMN())),OFFSET($BN$2,0,0,ROW()-1,60),ROW()-1,FALSE))</f>
        <v/>
      </c>
      <c r="AQ32" t="str">
        <f ca="1">IF(AND(ISNUMBER($AQ$286),$B$258=1),$AQ$286,HLOOKUP(INDIRECT(ADDRESS(2,COLUMN())),OFFSET($BN$2,0,0,ROW()-1,60),ROW()-1,FALSE))</f>
        <v/>
      </c>
      <c r="AR32" t="str">
        <f ca="1">IF(AND(ISNUMBER($AR$286),$B$258=1),$AR$286,HLOOKUP(INDIRECT(ADDRESS(2,COLUMN())),OFFSET($BN$2,0,0,ROW()-1,60),ROW()-1,FALSE))</f>
        <v/>
      </c>
      <c r="AS32" t="str">
        <f ca="1">IF(AND(ISNUMBER($AS$286),$B$258=1),$AS$286,HLOOKUP(INDIRECT(ADDRESS(2,COLUMN())),OFFSET($BN$2,0,0,ROW()-1,60),ROW()-1,FALSE))</f>
        <v/>
      </c>
      <c r="AT32" t="str">
        <f ca="1">IF(AND(ISNUMBER($AT$286),$B$258=1),$AT$286,HLOOKUP(INDIRECT(ADDRESS(2,COLUMN())),OFFSET($BN$2,0,0,ROW()-1,60),ROW()-1,FALSE))</f>
        <v/>
      </c>
      <c r="AU32" t="str">
        <f ca="1">IF(AND(ISNUMBER($AU$286),$B$258=1),$AU$286,HLOOKUP(INDIRECT(ADDRESS(2,COLUMN())),OFFSET($BN$2,0,0,ROW()-1,60),ROW()-1,FALSE))</f>
        <v/>
      </c>
      <c r="AV32" t="str">
        <f ca="1">IF(AND(ISNUMBER($AV$286),$B$258=1),$AV$286,HLOOKUP(INDIRECT(ADDRESS(2,COLUMN())),OFFSET($BN$2,0,0,ROW()-1,60),ROW()-1,FALSE))</f>
        <v/>
      </c>
      <c r="AW32" t="str">
        <f ca="1">IF(AND(ISNUMBER($AW$286),$B$258=1),$AW$286,HLOOKUP(INDIRECT(ADDRESS(2,COLUMN())),OFFSET($BN$2,0,0,ROW()-1,60),ROW()-1,FALSE))</f>
        <v/>
      </c>
      <c r="AX32" t="str">
        <f ca="1">IF(AND(ISNUMBER($AX$286),$B$258=1),$AX$286,HLOOKUP(INDIRECT(ADDRESS(2,COLUMN())),OFFSET($BN$2,0,0,ROW()-1,60),ROW()-1,FALSE))</f>
        <v/>
      </c>
      <c r="AY32" t="str">
        <f ca="1">IF(AND(ISNUMBER($AY$286),$B$258=1),$AY$286,HLOOKUP(INDIRECT(ADDRESS(2,COLUMN())),OFFSET($BN$2,0,0,ROW()-1,60),ROW()-1,FALSE))</f>
        <v/>
      </c>
      <c r="AZ32" t="str">
        <f ca="1">IF(AND(ISNUMBER($AZ$286),$B$258=1),$AZ$286,HLOOKUP(INDIRECT(ADDRESS(2,COLUMN())),OFFSET($BN$2,0,0,ROW()-1,60),ROW()-1,FALSE))</f>
        <v/>
      </c>
      <c r="BA32" t="str">
        <f ca="1">IF(AND(ISNUMBER($BA$286),$B$258=1),$BA$286,HLOOKUP(INDIRECT(ADDRESS(2,COLUMN())),OFFSET($BN$2,0,0,ROW()-1,60),ROW()-1,FALSE))</f>
        <v/>
      </c>
      <c r="BB32" t="str">
        <f ca="1">IF(AND(ISNUMBER($BB$286),$B$258=1),$BB$286,HLOOKUP(INDIRECT(ADDRESS(2,COLUMN())),OFFSET($BN$2,0,0,ROW()-1,60),ROW()-1,FALSE))</f>
        <v/>
      </c>
      <c r="BC32" t="str">
        <f ca="1">IF(AND(ISNUMBER($BC$286),$B$258=1),$BC$286,HLOOKUP(INDIRECT(ADDRESS(2,COLUMN())),OFFSET($BN$2,0,0,ROW()-1,60),ROW()-1,FALSE))</f>
        <v/>
      </c>
      <c r="BD32" t="str">
        <f ca="1">IF(AND(ISNUMBER($BD$286),$B$258=1),$BD$286,HLOOKUP(INDIRECT(ADDRESS(2,COLUMN())),OFFSET($BN$2,0,0,ROW()-1,60),ROW()-1,FALSE))</f>
        <v/>
      </c>
      <c r="BE32" t="str">
        <f ca="1">IF(AND(ISNUMBER($BE$286),$B$258=1),$BE$286,HLOOKUP(INDIRECT(ADDRESS(2,COLUMN())),OFFSET($BN$2,0,0,ROW()-1,60),ROW()-1,FALSE))</f>
        <v/>
      </c>
      <c r="BF32" t="str">
        <f ca="1">IF(AND(ISNUMBER($BF$286),$B$258=1),$BF$286,HLOOKUP(INDIRECT(ADDRESS(2,COLUMN())),OFFSET($BN$2,0,0,ROW()-1,60),ROW()-1,FALSE))</f>
        <v/>
      </c>
      <c r="BG32" t="str">
        <f ca="1">IF(AND(ISNUMBER($BG$286),$B$258=1),$BG$286,HLOOKUP(INDIRECT(ADDRESS(2,COLUMN())),OFFSET($BN$2,0,0,ROW()-1,60),ROW()-1,FALSE))</f>
        <v/>
      </c>
      <c r="BH32" t="str">
        <f ca="1">IF(AND(ISNUMBER($BH$286),$B$258=1),$BH$286,HLOOKUP(INDIRECT(ADDRESS(2,COLUMN())),OFFSET($BN$2,0,0,ROW()-1,60),ROW()-1,FALSE))</f>
        <v/>
      </c>
      <c r="BI32" t="str">
        <f ca="1">IF(AND(ISNUMBER($BI$286),$B$258=1),$BI$286,HLOOKUP(INDIRECT(ADDRESS(2,COLUMN())),OFFSET($BN$2,0,0,ROW()-1,60),ROW()-1,FALSE))</f>
        <v/>
      </c>
      <c r="BJ32" t="str">
        <f ca="1">IF(AND(ISNUMBER($BJ$286),$B$258=1),$BJ$286,HLOOKUP(INDIRECT(ADDRESS(2,COLUMN())),OFFSET($BN$2,0,0,ROW()-1,60),ROW()-1,FALSE))</f>
        <v/>
      </c>
      <c r="BK32" t="str">
        <f ca="1">IF(AND(ISNUMBER($BK$286),$B$258=1),$BK$286,HLOOKUP(INDIRECT(ADDRESS(2,COLUMN())),OFFSET($BN$2,0,0,ROW()-1,60),ROW()-1,FALSE))</f>
        <v/>
      </c>
      <c r="BL32" t="str">
        <f ca="1">IF(AND(ISNUMBER($BL$286),$B$258=1),$BL$286,HLOOKUP(INDIRECT(ADDRESS(2,COLUMN())),OFFSET($BN$2,0,0,ROW()-1,60),ROW()-1,FALSE))</f>
        <v/>
      </c>
      <c r="BM32" t="str">
        <f ca="1">IF(AND(ISNUMBER($BM$286),$B$258=1),$BM$286,HLOOKUP(INDIRECT(ADDRESS(2,COLUMN())),OFFSET($BN$2,0,0,ROW()-1,60),ROW()-1,FALSE))</f>
        <v/>
      </c>
      <c r="BN32" t="str">
        <f>""</f>
        <v/>
      </c>
      <c r="BO32">
        <f>0.163</f>
        <v>0.16300000000000001</v>
      </c>
      <c r="BP32">
        <f>0.563</f>
        <v>0.56299999999999994</v>
      </c>
      <c r="BQ32">
        <f>0.354</f>
        <v>0.35399999999999998</v>
      </c>
      <c r="BR32">
        <f>0.354</f>
        <v>0.35399999999999998</v>
      </c>
      <c r="BS32">
        <f>0.122</f>
        <v>0.122</v>
      </c>
      <c r="BT32">
        <f>0.088</f>
        <v>8.7999999999999995E-2</v>
      </c>
      <c r="BU32">
        <f>0.09</f>
        <v>0.09</v>
      </c>
      <c r="BV32">
        <f>0.065</f>
        <v>6.5000000000000002E-2</v>
      </c>
      <c r="BW32">
        <f>0.066</f>
        <v>6.6000000000000003E-2</v>
      </c>
      <c r="BX32">
        <f>0.067</f>
        <v>6.7000000000000004E-2</v>
      </c>
      <c r="BY32">
        <f>0.068</f>
        <v>6.8000000000000005E-2</v>
      </c>
      <c r="BZ32">
        <f>0.068</f>
        <v>6.8000000000000005E-2</v>
      </c>
      <c r="CA32">
        <f>0.1</f>
        <v>0.1</v>
      </c>
      <c r="CB32">
        <f>0.257</f>
        <v>0.25700000000000001</v>
      </c>
      <c r="CC32">
        <f>0.725</f>
        <v>0.72499999999999998</v>
      </c>
      <c r="CD32">
        <f>0.852</f>
        <v>0.85199999999999998</v>
      </c>
      <c r="CE32">
        <f>0.684</f>
        <v>0.68400000000000005</v>
      </c>
      <c r="CF32">
        <f>0.635</f>
        <v>0.63500000000000001</v>
      </c>
      <c r="CG32">
        <f>0.619</f>
        <v>0.61899999999999999</v>
      </c>
      <c r="CH32">
        <f>0.62</f>
        <v>0.62</v>
      </c>
      <c r="CI32">
        <f>0.621</f>
        <v>0.621</v>
      </c>
      <c r="CJ32">
        <f>1.067</f>
        <v>1.0669999999999999</v>
      </c>
      <c r="CK32">
        <f>1.308</f>
        <v>1.3080000000000001</v>
      </c>
      <c r="CL32">
        <f>1.308</f>
        <v>1.3080000000000001</v>
      </c>
      <c r="CM32">
        <f>-0.154</f>
        <v>-0.154</v>
      </c>
      <c r="CN32">
        <f>1.649</f>
        <v>1.649</v>
      </c>
      <c r="CO32">
        <f>1.648</f>
        <v>1.6479999999999999</v>
      </c>
      <c r="CP32">
        <f>1.649</f>
        <v>1.649</v>
      </c>
      <c r="CQ32">
        <f>1.693</f>
        <v>1.6930000000000001</v>
      </c>
      <c r="CR32">
        <f>1.649</f>
        <v>1.649</v>
      </c>
      <c r="CS32">
        <f>1.649</f>
        <v>1.649</v>
      </c>
      <c r="CT32">
        <f>2.639</f>
        <v>2.6389999999999998</v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A33" t="str">
        <f>"    Medical Properties Trust Inc"</f>
        <v xml:space="preserve">    Medical Properties Trust Inc</v>
      </c>
      <c r="B33" t="str">
        <f>"MPW US Equity"</f>
        <v>MPW US Equity</v>
      </c>
      <c r="C33" t="str">
        <f t="shared" si="6"/>
        <v>IM281</v>
      </c>
      <c r="D33" t="str">
        <f t="shared" si="7"/>
        <v>IS_NON_REAL_ESTATE_INCOME</v>
      </c>
      <c r="E33" t="str">
        <f t="shared" si="8"/>
        <v>动态</v>
      </c>
      <c r="F33" t="str">
        <f ca="1">IF(AND(ISNUMBER($F$287),$B$258=1),$F$287,HLOOKUP(INDIRECT(ADDRESS(2,COLUMN())),OFFSET($BN$2,0,0,ROW()-1,60),ROW()-1,FALSE))</f>
        <v/>
      </c>
      <c r="G33">
        <f ca="1">IF(AND(ISNUMBER($G$287),$B$258=1),$G$287,HLOOKUP(INDIRECT(ADDRESS(2,COLUMN())),OFFSET($BN$2,0,0,ROW()-1,60),ROW()-1,FALSE))</f>
        <v>42.223999999999997</v>
      </c>
      <c r="H33">
        <f ca="1">IF(AND(ISNUMBER($H$287),$B$258=1),$H$287,HLOOKUP(INDIRECT(ADDRESS(2,COLUMN())),OFFSET($BN$2,0,0,ROW()-1,60),ROW()-1,FALSE))</f>
        <v>29.03</v>
      </c>
      <c r="I33">
        <f ca="1">IF(AND(ISNUMBER($I$287),$B$258=1),$I$287,HLOOKUP(INDIRECT(ADDRESS(2,COLUMN())),OFFSET($BN$2,0,0,ROW()-1,60),ROW()-1,FALSE))</f>
        <v>28.771000000000001</v>
      </c>
      <c r="J33">
        <f ca="1">IF(AND(ISNUMBER($J$287),$B$258=1),$J$287,HLOOKUP(INDIRECT(ADDRESS(2,COLUMN())),OFFSET($BN$2,0,0,ROW()-1,60),ROW()-1,FALSE))</f>
        <v>28.975000000000001</v>
      </c>
      <c r="K33">
        <f ca="1">IF(AND(ISNUMBER($K$287),$B$258=1),$K$287,HLOOKUP(INDIRECT(ADDRESS(2,COLUMN())),OFFSET($BN$2,0,0,ROW()-1,60),ROW()-1,FALSE))</f>
        <v>28.738</v>
      </c>
      <c r="L33">
        <f ca="1">IF(AND(ISNUMBER($L$287),$B$258=1),$L$287,HLOOKUP(INDIRECT(ADDRESS(2,COLUMN())),OFFSET($BN$2,0,0,ROW()-1,60),ROW()-1,FALSE))</f>
        <v>19.748999999999999</v>
      </c>
      <c r="M33">
        <f ca="1">IF(AND(ISNUMBER($M$287),$B$258=1),$M$287,HLOOKUP(INDIRECT(ADDRESS(2,COLUMN())),OFFSET($BN$2,0,0,ROW()-1,60),ROW()-1,FALSE))</f>
        <v>26.236999999999998</v>
      </c>
      <c r="N33">
        <f ca="1">IF(AND(ISNUMBER($N$287),$B$258=1),$N$287,HLOOKUP(INDIRECT(ADDRESS(2,COLUMN())),OFFSET($BN$2,0,0,ROW()-1,60),ROW()-1,FALSE))</f>
        <v>33.770000000000003</v>
      </c>
      <c r="O33">
        <f ca="1">IF(AND(ISNUMBER($O$287),$B$258=1),$O$287,HLOOKUP(INDIRECT(ADDRESS(2,COLUMN())),OFFSET($BN$2,0,0,ROW()-1,60),ROW()-1,FALSE))</f>
        <v>34.261000000000003</v>
      </c>
      <c r="P33">
        <f ca="1">IF(AND(ISNUMBER($P$287),$B$258=1),$P$287,HLOOKUP(INDIRECT(ADDRESS(2,COLUMN())),OFFSET($BN$2,0,0,ROW()-1,60),ROW()-1,FALSE))</f>
        <v>24.497</v>
      </c>
      <c r="Q33">
        <f ca="1">IF(AND(ISNUMBER($Q$287),$B$258=1),$Q$287,HLOOKUP(INDIRECT(ADDRESS(2,COLUMN())),OFFSET($BN$2,0,0,ROW()-1,60),ROW()-1,FALSE))</f>
        <v>27.847999999999999</v>
      </c>
      <c r="R33">
        <f ca="1">IF(AND(ISNUMBER($R$287),$B$258=1),$R$287,HLOOKUP(INDIRECT(ADDRESS(2,COLUMN())),OFFSET($BN$2,0,0,ROW()-1,60),ROW()-1,FALSE))</f>
        <v>25.577999999999999</v>
      </c>
      <c r="S33">
        <f ca="1">IF(AND(ISNUMBER($S$287),$B$258=1),$S$287,HLOOKUP(INDIRECT(ADDRESS(2,COLUMN())),OFFSET($BN$2,0,0,ROW()-1,60),ROW()-1,FALSE))</f>
        <v>16.813085000000001</v>
      </c>
      <c r="T33">
        <f ca="1">IF(AND(ISNUMBER($T$287),$B$258=1),$T$287,HLOOKUP(INDIRECT(ADDRESS(2,COLUMN())),OFFSET($BN$2,0,0,ROW()-1,60),ROW()-1,FALSE))</f>
        <v>15.124000000000001</v>
      </c>
      <c r="U33">
        <f ca="1">IF(AND(ISNUMBER($U$287),$B$258=1),$U$287,HLOOKUP(INDIRECT(ADDRESS(2,COLUMN())),OFFSET($BN$2,0,0,ROW()-1,60),ROW()-1,FALSE))</f>
        <v>15.191000000000001</v>
      </c>
      <c r="V33">
        <f ca="1">IF(AND(ISNUMBER($V$287),$B$258=1),$V$287,HLOOKUP(INDIRECT(ADDRESS(2,COLUMN())),OFFSET($BN$2,0,0,ROW()-1,60),ROW()-1,FALSE))</f>
        <v>15.769</v>
      </c>
      <c r="W33">
        <f ca="1">IF(AND(ISNUMBER($W$287),$B$258=1),$W$287,HLOOKUP(INDIRECT(ADDRESS(2,COLUMN())),OFFSET($BN$2,0,0,ROW()-1,60),ROW()-1,FALSE))</f>
        <v>15.139341999999999</v>
      </c>
      <c r="X33">
        <f ca="1">IF(AND(ISNUMBER($X$287),$B$258=1),$X$287,HLOOKUP(INDIRECT(ADDRESS(2,COLUMN())),OFFSET($BN$2,0,0,ROW()-1,60),ROW()-1,FALSE))</f>
        <v>14.38</v>
      </c>
      <c r="Y33">
        <f ca="1">IF(AND(ISNUMBER($Y$287),$B$258=1),$Y$287,HLOOKUP(INDIRECT(ADDRESS(2,COLUMN())),OFFSET($BN$2,0,0,ROW()-1,60),ROW()-1,FALSE))</f>
        <v>14.093</v>
      </c>
      <c r="Z33">
        <f ca="1">IF(AND(ISNUMBER($Z$287),$B$258=1),$Z$287,HLOOKUP(INDIRECT(ADDRESS(2,COLUMN())),OFFSET($BN$2,0,0,ROW()-1,60),ROW()-1,FALSE))</f>
        <v>14.707000000000001</v>
      </c>
      <c r="AA33">
        <f ca="1">IF(AND(ISNUMBER($AA$287),$B$258=1),$AA$287,HLOOKUP(INDIRECT(ADDRESS(2,COLUMN())),OFFSET($BN$2,0,0,ROW()-1,60),ROW()-1,FALSE))</f>
        <v>15.120443</v>
      </c>
      <c r="AB33">
        <f ca="1">IF(AND(ISNUMBER($AB$287),$B$258=1),$AB$287,HLOOKUP(INDIRECT(ADDRESS(2,COLUMN())),OFFSET($BN$2,0,0,ROW()-1,60),ROW()-1,FALSE))</f>
        <v>14.037000000000001</v>
      </c>
      <c r="AC33">
        <f ca="1">IF(AND(ISNUMBER($AC$287),$B$258=1),$AC$287,HLOOKUP(INDIRECT(ADDRESS(2,COLUMN())),OFFSET($BN$2,0,0,ROW()-1,60),ROW()-1,FALSE))</f>
        <v>11.526999999999999</v>
      </c>
      <c r="AD33">
        <f ca="1">IF(AND(ISNUMBER($AD$287),$B$258=1),$AD$287,HLOOKUP(INDIRECT(ADDRESS(2,COLUMN())),OFFSET($BN$2,0,0,ROW()-1,60),ROW()-1,FALSE))</f>
        <v>7.9210000000000003</v>
      </c>
      <c r="AE33">
        <f ca="1">IF(AND(ISNUMBER($AE$287),$B$258=1),$AE$287,HLOOKUP(INDIRECT(ADDRESS(2,COLUMN())),OFFSET($BN$2,0,0,ROW()-1,60),ROW()-1,FALSE))</f>
        <v>5.6568440000000004</v>
      </c>
      <c r="AF33">
        <f ca="1">IF(AND(ISNUMBER($AF$287),$B$258=1),$AF$287,HLOOKUP(INDIRECT(ADDRESS(2,COLUMN())),OFFSET($BN$2,0,0,ROW()-1,60),ROW()-1,FALSE))</f>
        <v>5.2290000000000001</v>
      </c>
      <c r="AG33">
        <f ca="1">IF(AND(ISNUMBER($AG$287),$B$258=1),$AG$287,HLOOKUP(INDIRECT(ADDRESS(2,COLUMN())),OFFSET($BN$2,0,0,ROW()-1,60),ROW()-1,FALSE))</f>
        <v>5.2690000000000001</v>
      </c>
      <c r="AH33">
        <f ca="1">IF(AND(ISNUMBER($AH$287),$B$258=1),$AH$287,HLOOKUP(INDIRECT(ADDRESS(2,COLUMN())),OFFSET($BN$2,0,0,ROW()-1,60),ROW()-1,FALSE))</f>
        <v>5.282</v>
      </c>
      <c r="AI33">
        <f ca="1">IF(AND(ISNUMBER($AI$287),$B$258=1),$AI$287,HLOOKUP(INDIRECT(ADDRESS(2,COLUMN())),OFFSET($BN$2,0,0,ROW()-1,60),ROW()-1,FALSE))</f>
        <v>6.393205</v>
      </c>
      <c r="AJ33">
        <f ca="1">IF(AND(ISNUMBER($AJ$287),$B$258=1),$AJ$287,HLOOKUP(INDIRECT(ADDRESS(2,COLUMN())),OFFSET($BN$2,0,0,ROW()-1,60),ROW()-1,FALSE))</f>
        <v>6.2960000000000003</v>
      </c>
      <c r="AK33">
        <f ca="1">IF(AND(ISNUMBER($AK$287),$B$258=1),$AK$287,HLOOKUP(INDIRECT(ADDRESS(2,COLUMN())),OFFSET($BN$2,0,0,ROW()-1,60),ROW()-1,FALSE))</f>
        <v>6.4989999999999997</v>
      </c>
      <c r="AL33">
        <f ca="1">IF(AND(ISNUMBER($AL$287),$B$258=1),$AL$287,HLOOKUP(INDIRECT(ADDRESS(2,COLUMN())),OFFSET($BN$2,0,0,ROW()-1,60),ROW()-1,FALSE))</f>
        <v>7.7990000000000004</v>
      </c>
      <c r="AM33">
        <f ca="1">IF(AND(ISNUMBER($AM$287),$B$258=1),$AM$287,HLOOKUP(INDIRECT(ADDRESS(2,COLUMN())),OFFSET($BN$2,0,0,ROW()-1,60),ROW()-1,FALSE))</f>
        <v>7.3138810000000003</v>
      </c>
      <c r="AN33">
        <f ca="1">IF(AND(ISNUMBER($AN$287),$B$258=1),$AN$287,HLOOKUP(INDIRECT(ADDRESS(2,COLUMN())),OFFSET($BN$2,0,0,ROW()-1,60),ROW()-1,FALSE))</f>
        <v>7.2130000000000001</v>
      </c>
      <c r="AO33">
        <f ca="1">IF(AND(ISNUMBER($AO$287),$B$258=1),$AO$287,HLOOKUP(INDIRECT(ADDRESS(2,COLUMN())),OFFSET($BN$2,0,0,ROW()-1,60),ROW()-1,FALSE))</f>
        <v>0</v>
      </c>
      <c r="AP33">
        <f ca="1">IF(AND(ISNUMBER($AP$287),$B$258=1),$AP$287,HLOOKUP(INDIRECT(ADDRESS(2,COLUMN())),OFFSET($BN$2,0,0,ROW()-1,60),ROW()-1,FALSE))</f>
        <v>7.423</v>
      </c>
      <c r="AQ33" t="str">
        <f ca="1">IF(AND(ISNUMBER($AQ$287),$B$258=1),$AQ$287,HLOOKUP(INDIRECT(ADDRESS(2,COLUMN())),OFFSET($BN$2,0,0,ROW()-1,60),ROW()-1,FALSE))</f>
        <v/>
      </c>
      <c r="AR33" t="str">
        <f ca="1">IF(AND(ISNUMBER($AR$287),$B$258=1),$AR$287,HLOOKUP(INDIRECT(ADDRESS(2,COLUMN())),OFFSET($BN$2,0,0,ROW()-1,60),ROW()-1,FALSE))</f>
        <v/>
      </c>
      <c r="AS33" t="str">
        <f ca="1">IF(AND(ISNUMBER($AS$287),$B$258=1),$AS$287,HLOOKUP(INDIRECT(ADDRESS(2,COLUMN())),OFFSET($BN$2,0,0,ROW()-1,60),ROW()-1,FALSE))</f>
        <v/>
      </c>
      <c r="AT33" t="str">
        <f ca="1">IF(AND(ISNUMBER($AT$287),$B$258=1),$AT$287,HLOOKUP(INDIRECT(ADDRESS(2,COLUMN())),OFFSET($BN$2,0,0,ROW()-1,60),ROW()-1,FALSE))</f>
        <v/>
      </c>
      <c r="AU33" t="str">
        <f ca="1">IF(AND(ISNUMBER($AU$287),$B$258=1),$AU$287,HLOOKUP(INDIRECT(ADDRESS(2,COLUMN())),OFFSET($BN$2,0,0,ROW()-1,60),ROW()-1,FALSE))</f>
        <v/>
      </c>
      <c r="AV33" t="str">
        <f ca="1">IF(AND(ISNUMBER($AV$287),$B$258=1),$AV$287,HLOOKUP(INDIRECT(ADDRESS(2,COLUMN())),OFFSET($BN$2,0,0,ROW()-1,60),ROW()-1,FALSE))</f>
        <v/>
      </c>
      <c r="AW33" t="str">
        <f ca="1">IF(AND(ISNUMBER($AW$287),$B$258=1),$AW$287,HLOOKUP(INDIRECT(ADDRESS(2,COLUMN())),OFFSET($BN$2,0,0,ROW()-1,60),ROW()-1,FALSE))</f>
        <v/>
      </c>
      <c r="AX33" t="str">
        <f ca="1">IF(AND(ISNUMBER($AX$287),$B$258=1),$AX$287,HLOOKUP(INDIRECT(ADDRESS(2,COLUMN())),OFFSET($BN$2,0,0,ROW()-1,60),ROW()-1,FALSE))</f>
        <v/>
      </c>
      <c r="AY33" t="str">
        <f ca="1">IF(AND(ISNUMBER($AY$287),$B$258=1),$AY$287,HLOOKUP(INDIRECT(ADDRESS(2,COLUMN())),OFFSET($BN$2,0,0,ROW()-1,60),ROW()-1,FALSE))</f>
        <v/>
      </c>
      <c r="AZ33" t="str">
        <f ca="1">IF(AND(ISNUMBER($AZ$287),$B$258=1),$AZ$287,HLOOKUP(INDIRECT(ADDRESS(2,COLUMN())),OFFSET($BN$2,0,0,ROW()-1,60),ROW()-1,FALSE))</f>
        <v/>
      </c>
      <c r="BA33" t="str">
        <f ca="1">IF(AND(ISNUMBER($BA$287),$B$258=1),$BA$287,HLOOKUP(INDIRECT(ADDRESS(2,COLUMN())),OFFSET($BN$2,0,0,ROW()-1,60),ROW()-1,FALSE))</f>
        <v/>
      </c>
      <c r="BB33" t="str">
        <f ca="1">IF(AND(ISNUMBER($BB$287),$B$258=1),$BB$287,HLOOKUP(INDIRECT(ADDRESS(2,COLUMN())),OFFSET($BN$2,0,0,ROW()-1,60),ROW()-1,FALSE))</f>
        <v/>
      </c>
      <c r="BC33" t="str">
        <f ca="1">IF(AND(ISNUMBER($BC$287),$B$258=1),$BC$287,HLOOKUP(INDIRECT(ADDRESS(2,COLUMN())),OFFSET($BN$2,0,0,ROW()-1,60),ROW()-1,FALSE))</f>
        <v/>
      </c>
      <c r="BD33" t="str">
        <f ca="1">IF(AND(ISNUMBER($BD$287),$B$258=1),$BD$287,HLOOKUP(INDIRECT(ADDRESS(2,COLUMN())),OFFSET($BN$2,0,0,ROW()-1,60),ROW()-1,FALSE))</f>
        <v/>
      </c>
      <c r="BE33" t="str">
        <f ca="1">IF(AND(ISNUMBER($BE$287),$B$258=1),$BE$287,HLOOKUP(INDIRECT(ADDRESS(2,COLUMN())),OFFSET($BN$2,0,0,ROW()-1,60),ROW()-1,FALSE))</f>
        <v/>
      </c>
      <c r="BF33" t="str">
        <f ca="1">IF(AND(ISNUMBER($BF$287),$B$258=1),$BF$287,HLOOKUP(INDIRECT(ADDRESS(2,COLUMN())),OFFSET($BN$2,0,0,ROW()-1,60),ROW()-1,FALSE))</f>
        <v/>
      </c>
      <c r="BG33" t="str">
        <f ca="1">IF(AND(ISNUMBER($BG$287),$B$258=1),$BG$287,HLOOKUP(INDIRECT(ADDRESS(2,COLUMN())),OFFSET($BN$2,0,0,ROW()-1,60),ROW()-1,FALSE))</f>
        <v/>
      </c>
      <c r="BH33" t="str">
        <f ca="1">IF(AND(ISNUMBER($BH$287),$B$258=1),$BH$287,HLOOKUP(INDIRECT(ADDRESS(2,COLUMN())),OFFSET($BN$2,0,0,ROW()-1,60),ROW()-1,FALSE))</f>
        <v/>
      </c>
      <c r="BI33" t="str">
        <f ca="1">IF(AND(ISNUMBER($BI$287),$B$258=1),$BI$287,HLOOKUP(INDIRECT(ADDRESS(2,COLUMN())),OFFSET($BN$2,0,0,ROW()-1,60),ROW()-1,FALSE))</f>
        <v/>
      </c>
      <c r="BJ33" t="str">
        <f ca="1">IF(AND(ISNUMBER($BJ$287),$B$258=1),$BJ$287,HLOOKUP(INDIRECT(ADDRESS(2,COLUMN())),OFFSET($BN$2,0,0,ROW()-1,60),ROW()-1,FALSE))</f>
        <v/>
      </c>
      <c r="BK33" t="str">
        <f ca="1">IF(AND(ISNUMBER($BK$287),$B$258=1),$BK$287,HLOOKUP(INDIRECT(ADDRESS(2,COLUMN())),OFFSET($BN$2,0,0,ROW()-1,60),ROW()-1,FALSE))</f>
        <v/>
      </c>
      <c r="BL33" t="str">
        <f ca="1">IF(AND(ISNUMBER($BL$287),$B$258=1),$BL$287,HLOOKUP(INDIRECT(ADDRESS(2,COLUMN())),OFFSET($BN$2,0,0,ROW()-1,60),ROW()-1,FALSE))</f>
        <v/>
      </c>
      <c r="BM33" t="str">
        <f ca="1">IF(AND(ISNUMBER($BM$287),$B$258=1),$BM$287,HLOOKUP(INDIRECT(ADDRESS(2,COLUMN())),OFFSET($BN$2,0,0,ROW()-1,60),ROW()-1,FALSE))</f>
        <v/>
      </c>
      <c r="BN33" t="str">
        <f>""</f>
        <v/>
      </c>
      <c r="BO33">
        <f>42.224</f>
        <v>42.223999999999997</v>
      </c>
      <c r="BP33">
        <f>29.03</f>
        <v>29.03</v>
      </c>
      <c r="BQ33">
        <f>28.771</f>
        <v>28.771000000000001</v>
      </c>
      <c r="BR33">
        <f>28.975</f>
        <v>28.975000000000001</v>
      </c>
      <c r="BS33">
        <f>28.738</f>
        <v>28.738</v>
      </c>
      <c r="BT33">
        <f>19.749</f>
        <v>19.748999999999999</v>
      </c>
      <c r="BU33">
        <f>26.237</f>
        <v>26.236999999999998</v>
      </c>
      <c r="BV33">
        <f>33.77</f>
        <v>33.770000000000003</v>
      </c>
      <c r="BW33">
        <f>34.261</f>
        <v>34.261000000000003</v>
      </c>
      <c r="BX33">
        <f>24.497</f>
        <v>24.497</v>
      </c>
      <c r="BY33">
        <f>27.848</f>
        <v>27.847999999999999</v>
      </c>
      <c r="BZ33">
        <f>25.578</f>
        <v>25.577999999999999</v>
      </c>
      <c r="CA33">
        <f>16.813085</f>
        <v>16.813085000000001</v>
      </c>
      <c r="CB33">
        <f>15.124</f>
        <v>15.124000000000001</v>
      </c>
      <c r="CC33">
        <f>15.191</f>
        <v>15.191000000000001</v>
      </c>
      <c r="CD33">
        <f>15.769</f>
        <v>15.769</v>
      </c>
      <c r="CE33">
        <f>15.139342</f>
        <v>15.139341999999999</v>
      </c>
      <c r="CF33">
        <f>14.38</f>
        <v>14.38</v>
      </c>
      <c r="CG33">
        <f>14.093</f>
        <v>14.093</v>
      </c>
      <c r="CH33">
        <f>14.707</f>
        <v>14.707000000000001</v>
      </c>
      <c r="CI33">
        <f>15.120443</f>
        <v>15.120443</v>
      </c>
      <c r="CJ33">
        <f>14.037</f>
        <v>14.037000000000001</v>
      </c>
      <c r="CK33">
        <f>11.527</f>
        <v>11.526999999999999</v>
      </c>
      <c r="CL33">
        <f>7.921</f>
        <v>7.9210000000000003</v>
      </c>
      <c r="CM33">
        <f>5.656844</f>
        <v>5.6568440000000004</v>
      </c>
      <c r="CN33">
        <f>5.229</f>
        <v>5.2290000000000001</v>
      </c>
      <c r="CO33">
        <f>5.269</f>
        <v>5.2690000000000001</v>
      </c>
      <c r="CP33">
        <f>5.282</f>
        <v>5.282</v>
      </c>
      <c r="CQ33">
        <f>6.393205</f>
        <v>6.393205</v>
      </c>
      <c r="CR33">
        <f>6.296</f>
        <v>6.2960000000000003</v>
      </c>
      <c r="CS33">
        <f>6.499</f>
        <v>6.4989999999999997</v>
      </c>
      <c r="CT33">
        <f>7.799</f>
        <v>7.7990000000000004</v>
      </c>
      <c r="CU33">
        <f>7.313881</f>
        <v>7.3138810000000003</v>
      </c>
      <c r="CV33">
        <f>7.213</f>
        <v>7.2130000000000001</v>
      </c>
      <c r="CW33">
        <f>0</f>
        <v>0</v>
      </c>
      <c r="CX33">
        <f>7.423</f>
        <v>7.423</v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>
      <c r="A34" t="str">
        <f>"    Omega Healthcare Investors Inc"</f>
        <v xml:space="preserve">    Omega Healthcare Investors Inc</v>
      </c>
      <c r="B34" t="str">
        <f>"OHI US Equity"</f>
        <v>OHI US Equity</v>
      </c>
      <c r="C34" t="str">
        <f t="shared" si="6"/>
        <v>IM281</v>
      </c>
      <c r="D34" t="str">
        <f t="shared" si="7"/>
        <v>IS_NON_REAL_ESTATE_INCOME</v>
      </c>
      <c r="E34" t="str">
        <f t="shared" si="8"/>
        <v>动态</v>
      </c>
      <c r="F34" t="str">
        <f ca="1">IF(AND(ISNUMBER($F$288),$B$258=1),$F$288,HLOOKUP(INDIRECT(ADDRESS(2,COLUMN())),OFFSET($BN$2,0,0,ROW()-1,60),ROW()-1,FALSE))</f>
        <v/>
      </c>
      <c r="G34">
        <f ca="1">IF(AND(ISNUMBER($G$288),$B$258=1),$G$288,HLOOKUP(INDIRECT(ADDRESS(2,COLUMN())),OFFSET($BN$2,0,0,ROW()-1,60),ROW()-1,FALSE))</f>
        <v>8.984</v>
      </c>
      <c r="H34">
        <f ca="1">IF(AND(ISNUMBER($H$288),$B$258=1),$H$288,HLOOKUP(INDIRECT(ADDRESS(2,COLUMN())),OFFSET($BN$2,0,0,ROW()-1,60),ROW()-1,FALSE))</f>
        <v>8.0410000000000004</v>
      </c>
      <c r="I34">
        <f ca="1">IF(AND(ISNUMBER($I$288),$B$258=1),$I$288,HLOOKUP(INDIRECT(ADDRESS(2,COLUMN())),OFFSET($BN$2,0,0,ROW()-1,60),ROW()-1,FALSE))</f>
        <v>10.041</v>
      </c>
      <c r="J34">
        <f ca="1">IF(AND(ISNUMBER($J$288),$B$258=1),$J$288,HLOOKUP(INDIRECT(ADDRESS(2,COLUMN())),OFFSET($BN$2,0,0,ROW()-1,60),ROW()-1,FALSE))</f>
        <v>7.6050000000000004</v>
      </c>
      <c r="K34">
        <f ca="1">IF(AND(ISNUMBER($K$288),$B$258=1),$K$288,HLOOKUP(INDIRECT(ADDRESS(2,COLUMN())),OFFSET($BN$2,0,0,ROW()-1,60),ROW()-1,FALSE))</f>
        <v>8.0329999999999995</v>
      </c>
      <c r="L34">
        <f ca="1">IF(AND(ISNUMBER($L$288),$B$258=1),$L$288,HLOOKUP(INDIRECT(ADDRESS(2,COLUMN())),OFFSET($BN$2,0,0,ROW()-1,60),ROW()-1,FALSE))</f>
        <v>7.194</v>
      </c>
      <c r="M34">
        <f ca="1">IF(AND(ISNUMBER($M$288),$B$258=1),$M$288,HLOOKUP(INDIRECT(ADDRESS(2,COLUMN())),OFFSET($BN$2,0,0,ROW()-1,60),ROW()-1,FALSE))</f>
        <v>5.4779999999999998</v>
      </c>
      <c r="N34">
        <f ca="1">IF(AND(ISNUMBER($N$288),$B$258=1),$N$288,HLOOKUP(INDIRECT(ADDRESS(2,COLUMN())),OFFSET($BN$2,0,0,ROW()-1,60),ROW()-1,FALSE))</f>
        <v>4.1280000000000001</v>
      </c>
      <c r="O34">
        <f ca="1">IF(AND(ISNUMBER($O$288),$B$258=1),$O$288,HLOOKUP(INDIRECT(ADDRESS(2,COLUMN())),OFFSET($BN$2,0,0,ROW()-1,60),ROW()-1,FALSE))</f>
        <v>2.2919999999999998</v>
      </c>
      <c r="P34">
        <f ca="1">IF(AND(ISNUMBER($P$288),$B$258=1),$P$288,HLOOKUP(INDIRECT(ADDRESS(2,COLUMN())),OFFSET($BN$2,0,0,ROW()-1,60),ROW()-1,FALSE))</f>
        <v>2.94</v>
      </c>
      <c r="Q34">
        <f ca="1">IF(AND(ISNUMBER($Q$288),$B$258=1),$Q$288,HLOOKUP(INDIRECT(ADDRESS(2,COLUMN())),OFFSET($BN$2,0,0,ROW()-1,60),ROW()-1,FALSE))</f>
        <v>2.0169999999999999</v>
      </c>
      <c r="R34">
        <f ca="1">IF(AND(ISNUMBER($R$288),$B$258=1),$R$288,HLOOKUP(INDIRECT(ADDRESS(2,COLUMN())),OFFSET($BN$2,0,0,ROW()-1,60),ROW()-1,FALSE))</f>
        <v>1.5309999999999999</v>
      </c>
      <c r="S34">
        <f ca="1">IF(AND(ISNUMBER($S$288),$B$258=1),$S$288,HLOOKUP(INDIRECT(ADDRESS(2,COLUMN())),OFFSET($BN$2,0,0,ROW()-1,60),ROW()-1,FALSE))</f>
        <v>1.421</v>
      </c>
      <c r="T34">
        <f ca="1">IF(AND(ISNUMBER($T$288),$B$258=1),$T$288,HLOOKUP(INDIRECT(ADDRESS(2,COLUMN())),OFFSET($BN$2,0,0,ROW()-1,60),ROW()-1,FALSE))</f>
        <v>2.0350000000000001</v>
      </c>
      <c r="U34">
        <f ca="1">IF(AND(ISNUMBER($U$288),$B$258=1),$U$288,HLOOKUP(INDIRECT(ADDRESS(2,COLUMN())),OFFSET($BN$2,0,0,ROW()-1,60),ROW()-1,FALSE))</f>
        <v>1.4890000000000001</v>
      </c>
      <c r="V34">
        <f ca="1">IF(AND(ISNUMBER($V$288),$B$258=1),$V$288,HLOOKUP(INDIRECT(ADDRESS(2,COLUMN())),OFFSET($BN$2,0,0,ROW()-1,60),ROW()-1,FALSE))</f>
        <v>1.673</v>
      </c>
      <c r="W34">
        <f ca="1">IF(AND(ISNUMBER($W$288),$B$258=1),$W$288,HLOOKUP(INDIRECT(ADDRESS(2,COLUMN())),OFFSET($BN$2,0,0,ROW()-1,60),ROW()-1,FALSE))</f>
        <v>3.5329999999999999</v>
      </c>
      <c r="X34">
        <f ca="1">IF(AND(ISNUMBER($X$288),$B$258=1),$X$288,HLOOKUP(INDIRECT(ADDRESS(2,COLUMN())),OFFSET($BN$2,0,0,ROW()-1,60),ROW()-1,FALSE))</f>
        <v>2.1749999999999998</v>
      </c>
      <c r="Y34">
        <f ca="1">IF(AND(ISNUMBER($Y$288),$B$258=1),$Y$288,HLOOKUP(INDIRECT(ADDRESS(2,COLUMN())),OFFSET($BN$2,0,0,ROW()-1,60),ROW()-1,FALSE))</f>
        <v>2.0110000000000001</v>
      </c>
      <c r="Z34">
        <f ca="1">IF(AND(ISNUMBER($Z$288),$B$258=1),$Z$288,HLOOKUP(INDIRECT(ADDRESS(2,COLUMN())),OFFSET($BN$2,0,0,ROW()-1,60),ROW()-1,FALSE))</f>
        <v>1.306</v>
      </c>
      <c r="AA34">
        <f ca="1">IF(AND(ISNUMBER($AA$288),$B$258=1),$AA$288,HLOOKUP(INDIRECT(ADDRESS(2,COLUMN())),OFFSET($BN$2,0,0,ROW()-1,60),ROW()-1,FALSE))</f>
        <v>1.764</v>
      </c>
      <c r="AB34">
        <f ca="1">IF(AND(ISNUMBER($AB$288),$B$258=1),$AB$288,HLOOKUP(INDIRECT(ADDRESS(2,COLUMN())),OFFSET($BN$2,0,0,ROW()-1,60),ROW()-1,FALSE))</f>
        <v>1.2609999999999999</v>
      </c>
      <c r="AC34">
        <f ca="1">IF(AND(ISNUMBER($AC$288),$B$258=1),$AC$288,HLOOKUP(INDIRECT(ADDRESS(2,COLUMN())),OFFSET($BN$2,0,0,ROW()-1,60),ROW()-1,FALSE))</f>
        <v>1.1930000000000001</v>
      </c>
      <c r="AD34">
        <f ca="1">IF(AND(ISNUMBER($AD$288),$B$258=1),$AD$288,HLOOKUP(INDIRECT(ADDRESS(2,COLUMN())),OFFSET($BN$2,0,0,ROW()-1,60),ROW()-1,FALSE))</f>
        <v>1.204</v>
      </c>
      <c r="AE34">
        <f ca="1">IF(AND(ISNUMBER($AE$288),$B$258=1),$AE$288,HLOOKUP(INDIRECT(ADDRESS(2,COLUMN())),OFFSET($BN$2,0,0,ROW()-1,60),ROW()-1,FALSE))</f>
        <v>0.50700000000000001</v>
      </c>
      <c r="AF34">
        <f ca="1">IF(AND(ISNUMBER($AF$288),$B$258=1),$AF$288,HLOOKUP(INDIRECT(ADDRESS(2,COLUMN())),OFFSET($BN$2,0,0,ROW()-1,60),ROW()-1,FALSE))</f>
        <v>0.57899999999999996</v>
      </c>
      <c r="AG34">
        <f ca="1">IF(AND(ISNUMBER($AG$288),$B$258=1),$AG$288,HLOOKUP(INDIRECT(ADDRESS(2,COLUMN())),OFFSET($BN$2,0,0,ROW()-1,60),ROW()-1,FALSE))</f>
        <v>0.68600000000000005</v>
      </c>
      <c r="AH34">
        <f ca="1">IF(AND(ISNUMBER($AH$288),$B$258=1),$AH$288,HLOOKUP(INDIRECT(ADDRESS(2,COLUMN())),OFFSET($BN$2,0,0,ROW()-1,60),ROW()-1,FALSE))</f>
        <v>0.64100000000000001</v>
      </c>
      <c r="AI34">
        <f ca="1">IF(AND(ISNUMBER($AI$288),$B$258=1),$AI$288,HLOOKUP(INDIRECT(ADDRESS(2,COLUMN())),OFFSET($BN$2,0,0,ROW()-1,60),ROW()-1,FALSE))</f>
        <v>0.68799999999999994</v>
      </c>
      <c r="AJ34">
        <f ca="1">IF(AND(ISNUMBER($AJ$288),$B$258=1),$AJ$288,HLOOKUP(INDIRECT(ADDRESS(2,COLUMN())),OFFSET($BN$2,0,0,ROW()-1,60),ROW()-1,FALSE))</f>
        <v>0.84899999999999998</v>
      </c>
      <c r="AK34">
        <f ca="1">IF(AND(ISNUMBER($AK$288),$B$258=1),$AK$288,HLOOKUP(INDIRECT(ADDRESS(2,COLUMN())),OFFSET($BN$2,0,0,ROW()-1,60),ROW()-1,FALSE))</f>
        <v>4.766</v>
      </c>
      <c r="AL34">
        <f ca="1">IF(AND(ISNUMBER($AL$288),$B$258=1),$AL$288,HLOOKUP(INDIRECT(ADDRESS(2,COLUMN())),OFFSET($BN$2,0,0,ROW()-1,60),ROW()-1,FALSE))</f>
        <v>8.8550000000000004</v>
      </c>
      <c r="AM34">
        <f ca="1">IF(AND(ISNUMBER($AM$288),$B$258=1),$AM$288,HLOOKUP(INDIRECT(ADDRESS(2,COLUMN())),OFFSET($BN$2,0,0,ROW()-1,60),ROW()-1,FALSE))</f>
        <v>5.6159999999999997</v>
      </c>
      <c r="AN34">
        <f ca="1">IF(AND(ISNUMBER($AN$288),$B$258=1),$AN$288,HLOOKUP(INDIRECT(ADDRESS(2,COLUMN())),OFFSET($BN$2,0,0,ROW()-1,60),ROW()-1,FALSE))</f>
        <v>5.6120000000000001</v>
      </c>
      <c r="AO34">
        <f ca="1">IF(AND(ISNUMBER($AO$288),$B$258=1),$AO$288,HLOOKUP(INDIRECT(ADDRESS(2,COLUMN())),OFFSET($BN$2,0,0,ROW()-1,60),ROW()-1,FALSE))</f>
        <v>5.032</v>
      </c>
      <c r="AP34">
        <f ca="1">IF(AND(ISNUMBER($AP$288),$B$258=1),$AP$288,HLOOKUP(INDIRECT(ADDRESS(2,COLUMN())),OFFSET($BN$2,0,0,ROW()-1,60),ROW()-1,FALSE))</f>
        <v>5.109</v>
      </c>
      <c r="AQ34" t="str">
        <f ca="1">IF(AND(ISNUMBER($AQ$288),$B$258=1),$AQ$288,HLOOKUP(INDIRECT(ADDRESS(2,COLUMN())),OFFSET($BN$2,0,0,ROW()-1,60),ROW()-1,FALSE))</f>
        <v/>
      </c>
      <c r="AR34" t="str">
        <f ca="1">IF(AND(ISNUMBER($AR$288),$B$258=1),$AR$288,HLOOKUP(INDIRECT(ADDRESS(2,COLUMN())),OFFSET($BN$2,0,0,ROW()-1,60),ROW()-1,FALSE))</f>
        <v/>
      </c>
      <c r="AS34" t="str">
        <f ca="1">IF(AND(ISNUMBER($AS$288),$B$258=1),$AS$288,HLOOKUP(INDIRECT(ADDRESS(2,COLUMN())),OFFSET($BN$2,0,0,ROW()-1,60),ROW()-1,FALSE))</f>
        <v/>
      </c>
      <c r="AT34" t="str">
        <f ca="1">IF(AND(ISNUMBER($AT$288),$B$258=1),$AT$288,HLOOKUP(INDIRECT(ADDRESS(2,COLUMN())),OFFSET($BN$2,0,0,ROW()-1,60),ROW()-1,FALSE))</f>
        <v/>
      </c>
      <c r="AU34" t="str">
        <f ca="1">IF(AND(ISNUMBER($AU$288),$B$258=1),$AU$288,HLOOKUP(INDIRECT(ADDRESS(2,COLUMN())),OFFSET($BN$2,0,0,ROW()-1,60),ROW()-1,FALSE))</f>
        <v/>
      </c>
      <c r="AV34" t="str">
        <f ca="1">IF(AND(ISNUMBER($AV$288),$B$258=1),$AV$288,HLOOKUP(INDIRECT(ADDRESS(2,COLUMN())),OFFSET($BN$2,0,0,ROW()-1,60),ROW()-1,FALSE))</f>
        <v/>
      </c>
      <c r="AW34" t="str">
        <f ca="1">IF(AND(ISNUMBER($AW$288),$B$258=1),$AW$288,HLOOKUP(INDIRECT(ADDRESS(2,COLUMN())),OFFSET($BN$2,0,0,ROW()-1,60),ROW()-1,FALSE))</f>
        <v/>
      </c>
      <c r="AX34" t="str">
        <f ca="1">IF(AND(ISNUMBER($AX$288),$B$258=1),$AX$288,HLOOKUP(INDIRECT(ADDRESS(2,COLUMN())),OFFSET($BN$2,0,0,ROW()-1,60),ROW()-1,FALSE))</f>
        <v/>
      </c>
      <c r="AY34" t="str">
        <f ca="1">IF(AND(ISNUMBER($AY$288),$B$258=1),$AY$288,HLOOKUP(INDIRECT(ADDRESS(2,COLUMN())),OFFSET($BN$2,0,0,ROW()-1,60),ROW()-1,FALSE))</f>
        <v/>
      </c>
      <c r="AZ34" t="str">
        <f ca="1">IF(AND(ISNUMBER($AZ$288),$B$258=1),$AZ$288,HLOOKUP(INDIRECT(ADDRESS(2,COLUMN())),OFFSET($BN$2,0,0,ROW()-1,60),ROW()-1,FALSE))</f>
        <v/>
      </c>
      <c r="BA34" t="str">
        <f ca="1">IF(AND(ISNUMBER($BA$288),$B$258=1),$BA$288,HLOOKUP(INDIRECT(ADDRESS(2,COLUMN())),OFFSET($BN$2,0,0,ROW()-1,60),ROW()-1,FALSE))</f>
        <v/>
      </c>
      <c r="BB34" t="str">
        <f ca="1">IF(AND(ISNUMBER($BB$288),$B$258=1),$BB$288,HLOOKUP(INDIRECT(ADDRESS(2,COLUMN())),OFFSET($BN$2,0,0,ROW()-1,60),ROW()-1,FALSE))</f>
        <v/>
      </c>
      <c r="BC34" t="str">
        <f ca="1">IF(AND(ISNUMBER($BC$288),$B$258=1),$BC$288,HLOOKUP(INDIRECT(ADDRESS(2,COLUMN())),OFFSET($BN$2,0,0,ROW()-1,60),ROW()-1,FALSE))</f>
        <v/>
      </c>
      <c r="BD34" t="str">
        <f ca="1">IF(AND(ISNUMBER($BD$288),$B$258=1),$BD$288,HLOOKUP(INDIRECT(ADDRESS(2,COLUMN())),OFFSET($BN$2,0,0,ROW()-1,60),ROW()-1,FALSE))</f>
        <v/>
      </c>
      <c r="BE34" t="str">
        <f ca="1">IF(AND(ISNUMBER($BE$288),$B$258=1),$BE$288,HLOOKUP(INDIRECT(ADDRESS(2,COLUMN())),OFFSET($BN$2,0,0,ROW()-1,60),ROW()-1,FALSE))</f>
        <v/>
      </c>
      <c r="BF34" t="str">
        <f ca="1">IF(AND(ISNUMBER($BF$288),$B$258=1),$BF$288,HLOOKUP(INDIRECT(ADDRESS(2,COLUMN())),OFFSET($BN$2,0,0,ROW()-1,60),ROW()-1,FALSE))</f>
        <v/>
      </c>
      <c r="BG34" t="str">
        <f ca="1">IF(AND(ISNUMBER($BG$288),$B$258=1),$BG$288,HLOOKUP(INDIRECT(ADDRESS(2,COLUMN())),OFFSET($BN$2,0,0,ROW()-1,60),ROW()-1,FALSE))</f>
        <v/>
      </c>
      <c r="BH34" t="str">
        <f ca="1">IF(AND(ISNUMBER($BH$288),$B$258=1),$BH$288,HLOOKUP(INDIRECT(ADDRESS(2,COLUMN())),OFFSET($BN$2,0,0,ROW()-1,60),ROW()-1,FALSE))</f>
        <v/>
      </c>
      <c r="BI34" t="str">
        <f ca="1">IF(AND(ISNUMBER($BI$288),$B$258=1),$BI$288,HLOOKUP(INDIRECT(ADDRESS(2,COLUMN())),OFFSET($BN$2,0,0,ROW()-1,60),ROW()-1,FALSE))</f>
        <v/>
      </c>
      <c r="BJ34" t="str">
        <f ca="1">IF(AND(ISNUMBER($BJ$288),$B$258=1),$BJ$288,HLOOKUP(INDIRECT(ADDRESS(2,COLUMN())),OFFSET($BN$2,0,0,ROW()-1,60),ROW()-1,FALSE))</f>
        <v/>
      </c>
      <c r="BK34" t="str">
        <f ca="1">IF(AND(ISNUMBER($BK$288),$B$258=1),$BK$288,HLOOKUP(INDIRECT(ADDRESS(2,COLUMN())),OFFSET($BN$2,0,0,ROW()-1,60),ROW()-1,FALSE))</f>
        <v/>
      </c>
      <c r="BL34" t="str">
        <f ca="1">IF(AND(ISNUMBER($BL$288),$B$258=1),$BL$288,HLOOKUP(INDIRECT(ADDRESS(2,COLUMN())),OFFSET($BN$2,0,0,ROW()-1,60),ROW()-1,FALSE))</f>
        <v/>
      </c>
      <c r="BM34" t="str">
        <f ca="1">IF(AND(ISNUMBER($BM$288),$B$258=1),$BM$288,HLOOKUP(INDIRECT(ADDRESS(2,COLUMN())),OFFSET($BN$2,0,0,ROW()-1,60),ROW()-1,FALSE))</f>
        <v/>
      </c>
      <c r="BN34" t="str">
        <f>""</f>
        <v/>
      </c>
      <c r="BO34">
        <f>8.984</f>
        <v>8.984</v>
      </c>
      <c r="BP34">
        <f>8.041</f>
        <v>8.0410000000000004</v>
      </c>
      <c r="BQ34">
        <f>10.041</f>
        <v>10.041</v>
      </c>
      <c r="BR34">
        <f>7.605</f>
        <v>7.6050000000000004</v>
      </c>
      <c r="BS34">
        <f>8.033</f>
        <v>8.0329999999999995</v>
      </c>
      <c r="BT34">
        <f>7.194</f>
        <v>7.194</v>
      </c>
      <c r="BU34">
        <f>5.478</f>
        <v>5.4779999999999998</v>
      </c>
      <c r="BV34">
        <f>4.128</f>
        <v>4.1280000000000001</v>
      </c>
      <c r="BW34">
        <f>2.292</f>
        <v>2.2919999999999998</v>
      </c>
      <c r="BX34">
        <f>2.94</f>
        <v>2.94</v>
      </c>
      <c r="BY34">
        <f>2.017</f>
        <v>2.0169999999999999</v>
      </c>
      <c r="BZ34">
        <f>1.531</f>
        <v>1.5309999999999999</v>
      </c>
      <c r="CA34">
        <f>1.421</f>
        <v>1.421</v>
      </c>
      <c r="CB34">
        <f>2.035</f>
        <v>2.0350000000000001</v>
      </c>
      <c r="CC34">
        <f>1.489</f>
        <v>1.4890000000000001</v>
      </c>
      <c r="CD34">
        <f>1.673</f>
        <v>1.673</v>
      </c>
      <c r="CE34">
        <f>3.533</f>
        <v>3.5329999999999999</v>
      </c>
      <c r="CF34">
        <f>2.175</f>
        <v>2.1749999999999998</v>
      </c>
      <c r="CG34">
        <f>2.011</f>
        <v>2.0110000000000001</v>
      </c>
      <c r="CH34">
        <f>1.306</f>
        <v>1.306</v>
      </c>
      <c r="CI34">
        <f>1.764</f>
        <v>1.764</v>
      </c>
      <c r="CJ34">
        <f>1.261</f>
        <v>1.2609999999999999</v>
      </c>
      <c r="CK34">
        <f>1.193</f>
        <v>1.1930000000000001</v>
      </c>
      <c r="CL34">
        <f>1.204</f>
        <v>1.204</v>
      </c>
      <c r="CM34">
        <f>0.507</f>
        <v>0.50700000000000001</v>
      </c>
      <c r="CN34">
        <f>0.579</f>
        <v>0.57899999999999996</v>
      </c>
      <c r="CO34">
        <f>0.686</f>
        <v>0.68600000000000005</v>
      </c>
      <c r="CP34">
        <f>0.641</f>
        <v>0.64100000000000001</v>
      </c>
      <c r="CQ34">
        <f>0.688</f>
        <v>0.68799999999999994</v>
      </c>
      <c r="CR34">
        <f>0.849</f>
        <v>0.84899999999999998</v>
      </c>
      <c r="CS34">
        <f>4.766</f>
        <v>4.766</v>
      </c>
      <c r="CT34">
        <f>8.855</f>
        <v>8.8550000000000004</v>
      </c>
      <c r="CU34">
        <f>5.616</f>
        <v>5.6159999999999997</v>
      </c>
      <c r="CV34">
        <f>5.612</f>
        <v>5.6120000000000001</v>
      </c>
      <c r="CW34">
        <f>5.032</f>
        <v>5.032</v>
      </c>
      <c r="CX34">
        <f>5.109</f>
        <v>5.109</v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>
      <c r="A35" t="str">
        <f>"    Sabra Health Care REIT Inc"</f>
        <v xml:space="preserve">    Sabra Health Care REIT Inc</v>
      </c>
      <c r="B35" t="str">
        <f>"SBRA US Equity"</f>
        <v>SBRA US Equity</v>
      </c>
      <c r="C35" t="str">
        <f t="shared" si="6"/>
        <v>IM281</v>
      </c>
      <c r="D35" t="str">
        <f t="shared" si="7"/>
        <v>IS_NON_REAL_ESTATE_INCOME</v>
      </c>
      <c r="E35" t="str">
        <f t="shared" si="8"/>
        <v>动态</v>
      </c>
      <c r="F35" t="str">
        <f ca="1">IF(AND(ISNUMBER($F$289),$B$258=1),$F$289,HLOOKUP(INDIRECT(ADDRESS(2,COLUMN())),OFFSET($BN$2,0,0,ROW()-1,60),ROW()-1,FALSE))</f>
        <v/>
      </c>
      <c r="G35">
        <f ca="1">IF(AND(ISNUMBER($G$289),$B$258=1),$G$289,HLOOKUP(INDIRECT(ADDRESS(2,COLUMN())),OFFSET($BN$2,0,0,ROW()-1,60),ROW()-1,FALSE))</f>
        <v>6.9640000000000004</v>
      </c>
      <c r="H35">
        <f ca="1">IF(AND(ISNUMBER($H$289),$B$258=1),$H$289,HLOOKUP(INDIRECT(ADDRESS(2,COLUMN())),OFFSET($BN$2,0,0,ROW()-1,60),ROW()-1,FALSE))</f>
        <v>4.09</v>
      </c>
      <c r="I35">
        <f ca="1">IF(AND(ISNUMBER($I$289),$B$258=1),$I$289,HLOOKUP(INDIRECT(ADDRESS(2,COLUMN())),OFFSET($BN$2,0,0,ROW()-1,60),ROW()-1,FALSE))</f>
        <v>2.0270000000000001</v>
      </c>
      <c r="J35">
        <f ca="1">IF(AND(ISNUMBER($J$289),$B$258=1),$J$289,HLOOKUP(INDIRECT(ADDRESS(2,COLUMN())),OFFSET($BN$2,0,0,ROW()-1,60),ROW()-1,FALSE))</f>
        <v>1.9450000000000001</v>
      </c>
      <c r="K35">
        <f ca="1">IF(AND(ISNUMBER($K$289),$B$258=1),$K$289,HLOOKUP(INDIRECT(ADDRESS(2,COLUMN())),OFFSET($BN$2,0,0,ROW()-1,60),ROW()-1,FALSE))</f>
        <v>1.9810000000000001</v>
      </c>
      <c r="L35">
        <f ca="1">IF(AND(ISNUMBER($L$289),$B$258=1),$L$289,HLOOKUP(INDIRECT(ADDRESS(2,COLUMN())),OFFSET($BN$2,0,0,ROW()-1,60),ROW()-1,FALSE))</f>
        <v>3.157</v>
      </c>
      <c r="M35">
        <f ca="1">IF(AND(ISNUMBER($M$289),$B$258=1),$M$289,HLOOKUP(INDIRECT(ADDRESS(2,COLUMN())),OFFSET($BN$2,0,0,ROW()-1,60),ROW()-1,FALSE))</f>
        <v>16.992999999999999</v>
      </c>
      <c r="N35">
        <f ca="1">IF(AND(ISNUMBER($N$289),$B$258=1),$N$289,HLOOKUP(INDIRECT(ADDRESS(2,COLUMN())),OFFSET($BN$2,0,0,ROW()-1,60),ROW()-1,FALSE))</f>
        <v>5.3319999999999999</v>
      </c>
      <c r="O35">
        <f ca="1">IF(AND(ISNUMBER($O$289),$B$258=1),$O$289,HLOOKUP(INDIRECT(ADDRESS(2,COLUMN())),OFFSET($BN$2,0,0,ROW()-1,60),ROW()-1,FALSE))</f>
        <v>7.91</v>
      </c>
      <c r="P35">
        <f ca="1">IF(AND(ISNUMBER($P$289),$B$258=1),$P$289,HLOOKUP(INDIRECT(ADDRESS(2,COLUMN())),OFFSET($BN$2,0,0,ROW()-1,60),ROW()-1,FALSE))</f>
        <v>6.7610000000000001</v>
      </c>
      <c r="Q35">
        <f ca="1">IF(AND(ISNUMBER($Q$289),$B$258=1),$Q$289,HLOOKUP(INDIRECT(ADDRESS(2,COLUMN())),OFFSET($BN$2,0,0,ROW()-1,60),ROW()-1,FALSE))</f>
        <v>6.69</v>
      </c>
      <c r="R35">
        <f ca="1">IF(AND(ISNUMBER($R$289),$B$258=1),$R$289,HLOOKUP(INDIRECT(ADDRESS(2,COLUMN())),OFFSET($BN$2,0,0,ROW()-1,60),ROW()-1,FALSE))</f>
        <v>6.0670000000000002</v>
      </c>
      <c r="S35">
        <f ca="1">IF(AND(ISNUMBER($S$289),$B$258=1),$S$289,HLOOKUP(INDIRECT(ADDRESS(2,COLUMN())),OFFSET($BN$2,0,0,ROW()-1,60),ROW()-1,FALSE))</f>
        <v>5.9710000000000001</v>
      </c>
      <c r="T35">
        <f ca="1">IF(AND(ISNUMBER($T$289),$B$258=1),$T$289,HLOOKUP(INDIRECT(ADDRESS(2,COLUMN())),OFFSET($BN$2,0,0,ROW()-1,60),ROW()-1,FALSE))</f>
        <v>5.819</v>
      </c>
      <c r="U35">
        <f ca="1">IF(AND(ISNUMBER($U$289),$B$258=1),$U$289,HLOOKUP(INDIRECT(ADDRESS(2,COLUMN())),OFFSET($BN$2,0,0,ROW()-1,60),ROW()-1,FALSE))</f>
        <v>5.4880000000000004</v>
      </c>
      <c r="V35">
        <f ca="1">IF(AND(ISNUMBER($V$289),$B$258=1),$V$289,HLOOKUP(INDIRECT(ADDRESS(2,COLUMN())),OFFSET($BN$2,0,0,ROW()-1,60),ROW()-1,FALSE))</f>
        <v>4.7569999999999997</v>
      </c>
      <c r="W35">
        <f ca="1">IF(AND(ISNUMBER($W$289),$B$258=1),$W$289,HLOOKUP(INDIRECT(ADDRESS(2,COLUMN())),OFFSET($BN$2,0,0,ROW()-1,60),ROW()-1,FALSE))</f>
        <v>3.2610000000000001</v>
      </c>
      <c r="X35">
        <f ca="1">IF(AND(ISNUMBER($X$289),$B$258=1),$X$289,HLOOKUP(INDIRECT(ADDRESS(2,COLUMN())),OFFSET($BN$2,0,0,ROW()-1,60),ROW()-1,FALSE))</f>
        <v>1.2270000000000001</v>
      </c>
      <c r="Y35">
        <f ca="1">IF(AND(ISNUMBER($Y$289),$B$258=1),$Y$289,HLOOKUP(INDIRECT(ADDRESS(2,COLUMN())),OFFSET($BN$2,0,0,ROW()-1,60),ROW()-1,FALSE))</f>
        <v>0.75700000000000001</v>
      </c>
      <c r="Z35">
        <f ca="1">IF(AND(ISNUMBER($Z$289),$B$258=1),$Z$289,HLOOKUP(INDIRECT(ADDRESS(2,COLUMN())),OFFSET($BN$2,0,0,ROW()-1,60),ROW()-1,FALSE))</f>
        <v>0.54700000000000004</v>
      </c>
      <c r="AA35">
        <f ca="1">IF(AND(ISNUMBER($AA$289),$B$258=1),$AA$289,HLOOKUP(INDIRECT(ADDRESS(2,COLUMN())),OFFSET($BN$2,0,0,ROW()-1,60),ROW()-1,FALSE))</f>
        <v>0.45</v>
      </c>
      <c r="AB35">
        <f ca="1">IF(AND(ISNUMBER($AB$289),$B$258=1),$AB$289,HLOOKUP(INDIRECT(ADDRESS(2,COLUMN())),OFFSET($BN$2,0,0,ROW()-1,60),ROW()-1,FALSE))</f>
        <v>0.61799999999999999</v>
      </c>
      <c r="AC35">
        <f ca="1">IF(AND(ISNUMBER($AC$289),$B$258=1),$AC$289,HLOOKUP(INDIRECT(ADDRESS(2,COLUMN())),OFFSET($BN$2,0,0,ROW()-1,60),ROW()-1,FALSE))</f>
        <v>0.29699999999999999</v>
      </c>
      <c r="AD35">
        <f ca="1">IF(AND(ISNUMBER($AD$289),$B$258=1),$AD$289,HLOOKUP(INDIRECT(ADDRESS(2,COLUMN())),OFFSET($BN$2,0,0,ROW()-1,60),ROW()-1,FALSE))</f>
        <v>6.4000000000000001E-2</v>
      </c>
      <c r="AE35">
        <f ca="1">IF(AND(ISNUMBER($AE$289),$B$258=1),$AE$289,HLOOKUP(INDIRECT(ADDRESS(2,COLUMN())),OFFSET($BN$2,0,0,ROW()-1,60),ROW()-1,FALSE))</f>
        <v>3.1539999999999999</v>
      </c>
      <c r="AF35">
        <f ca="1">IF(AND(ISNUMBER($AF$289),$B$258=1),$AF$289,HLOOKUP(INDIRECT(ADDRESS(2,COLUMN())),OFFSET($BN$2,0,0,ROW()-1,60),ROW()-1,FALSE))</f>
        <v>0.17599999999999999</v>
      </c>
      <c r="AG35">
        <f ca="1">IF(AND(ISNUMBER($AG$289),$B$258=1),$AG$289,HLOOKUP(INDIRECT(ADDRESS(2,COLUMN())),OFFSET($BN$2,0,0,ROW()-1,60),ROW()-1,FALSE))</f>
        <v>0.17699999999999999</v>
      </c>
      <c r="AH35">
        <f ca="1">IF(AND(ISNUMBER($AH$289),$B$258=1),$AH$289,HLOOKUP(INDIRECT(ADDRESS(2,COLUMN())),OFFSET($BN$2,0,0,ROW()-1,60),ROW()-1,FALSE))</f>
        <v>0.04</v>
      </c>
      <c r="AI35" t="str">
        <f ca="1">IF(AND(ISNUMBER($AI$289),$B$258=1),$AI$289,HLOOKUP(INDIRECT(ADDRESS(2,COLUMN())),OFFSET($BN$2,0,0,ROW()-1,60),ROW()-1,FALSE))</f>
        <v/>
      </c>
      <c r="AJ35" t="str">
        <f ca="1">IF(AND(ISNUMBER($AJ$289),$B$258=1),$AJ$289,HLOOKUP(INDIRECT(ADDRESS(2,COLUMN())),OFFSET($BN$2,0,0,ROW()-1,60),ROW()-1,FALSE))</f>
        <v/>
      </c>
      <c r="AK35" t="str">
        <f ca="1">IF(AND(ISNUMBER($AK$289),$B$258=1),$AK$289,HLOOKUP(INDIRECT(ADDRESS(2,COLUMN())),OFFSET($BN$2,0,0,ROW()-1,60),ROW()-1,FALSE))</f>
        <v/>
      </c>
      <c r="AL35" t="str">
        <f ca="1">IF(AND(ISNUMBER($AL$289),$B$258=1),$AL$289,HLOOKUP(INDIRECT(ADDRESS(2,COLUMN())),OFFSET($BN$2,0,0,ROW()-1,60),ROW()-1,FALSE))</f>
        <v/>
      </c>
      <c r="AM35" t="str">
        <f ca="1">IF(AND(ISNUMBER($AM$289),$B$258=1),$AM$289,HLOOKUP(INDIRECT(ADDRESS(2,COLUMN())),OFFSET($BN$2,0,0,ROW()-1,60),ROW()-1,FALSE))</f>
        <v/>
      </c>
      <c r="AN35" t="str">
        <f ca="1">IF(AND(ISNUMBER($AN$289),$B$258=1),$AN$289,HLOOKUP(INDIRECT(ADDRESS(2,COLUMN())),OFFSET($BN$2,0,0,ROW()-1,60),ROW()-1,FALSE))</f>
        <v/>
      </c>
      <c r="AO35" t="str">
        <f ca="1">IF(AND(ISNUMBER($AO$289),$B$258=1),$AO$289,HLOOKUP(INDIRECT(ADDRESS(2,COLUMN())),OFFSET($BN$2,0,0,ROW()-1,60),ROW()-1,FALSE))</f>
        <v/>
      </c>
      <c r="AP35" t="str">
        <f ca="1">IF(AND(ISNUMBER($AP$289),$B$258=1),$AP$289,HLOOKUP(INDIRECT(ADDRESS(2,COLUMN())),OFFSET($BN$2,0,0,ROW()-1,60),ROW()-1,FALSE))</f>
        <v/>
      </c>
      <c r="AQ35" t="str">
        <f ca="1">IF(AND(ISNUMBER($AQ$289),$B$258=1),$AQ$289,HLOOKUP(INDIRECT(ADDRESS(2,COLUMN())),OFFSET($BN$2,0,0,ROW()-1,60),ROW()-1,FALSE))</f>
        <v/>
      </c>
      <c r="AR35" t="str">
        <f ca="1">IF(AND(ISNUMBER($AR$289),$B$258=1),$AR$289,HLOOKUP(INDIRECT(ADDRESS(2,COLUMN())),OFFSET($BN$2,0,0,ROW()-1,60),ROW()-1,FALSE))</f>
        <v/>
      </c>
      <c r="AS35" t="str">
        <f ca="1">IF(AND(ISNUMBER($AS$289),$B$258=1),$AS$289,HLOOKUP(INDIRECT(ADDRESS(2,COLUMN())),OFFSET($BN$2,0,0,ROW()-1,60),ROW()-1,FALSE))</f>
        <v/>
      </c>
      <c r="AT35" t="str">
        <f ca="1">IF(AND(ISNUMBER($AT$289),$B$258=1),$AT$289,HLOOKUP(INDIRECT(ADDRESS(2,COLUMN())),OFFSET($BN$2,0,0,ROW()-1,60),ROW()-1,FALSE))</f>
        <v/>
      </c>
      <c r="AU35" t="str">
        <f ca="1">IF(AND(ISNUMBER($AU$289),$B$258=1),$AU$289,HLOOKUP(INDIRECT(ADDRESS(2,COLUMN())),OFFSET($BN$2,0,0,ROW()-1,60),ROW()-1,FALSE))</f>
        <v/>
      </c>
      <c r="AV35" t="str">
        <f ca="1">IF(AND(ISNUMBER($AV$289),$B$258=1),$AV$289,HLOOKUP(INDIRECT(ADDRESS(2,COLUMN())),OFFSET($BN$2,0,0,ROW()-1,60),ROW()-1,FALSE))</f>
        <v/>
      </c>
      <c r="AW35" t="str">
        <f ca="1">IF(AND(ISNUMBER($AW$289),$B$258=1),$AW$289,HLOOKUP(INDIRECT(ADDRESS(2,COLUMN())),OFFSET($BN$2,0,0,ROW()-1,60),ROW()-1,FALSE))</f>
        <v/>
      </c>
      <c r="AX35" t="str">
        <f ca="1">IF(AND(ISNUMBER($AX$289),$B$258=1),$AX$289,HLOOKUP(INDIRECT(ADDRESS(2,COLUMN())),OFFSET($BN$2,0,0,ROW()-1,60),ROW()-1,FALSE))</f>
        <v/>
      </c>
      <c r="AY35" t="str">
        <f ca="1">IF(AND(ISNUMBER($AY$289),$B$258=1),$AY$289,HLOOKUP(INDIRECT(ADDRESS(2,COLUMN())),OFFSET($BN$2,0,0,ROW()-1,60),ROW()-1,FALSE))</f>
        <v/>
      </c>
      <c r="AZ35" t="str">
        <f ca="1">IF(AND(ISNUMBER($AZ$289),$B$258=1),$AZ$289,HLOOKUP(INDIRECT(ADDRESS(2,COLUMN())),OFFSET($BN$2,0,0,ROW()-1,60),ROW()-1,FALSE))</f>
        <v/>
      </c>
      <c r="BA35" t="str">
        <f ca="1">IF(AND(ISNUMBER($BA$289),$B$258=1),$BA$289,HLOOKUP(INDIRECT(ADDRESS(2,COLUMN())),OFFSET($BN$2,0,0,ROW()-1,60),ROW()-1,FALSE))</f>
        <v/>
      </c>
      <c r="BB35" t="str">
        <f ca="1">IF(AND(ISNUMBER($BB$289),$B$258=1),$BB$289,HLOOKUP(INDIRECT(ADDRESS(2,COLUMN())),OFFSET($BN$2,0,0,ROW()-1,60),ROW()-1,FALSE))</f>
        <v/>
      </c>
      <c r="BC35" t="str">
        <f ca="1">IF(AND(ISNUMBER($BC$289),$B$258=1),$BC$289,HLOOKUP(INDIRECT(ADDRESS(2,COLUMN())),OFFSET($BN$2,0,0,ROW()-1,60),ROW()-1,FALSE))</f>
        <v/>
      </c>
      <c r="BD35" t="str">
        <f ca="1">IF(AND(ISNUMBER($BD$289),$B$258=1),$BD$289,HLOOKUP(INDIRECT(ADDRESS(2,COLUMN())),OFFSET($BN$2,0,0,ROW()-1,60),ROW()-1,FALSE))</f>
        <v/>
      </c>
      <c r="BE35" t="str">
        <f ca="1">IF(AND(ISNUMBER($BE$289),$B$258=1),$BE$289,HLOOKUP(INDIRECT(ADDRESS(2,COLUMN())),OFFSET($BN$2,0,0,ROW()-1,60),ROW()-1,FALSE))</f>
        <v/>
      </c>
      <c r="BF35" t="str">
        <f ca="1">IF(AND(ISNUMBER($BF$289),$B$258=1),$BF$289,HLOOKUP(INDIRECT(ADDRESS(2,COLUMN())),OFFSET($BN$2,0,0,ROW()-1,60),ROW()-1,FALSE))</f>
        <v/>
      </c>
      <c r="BG35" t="str">
        <f ca="1">IF(AND(ISNUMBER($BG$289),$B$258=1),$BG$289,HLOOKUP(INDIRECT(ADDRESS(2,COLUMN())),OFFSET($BN$2,0,0,ROW()-1,60),ROW()-1,FALSE))</f>
        <v/>
      </c>
      <c r="BH35" t="str">
        <f ca="1">IF(AND(ISNUMBER($BH$289),$B$258=1),$BH$289,HLOOKUP(INDIRECT(ADDRESS(2,COLUMN())),OFFSET($BN$2,0,0,ROW()-1,60),ROW()-1,FALSE))</f>
        <v/>
      </c>
      <c r="BI35" t="str">
        <f ca="1">IF(AND(ISNUMBER($BI$289),$B$258=1),$BI$289,HLOOKUP(INDIRECT(ADDRESS(2,COLUMN())),OFFSET($BN$2,0,0,ROW()-1,60),ROW()-1,FALSE))</f>
        <v/>
      </c>
      <c r="BJ35" t="str">
        <f ca="1">IF(AND(ISNUMBER($BJ$289),$B$258=1),$BJ$289,HLOOKUP(INDIRECT(ADDRESS(2,COLUMN())),OFFSET($BN$2,0,0,ROW()-1,60),ROW()-1,FALSE))</f>
        <v/>
      </c>
      <c r="BK35" t="str">
        <f ca="1">IF(AND(ISNUMBER($BK$289),$B$258=1),$BK$289,HLOOKUP(INDIRECT(ADDRESS(2,COLUMN())),OFFSET($BN$2,0,0,ROW()-1,60),ROW()-1,FALSE))</f>
        <v/>
      </c>
      <c r="BL35" t="str">
        <f ca="1">IF(AND(ISNUMBER($BL$289),$B$258=1),$BL$289,HLOOKUP(INDIRECT(ADDRESS(2,COLUMN())),OFFSET($BN$2,0,0,ROW()-1,60),ROW()-1,FALSE))</f>
        <v/>
      </c>
      <c r="BM35" t="str">
        <f ca="1">IF(AND(ISNUMBER($BM$289),$B$258=1),$BM$289,HLOOKUP(INDIRECT(ADDRESS(2,COLUMN())),OFFSET($BN$2,0,0,ROW()-1,60),ROW()-1,FALSE))</f>
        <v/>
      </c>
      <c r="BN35" t="str">
        <f>""</f>
        <v/>
      </c>
      <c r="BO35">
        <f>6.964</f>
        <v>6.9640000000000004</v>
      </c>
      <c r="BP35">
        <f>4.09</f>
        <v>4.09</v>
      </c>
      <c r="BQ35">
        <f>2.027</f>
        <v>2.0270000000000001</v>
      </c>
      <c r="BR35">
        <f>1.945</f>
        <v>1.9450000000000001</v>
      </c>
      <c r="BS35">
        <f>1.981</f>
        <v>1.9810000000000001</v>
      </c>
      <c r="BT35">
        <f>3.157</f>
        <v>3.157</v>
      </c>
      <c r="BU35">
        <f>16.993</f>
        <v>16.992999999999999</v>
      </c>
      <c r="BV35">
        <f>5.332</f>
        <v>5.3319999999999999</v>
      </c>
      <c r="BW35">
        <f>7.91</f>
        <v>7.91</v>
      </c>
      <c r="BX35">
        <f>6.761</f>
        <v>6.7610000000000001</v>
      </c>
      <c r="BY35">
        <f>6.69</f>
        <v>6.69</v>
      </c>
      <c r="BZ35">
        <f>6.067</f>
        <v>6.0670000000000002</v>
      </c>
      <c r="CA35">
        <f>5.971</f>
        <v>5.9710000000000001</v>
      </c>
      <c r="CB35">
        <f>5.819</f>
        <v>5.819</v>
      </c>
      <c r="CC35">
        <f>5.488</f>
        <v>5.4880000000000004</v>
      </c>
      <c r="CD35">
        <f>4.757</f>
        <v>4.7569999999999997</v>
      </c>
      <c r="CE35">
        <f>3.261</f>
        <v>3.2610000000000001</v>
      </c>
      <c r="CF35">
        <f>1.227</f>
        <v>1.2270000000000001</v>
      </c>
      <c r="CG35">
        <f>0.757</f>
        <v>0.75700000000000001</v>
      </c>
      <c r="CH35">
        <f>0.547</f>
        <v>0.54700000000000004</v>
      </c>
      <c r="CI35">
        <f>0.45</f>
        <v>0.45</v>
      </c>
      <c r="CJ35">
        <f>0.618</f>
        <v>0.61799999999999999</v>
      </c>
      <c r="CK35">
        <f>0.297</f>
        <v>0.29699999999999999</v>
      </c>
      <c r="CL35">
        <f>0.064</f>
        <v>6.4000000000000001E-2</v>
      </c>
      <c r="CM35">
        <f>3.154</f>
        <v>3.1539999999999999</v>
      </c>
      <c r="CN35">
        <f>0.176</f>
        <v>0.17599999999999999</v>
      </c>
      <c r="CO35">
        <f>0.177</f>
        <v>0.17699999999999999</v>
      </c>
      <c r="CP35">
        <f>0.04</f>
        <v>0.04</v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"    Senior Housing Properties Trus"</f>
        <v xml:space="preserve">    Senior Housing Properties Trus</v>
      </c>
      <c r="B36" t="str">
        <f>"SNH US Equity"</f>
        <v>SNH US Equity</v>
      </c>
      <c r="C36" t="str">
        <f t="shared" si="6"/>
        <v>IM281</v>
      </c>
      <c r="D36" t="str">
        <f t="shared" si="7"/>
        <v>IS_NON_REAL_ESTATE_INCOME</v>
      </c>
      <c r="E36" t="str">
        <f t="shared" si="8"/>
        <v>动态</v>
      </c>
      <c r="F36" t="str">
        <f ca="1">IF(AND(ISNUMBER($F$290),$B$258=1),$F$290,HLOOKUP(INDIRECT(ADDRESS(2,COLUMN())),OFFSET($BN$2,0,0,ROW()-1,60),ROW()-1,FALSE))</f>
        <v/>
      </c>
      <c r="G36">
        <f ca="1">IF(AND(ISNUMBER($G$290),$B$258=1),$G$290,HLOOKUP(INDIRECT(ADDRESS(2,COLUMN())),OFFSET($BN$2,0,0,ROW()-1,60),ROW()-1,FALSE))</f>
        <v>98.980999999999995</v>
      </c>
      <c r="H36">
        <f ca="1">IF(AND(ISNUMBER($H$290),$B$258=1),$H$290,HLOOKUP(INDIRECT(ADDRESS(2,COLUMN())),OFFSET($BN$2,0,0,ROW()-1,60),ROW()-1,FALSE))</f>
        <v>98.331000000000003</v>
      </c>
      <c r="I36">
        <f ca="1">IF(AND(ISNUMBER($I$290),$B$258=1),$I$290,HLOOKUP(INDIRECT(ADDRESS(2,COLUMN())),OFFSET($BN$2,0,0,ROW()-1,60),ROW()-1,FALSE))</f>
        <v>98.366</v>
      </c>
      <c r="J36">
        <f ca="1">IF(AND(ISNUMBER($J$290),$B$258=1),$J$290,HLOOKUP(INDIRECT(ADDRESS(2,COLUMN())),OFFSET($BN$2,0,0,ROW()-1,60),ROW()-1,FALSE))</f>
        <v>98.117999999999995</v>
      </c>
      <c r="K36">
        <f ca="1">IF(AND(ISNUMBER($K$290),$B$258=1),$K$290,HLOOKUP(INDIRECT(ADDRESS(2,COLUMN())),OFFSET($BN$2,0,0,ROW()-1,60),ROW()-1,FALSE))</f>
        <v>99.019000000000005</v>
      </c>
      <c r="L36">
        <f ca="1">IF(AND(ISNUMBER($L$290),$B$258=1),$L$290,HLOOKUP(INDIRECT(ADDRESS(2,COLUMN())),OFFSET($BN$2,0,0,ROW()-1,60),ROW()-1,FALSE))</f>
        <v>98.48</v>
      </c>
      <c r="M36">
        <f ca="1">IF(AND(ISNUMBER($M$290),$B$258=1),$M$290,HLOOKUP(INDIRECT(ADDRESS(2,COLUMN())),OFFSET($BN$2,0,0,ROW()-1,60),ROW()-1,FALSE))</f>
        <v>97.37</v>
      </c>
      <c r="N36">
        <f ca="1">IF(AND(ISNUMBER($N$290),$B$258=1),$N$290,HLOOKUP(INDIRECT(ADDRESS(2,COLUMN())),OFFSET($BN$2,0,0,ROW()-1,60),ROW()-1,FALSE))</f>
        <v>96.953999999999994</v>
      </c>
      <c r="O36">
        <f ca="1">IF(AND(ISNUMBER($O$290),$B$258=1),$O$290,HLOOKUP(INDIRECT(ADDRESS(2,COLUMN())),OFFSET($BN$2,0,0,ROW()-1,60),ROW()-1,FALSE))</f>
        <v>96.813000000000002</v>
      </c>
      <c r="P36">
        <f ca="1">IF(AND(ISNUMBER($P$290),$B$258=1),$P$290,HLOOKUP(INDIRECT(ADDRESS(2,COLUMN())),OFFSET($BN$2,0,0,ROW()-1,60),ROW()-1,FALSE))</f>
        <v>96.412000000000006</v>
      </c>
      <c r="Q36">
        <f ca="1">IF(AND(ISNUMBER($Q$290),$B$258=1),$Q$290,HLOOKUP(INDIRECT(ADDRESS(2,COLUMN())),OFFSET($BN$2,0,0,ROW()-1,60),ROW()-1,FALSE))</f>
        <v>91.855999999999995</v>
      </c>
      <c r="R36">
        <f ca="1">IF(AND(ISNUMBER($R$290),$B$258=1),$R$290,HLOOKUP(INDIRECT(ADDRESS(2,COLUMN())),OFFSET($BN$2,0,0,ROW()-1,60),ROW()-1,FALSE))</f>
        <v>82.793000000000006</v>
      </c>
      <c r="S36">
        <f ca="1">IF(AND(ISNUMBER($S$290),$B$258=1),$S$290,HLOOKUP(INDIRECT(ADDRESS(2,COLUMN())),OFFSET($BN$2,0,0,ROW()-1,60),ROW()-1,FALSE))</f>
        <v>80.444999999999993</v>
      </c>
      <c r="T36">
        <f ca="1">IF(AND(ISNUMBER($T$290),$B$258=1),$T$290,HLOOKUP(INDIRECT(ADDRESS(2,COLUMN())),OFFSET($BN$2,0,0,ROW()-1,60),ROW()-1,FALSE))</f>
        <v>79.259</v>
      </c>
      <c r="U36">
        <f ca="1">IF(AND(ISNUMBER($U$290),$B$258=1),$U$290,HLOOKUP(INDIRECT(ADDRESS(2,COLUMN())),OFFSET($BN$2,0,0,ROW()-1,60),ROW()-1,FALSE))</f>
        <v>79.039000000000001</v>
      </c>
      <c r="V36">
        <f ca="1">IF(AND(ISNUMBER($V$290),$B$258=1),$V$290,HLOOKUP(INDIRECT(ADDRESS(2,COLUMN())),OFFSET($BN$2,0,0,ROW()-1,60),ROW()-1,FALSE))</f>
        <v>79.441999999999993</v>
      </c>
      <c r="W36">
        <f ca="1">IF(AND(ISNUMBER($W$290),$B$258=1),$W$290,HLOOKUP(INDIRECT(ADDRESS(2,COLUMN())),OFFSET($BN$2,0,0,ROW()-1,60),ROW()-1,FALSE))</f>
        <v>77.424000000000007</v>
      </c>
      <c r="X36">
        <f ca="1">IF(AND(ISNUMBER($X$290),$B$258=1),$X$290,HLOOKUP(INDIRECT(ADDRESS(2,COLUMN())),OFFSET($BN$2,0,0,ROW()-1,60),ROW()-1,FALSE))</f>
        <v>74.945999999999998</v>
      </c>
      <c r="Y36">
        <f ca="1">IF(AND(ISNUMBER($Y$290),$B$258=1),$Y$290,HLOOKUP(INDIRECT(ADDRESS(2,COLUMN())),OFFSET($BN$2,0,0,ROW()-1,60),ROW()-1,FALSE))</f>
        <v>74.631</v>
      </c>
      <c r="Z36">
        <f ca="1">IF(AND(ISNUMBER($Z$290),$B$258=1),$Z$290,HLOOKUP(INDIRECT(ADDRESS(2,COLUMN())),OFFSET($BN$2,0,0,ROW()-1,60),ROW()-1,FALSE))</f>
        <v>75.055999999999997</v>
      </c>
      <c r="AA36">
        <f ca="1">IF(AND(ISNUMBER($AA$290),$B$258=1),$AA$290,HLOOKUP(INDIRECT(ADDRESS(2,COLUMN())),OFFSET($BN$2,0,0,ROW()-1,60),ROW()-1,FALSE))</f>
        <v>70.125</v>
      </c>
      <c r="AB36">
        <f ca="1">IF(AND(ISNUMBER($AB$290),$B$258=1),$AB$290,HLOOKUP(INDIRECT(ADDRESS(2,COLUMN())),OFFSET($BN$2,0,0,ROW()-1,60),ROW()-1,FALSE))</f>
        <v>42.351999999999997</v>
      </c>
      <c r="AC36">
        <f ca="1">IF(AND(ISNUMBER($AC$290),$B$258=1),$AC$290,HLOOKUP(INDIRECT(ADDRESS(2,COLUMN())),OFFSET($BN$2,0,0,ROW()-1,60),ROW()-1,FALSE))</f>
        <v>35.985999999999997</v>
      </c>
      <c r="AD36">
        <f ca="1">IF(AND(ISNUMBER($AD$290),$B$258=1),$AD$290,HLOOKUP(INDIRECT(ADDRESS(2,COLUMN())),OFFSET($BN$2,0,0,ROW()-1,60),ROW()-1,FALSE))</f>
        <v>35.567999999999998</v>
      </c>
      <c r="AE36">
        <f ca="1">IF(AND(ISNUMBER($AE$290),$B$258=1),$AE$290,HLOOKUP(INDIRECT(ADDRESS(2,COLUMN())),OFFSET($BN$2,0,0,ROW()-1,60),ROW()-1,FALSE))</f>
        <v>16.276</v>
      </c>
      <c r="AF36">
        <f ca="1">IF(AND(ISNUMBER($AF$290),$B$258=1),$AF$290,HLOOKUP(INDIRECT(ADDRESS(2,COLUMN())),OFFSET($BN$2,0,0,ROW()-1,60),ROW()-1,FALSE))</f>
        <v>0</v>
      </c>
      <c r="AG36">
        <f ca="1">IF(AND(ISNUMBER($AG$290),$B$258=1),$AG$290,HLOOKUP(INDIRECT(ADDRESS(2,COLUMN())),OFFSET($BN$2,0,0,ROW()-1,60),ROW()-1,FALSE))</f>
        <v>0.84399999999999997</v>
      </c>
      <c r="AH36">
        <f ca="1">IF(AND(ISNUMBER($AH$290),$B$258=1),$AH$290,HLOOKUP(INDIRECT(ADDRESS(2,COLUMN())),OFFSET($BN$2,0,0,ROW()-1,60),ROW()-1,FALSE))</f>
        <v>0</v>
      </c>
      <c r="AI36">
        <f ca="1">IF(AND(ISNUMBER($AI$290),$B$258=1),$AI$290,HLOOKUP(INDIRECT(ADDRESS(2,COLUMN())),OFFSET($BN$2,0,0,ROW()-1,60),ROW()-1,FALSE))</f>
        <v>0</v>
      </c>
      <c r="AJ36">
        <f ca="1">IF(AND(ISNUMBER($AJ$290),$B$258=1),$AJ$290,HLOOKUP(INDIRECT(ADDRESS(2,COLUMN())),OFFSET($BN$2,0,0,ROW()-1,60),ROW()-1,FALSE))</f>
        <v>0</v>
      </c>
      <c r="AK36">
        <f ca="1">IF(AND(ISNUMBER($AK$290),$B$258=1),$AK$290,HLOOKUP(INDIRECT(ADDRESS(2,COLUMN())),OFFSET($BN$2,0,0,ROW()-1,60),ROW()-1,FALSE))</f>
        <v>0</v>
      </c>
      <c r="AL36">
        <f ca="1">IF(AND(ISNUMBER($AL$290),$B$258=1),$AL$290,HLOOKUP(INDIRECT(ADDRESS(2,COLUMN())),OFFSET($BN$2,0,0,ROW()-1,60),ROW()-1,FALSE))</f>
        <v>0</v>
      </c>
      <c r="AM36">
        <f ca="1">IF(AND(ISNUMBER($AM$290),$B$258=1),$AM$290,HLOOKUP(INDIRECT(ADDRESS(2,COLUMN())),OFFSET($BN$2,0,0,ROW()-1,60),ROW()-1,FALSE))</f>
        <v>0</v>
      </c>
      <c r="AN36">
        <f ca="1">IF(AND(ISNUMBER($AN$290),$B$258=1),$AN$290,HLOOKUP(INDIRECT(ADDRESS(2,COLUMN())),OFFSET($BN$2,0,0,ROW()-1,60),ROW()-1,FALSE))</f>
        <v>0</v>
      </c>
      <c r="AO36">
        <f ca="1">IF(AND(ISNUMBER($AO$290),$B$258=1),$AO$290,HLOOKUP(INDIRECT(ADDRESS(2,COLUMN())),OFFSET($BN$2,0,0,ROW()-1,60),ROW()-1,FALSE))</f>
        <v>0</v>
      </c>
      <c r="AP36">
        <f ca="1">IF(AND(ISNUMBER($AP$290),$B$258=1),$AP$290,HLOOKUP(INDIRECT(ADDRESS(2,COLUMN())),OFFSET($BN$2,0,0,ROW()-1,60),ROW()-1,FALSE))</f>
        <v>0</v>
      </c>
      <c r="AQ36" t="str">
        <f ca="1">IF(AND(ISNUMBER($AQ$290),$B$258=1),$AQ$290,HLOOKUP(INDIRECT(ADDRESS(2,COLUMN())),OFFSET($BN$2,0,0,ROW()-1,60),ROW()-1,FALSE))</f>
        <v/>
      </c>
      <c r="AR36" t="str">
        <f ca="1">IF(AND(ISNUMBER($AR$290),$B$258=1),$AR$290,HLOOKUP(INDIRECT(ADDRESS(2,COLUMN())),OFFSET($BN$2,0,0,ROW()-1,60),ROW()-1,FALSE))</f>
        <v/>
      </c>
      <c r="AS36" t="str">
        <f ca="1">IF(AND(ISNUMBER($AS$290),$B$258=1),$AS$290,HLOOKUP(INDIRECT(ADDRESS(2,COLUMN())),OFFSET($BN$2,0,0,ROW()-1,60),ROW()-1,FALSE))</f>
        <v/>
      </c>
      <c r="AT36" t="str">
        <f ca="1">IF(AND(ISNUMBER($AT$290),$B$258=1),$AT$290,HLOOKUP(INDIRECT(ADDRESS(2,COLUMN())),OFFSET($BN$2,0,0,ROW()-1,60),ROW()-1,FALSE))</f>
        <v/>
      </c>
      <c r="AU36" t="str">
        <f ca="1">IF(AND(ISNUMBER($AU$290),$B$258=1),$AU$290,HLOOKUP(INDIRECT(ADDRESS(2,COLUMN())),OFFSET($BN$2,0,0,ROW()-1,60),ROW()-1,FALSE))</f>
        <v/>
      </c>
      <c r="AV36" t="str">
        <f ca="1">IF(AND(ISNUMBER($AV$290),$B$258=1),$AV$290,HLOOKUP(INDIRECT(ADDRESS(2,COLUMN())),OFFSET($BN$2,0,0,ROW()-1,60),ROW()-1,FALSE))</f>
        <v/>
      </c>
      <c r="AW36" t="str">
        <f ca="1">IF(AND(ISNUMBER($AW$290),$B$258=1),$AW$290,HLOOKUP(INDIRECT(ADDRESS(2,COLUMN())),OFFSET($BN$2,0,0,ROW()-1,60),ROW()-1,FALSE))</f>
        <v/>
      </c>
      <c r="AX36" t="str">
        <f ca="1">IF(AND(ISNUMBER($AX$290),$B$258=1),$AX$290,HLOOKUP(INDIRECT(ADDRESS(2,COLUMN())),OFFSET($BN$2,0,0,ROW()-1,60),ROW()-1,FALSE))</f>
        <v/>
      </c>
      <c r="AY36" t="str">
        <f ca="1">IF(AND(ISNUMBER($AY$290),$B$258=1),$AY$290,HLOOKUP(INDIRECT(ADDRESS(2,COLUMN())),OFFSET($BN$2,0,0,ROW()-1,60),ROW()-1,FALSE))</f>
        <v/>
      </c>
      <c r="AZ36" t="str">
        <f ca="1">IF(AND(ISNUMBER($AZ$290),$B$258=1),$AZ$290,HLOOKUP(INDIRECT(ADDRESS(2,COLUMN())),OFFSET($BN$2,0,0,ROW()-1,60),ROW()-1,FALSE))</f>
        <v/>
      </c>
      <c r="BA36" t="str">
        <f ca="1">IF(AND(ISNUMBER($BA$290),$B$258=1),$BA$290,HLOOKUP(INDIRECT(ADDRESS(2,COLUMN())),OFFSET($BN$2,0,0,ROW()-1,60),ROW()-1,FALSE))</f>
        <v/>
      </c>
      <c r="BB36" t="str">
        <f ca="1">IF(AND(ISNUMBER($BB$290),$B$258=1),$BB$290,HLOOKUP(INDIRECT(ADDRESS(2,COLUMN())),OFFSET($BN$2,0,0,ROW()-1,60),ROW()-1,FALSE))</f>
        <v/>
      </c>
      <c r="BC36" t="str">
        <f ca="1">IF(AND(ISNUMBER($BC$290),$B$258=1),$BC$290,HLOOKUP(INDIRECT(ADDRESS(2,COLUMN())),OFFSET($BN$2,0,0,ROW()-1,60),ROW()-1,FALSE))</f>
        <v/>
      </c>
      <c r="BD36" t="str">
        <f ca="1">IF(AND(ISNUMBER($BD$290),$B$258=1),$BD$290,HLOOKUP(INDIRECT(ADDRESS(2,COLUMN())),OFFSET($BN$2,0,0,ROW()-1,60),ROW()-1,FALSE))</f>
        <v/>
      </c>
      <c r="BE36" t="str">
        <f ca="1">IF(AND(ISNUMBER($BE$290),$B$258=1),$BE$290,HLOOKUP(INDIRECT(ADDRESS(2,COLUMN())),OFFSET($BN$2,0,0,ROW()-1,60),ROW()-1,FALSE))</f>
        <v/>
      </c>
      <c r="BF36" t="str">
        <f ca="1">IF(AND(ISNUMBER($BF$290),$B$258=1),$BF$290,HLOOKUP(INDIRECT(ADDRESS(2,COLUMN())),OFFSET($BN$2,0,0,ROW()-1,60),ROW()-1,FALSE))</f>
        <v/>
      </c>
      <c r="BG36" t="str">
        <f ca="1">IF(AND(ISNUMBER($BG$290),$B$258=1),$BG$290,HLOOKUP(INDIRECT(ADDRESS(2,COLUMN())),OFFSET($BN$2,0,0,ROW()-1,60),ROW()-1,FALSE))</f>
        <v/>
      </c>
      <c r="BH36" t="str">
        <f ca="1">IF(AND(ISNUMBER($BH$290),$B$258=1),$BH$290,HLOOKUP(INDIRECT(ADDRESS(2,COLUMN())),OFFSET($BN$2,0,0,ROW()-1,60),ROW()-1,FALSE))</f>
        <v/>
      </c>
      <c r="BI36" t="str">
        <f ca="1">IF(AND(ISNUMBER($BI$290),$B$258=1),$BI$290,HLOOKUP(INDIRECT(ADDRESS(2,COLUMN())),OFFSET($BN$2,0,0,ROW()-1,60),ROW()-1,FALSE))</f>
        <v/>
      </c>
      <c r="BJ36" t="str">
        <f ca="1">IF(AND(ISNUMBER($BJ$290),$B$258=1),$BJ$290,HLOOKUP(INDIRECT(ADDRESS(2,COLUMN())),OFFSET($BN$2,0,0,ROW()-1,60),ROW()-1,FALSE))</f>
        <v/>
      </c>
      <c r="BK36" t="str">
        <f ca="1">IF(AND(ISNUMBER($BK$290),$B$258=1),$BK$290,HLOOKUP(INDIRECT(ADDRESS(2,COLUMN())),OFFSET($BN$2,0,0,ROW()-1,60),ROW()-1,FALSE))</f>
        <v/>
      </c>
      <c r="BL36" t="str">
        <f ca="1">IF(AND(ISNUMBER($BL$290),$B$258=1),$BL$290,HLOOKUP(INDIRECT(ADDRESS(2,COLUMN())),OFFSET($BN$2,0,0,ROW()-1,60),ROW()-1,FALSE))</f>
        <v/>
      </c>
      <c r="BM36" t="str">
        <f ca="1">IF(AND(ISNUMBER($BM$290),$B$258=1),$BM$290,HLOOKUP(INDIRECT(ADDRESS(2,COLUMN())),OFFSET($BN$2,0,0,ROW()-1,60),ROW()-1,FALSE))</f>
        <v/>
      </c>
      <c r="BN36" t="str">
        <f>""</f>
        <v/>
      </c>
      <c r="BO36">
        <f>98.981</f>
        <v>98.980999999999995</v>
      </c>
      <c r="BP36">
        <f>98.331</f>
        <v>98.331000000000003</v>
      </c>
      <c r="BQ36">
        <f>98.366</f>
        <v>98.366</v>
      </c>
      <c r="BR36">
        <f>98.118</f>
        <v>98.117999999999995</v>
      </c>
      <c r="BS36">
        <f>99.019</f>
        <v>99.019000000000005</v>
      </c>
      <c r="BT36">
        <f>98.48</f>
        <v>98.48</v>
      </c>
      <c r="BU36">
        <f>97.37</f>
        <v>97.37</v>
      </c>
      <c r="BV36">
        <f>96.954</f>
        <v>96.953999999999994</v>
      </c>
      <c r="BW36">
        <f>96.813</f>
        <v>96.813000000000002</v>
      </c>
      <c r="BX36">
        <f>96.412</f>
        <v>96.412000000000006</v>
      </c>
      <c r="BY36">
        <f>91.856</f>
        <v>91.855999999999995</v>
      </c>
      <c r="BZ36">
        <f>82.793</f>
        <v>82.793000000000006</v>
      </c>
      <c r="CA36">
        <f>80.445</f>
        <v>80.444999999999993</v>
      </c>
      <c r="CB36">
        <f>79.259</f>
        <v>79.259</v>
      </c>
      <c r="CC36">
        <f>79.039</f>
        <v>79.039000000000001</v>
      </c>
      <c r="CD36">
        <f>79.442</f>
        <v>79.441999999999993</v>
      </c>
      <c r="CE36">
        <f>77.424</f>
        <v>77.424000000000007</v>
      </c>
      <c r="CF36">
        <f>74.946</f>
        <v>74.945999999999998</v>
      </c>
      <c r="CG36">
        <f>74.631</f>
        <v>74.631</v>
      </c>
      <c r="CH36">
        <f>75.056</f>
        <v>75.055999999999997</v>
      </c>
      <c r="CI36">
        <f>70.125</f>
        <v>70.125</v>
      </c>
      <c r="CJ36">
        <f>42.352</f>
        <v>42.351999999999997</v>
      </c>
      <c r="CK36">
        <f>35.986</f>
        <v>35.985999999999997</v>
      </c>
      <c r="CL36">
        <f>35.568</f>
        <v>35.567999999999998</v>
      </c>
      <c r="CM36">
        <f>16.276</f>
        <v>16.276</v>
      </c>
      <c r="CN36">
        <f>0</f>
        <v>0</v>
      </c>
      <c r="CO36">
        <f>0.844</f>
        <v>0.84399999999999997</v>
      </c>
      <c r="CP36">
        <f>0</f>
        <v>0</v>
      </c>
      <c r="CQ36">
        <f>0</f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f>0</f>
        <v>0</v>
      </c>
      <c r="CW36">
        <f>0</f>
        <v>0</v>
      </c>
      <c r="CX36">
        <f>0</f>
        <v>0</v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"    Ventas Inc"</f>
        <v xml:space="preserve">    Ventas Inc</v>
      </c>
      <c r="B37" t="str">
        <f>"VTR US Equity"</f>
        <v>VTR US Equity</v>
      </c>
      <c r="C37" t="str">
        <f t="shared" si="6"/>
        <v>IM281</v>
      </c>
      <c r="D37" t="str">
        <f t="shared" si="7"/>
        <v>IS_NON_REAL_ESTATE_INCOME</v>
      </c>
      <c r="E37" t="str">
        <f t="shared" si="8"/>
        <v>动态</v>
      </c>
      <c r="F37" t="str">
        <f ca="1">IF(AND(ISNUMBER($F$291),$B$258=1),$F$291,HLOOKUP(INDIRECT(ADDRESS(2,COLUMN())),OFFSET($BN$2,0,0,ROW()-1,60),ROW()-1,FALSE))</f>
        <v/>
      </c>
      <c r="G37">
        <f ca="1">IF(AND(ISNUMBER($G$291),$B$258=1),$G$291,HLOOKUP(INDIRECT(ADDRESS(2,COLUMN())),OFFSET($BN$2,0,0,ROW()-1,60),ROW()-1,FALSE))</f>
        <v>5.18</v>
      </c>
      <c r="H37">
        <f ca="1">IF(AND(ISNUMBER($H$291),$B$258=1),$H$291,HLOOKUP(INDIRECT(ADDRESS(2,COLUMN())),OFFSET($BN$2,0,0,ROW()-1,60),ROW()-1,FALSE))</f>
        <v>0.17100000000000001</v>
      </c>
      <c r="I37">
        <f ca="1">IF(AND(ISNUMBER($I$291),$B$258=1),$I$291,HLOOKUP(INDIRECT(ADDRESS(2,COLUMN())),OFFSET($BN$2,0,0,ROW()-1,60),ROW()-1,FALSE))</f>
        <v>0.20200000000000001</v>
      </c>
      <c r="J37">
        <f ca="1">IF(AND(ISNUMBER($J$291),$B$258=1),$J$291,HLOOKUP(INDIRECT(ADDRESS(2,COLUMN())),OFFSET($BN$2,0,0,ROW()-1,60),ROW()-1,FALSE))</f>
        <v>0.48099999999999998</v>
      </c>
      <c r="K37">
        <f ca="1">IF(AND(ISNUMBER($K$291),$B$258=1),$K$291,HLOOKUP(INDIRECT(ADDRESS(2,COLUMN())),OFFSET($BN$2,0,0,ROW()-1,60),ROW()-1,FALSE))</f>
        <v>8.4000000000000005E-2</v>
      </c>
      <c r="L37">
        <f ca="1">IF(AND(ISNUMBER($L$291),$B$258=1),$L$291,HLOOKUP(INDIRECT(ADDRESS(2,COLUMN())),OFFSET($BN$2,0,0,ROW()-1,60),ROW()-1,FALSE))</f>
        <v>0.56200000000000006</v>
      </c>
      <c r="M37">
        <f ca="1">IF(AND(ISNUMBER($M$291),$B$258=1),$M$291,HLOOKUP(INDIRECT(ADDRESS(2,COLUMN())),OFFSET($BN$2,0,0,ROW()-1,60),ROW()-1,FALSE))</f>
        <v>0.111</v>
      </c>
      <c r="N37">
        <f ca="1">IF(AND(ISNUMBER($N$291),$B$258=1),$N$291,HLOOKUP(INDIRECT(ADDRESS(2,COLUMN())),OFFSET($BN$2,0,0,ROW()-1,60),ROW()-1,FALSE))</f>
        <v>0.11899999999999999</v>
      </c>
      <c r="O37">
        <f ca="1">IF(AND(ISNUMBER($O$291),$B$258=1),$O$291,HLOOKUP(INDIRECT(ADDRESS(2,COLUMN())),OFFSET($BN$2,0,0,ROW()-1,60),ROW()-1,FALSE))</f>
        <v>0.33300000000000002</v>
      </c>
      <c r="P37">
        <f ca="1">IF(AND(ISNUMBER($P$291),$B$258=1),$P$291,HLOOKUP(INDIRECT(ADDRESS(2,COLUMN())),OFFSET($BN$2,0,0,ROW()-1,60),ROW()-1,FALSE))</f>
        <v>7.3999999999999996E-2</v>
      </c>
      <c r="Q37">
        <f ca="1">IF(AND(ISNUMBER($Q$291),$B$258=1),$Q$291,HLOOKUP(INDIRECT(ADDRESS(2,COLUMN())),OFFSET($BN$2,0,0,ROW()-1,60),ROW()-1,FALSE))</f>
        <v>0.17399999999999999</v>
      </c>
      <c r="R37">
        <f ca="1">IF(AND(ISNUMBER($R$291),$B$258=1),$R$291,HLOOKUP(INDIRECT(ADDRESS(2,COLUMN())),OFFSET($BN$2,0,0,ROW()-1,60),ROW()-1,FALSE))</f>
        <v>0.47099999999999997</v>
      </c>
      <c r="S37">
        <f ca="1">IF(AND(ISNUMBER($S$291),$B$258=1),$S$291,HLOOKUP(INDIRECT(ADDRESS(2,COLUMN())),OFFSET($BN$2,0,0,ROW()-1,60),ROW()-1,FALSE))</f>
        <v>3.452</v>
      </c>
      <c r="T37">
        <f ca="1">IF(AND(ISNUMBER($T$291),$B$258=1),$T$291,HLOOKUP(INDIRECT(ADDRESS(2,COLUMN())),OFFSET($BN$2,0,0,ROW()-1,60),ROW()-1,FALSE))</f>
        <v>0.36699999999999999</v>
      </c>
      <c r="U37">
        <f ca="1">IF(AND(ISNUMBER($U$291),$B$258=1),$U$291,HLOOKUP(INDIRECT(ADDRESS(2,COLUMN())),OFFSET($BN$2,0,0,ROW()-1,60),ROW()-1,FALSE))</f>
        <v>0.17299999999999999</v>
      </c>
      <c r="V37">
        <f ca="1">IF(AND(ISNUMBER($V$291),$B$258=1),$V$291,HLOOKUP(INDIRECT(ADDRESS(2,COLUMN())),OFFSET($BN$2,0,0,ROW()-1,60),ROW()-1,FALSE))</f>
        <v>0.27300000000000002</v>
      </c>
      <c r="W37">
        <f ca="1">IF(AND(ISNUMBER($W$291),$B$258=1),$W$291,HLOOKUP(INDIRECT(ADDRESS(2,COLUMN())),OFFSET($BN$2,0,0,ROW()-1,60),ROW()-1,FALSE))</f>
        <v>0.14599999999999999</v>
      </c>
      <c r="X37">
        <f ca="1">IF(AND(ISNUMBER($X$291),$B$258=1),$X$291,HLOOKUP(INDIRECT(ADDRESS(2,COLUMN())),OFFSET($BN$2,0,0,ROW()-1,60),ROW()-1,FALSE))</f>
        <v>6.6000000000000003E-2</v>
      </c>
      <c r="Y37">
        <f ca="1">IF(AND(ISNUMBER($Y$291),$B$258=1),$Y$291,HLOOKUP(INDIRECT(ADDRESS(2,COLUMN())),OFFSET($BN$2,0,0,ROW()-1,60),ROW()-1,FALSE))</f>
        <v>0.79700000000000004</v>
      </c>
      <c r="Z37">
        <f ca="1">IF(AND(ISNUMBER($Z$291),$B$258=1),$Z$291,HLOOKUP(INDIRECT(ADDRESS(2,COLUMN())),OFFSET($BN$2,0,0,ROW()-1,60),ROW()-1,FALSE))</f>
        <v>1.038</v>
      </c>
      <c r="AA37">
        <f ca="1">IF(AND(ISNUMBER($AA$291),$B$258=1),$AA$291,HLOOKUP(INDIRECT(ADDRESS(2,COLUMN())),OFFSET($BN$2,0,0,ROW()-1,60),ROW()-1,FALSE))</f>
        <v>0.66400000000000003</v>
      </c>
      <c r="AB37">
        <f ca="1">IF(AND(ISNUMBER($AB$291),$B$258=1),$AB$291,HLOOKUP(INDIRECT(ADDRESS(2,COLUMN())),OFFSET($BN$2,0,0,ROW()-1,60),ROW()-1,FALSE))</f>
        <v>0.33</v>
      </c>
      <c r="AC37">
        <f ca="1">IF(AND(ISNUMBER($AC$291),$B$258=1),$AC$291,HLOOKUP(INDIRECT(ADDRESS(2,COLUMN())),OFFSET($BN$2,0,0,ROW()-1,60),ROW()-1,FALSE))</f>
        <v>6.5000000000000002E-2</v>
      </c>
      <c r="AD37">
        <f ca="1">IF(AND(ISNUMBER($AD$291),$B$258=1),$AD$291,HLOOKUP(INDIRECT(ADDRESS(2,COLUMN())),OFFSET($BN$2,0,0,ROW()-1,60),ROW()-1,FALSE))</f>
        <v>4.7E-2</v>
      </c>
      <c r="AE37">
        <f ca="1">IF(AND(ISNUMBER($AE$291),$B$258=1),$AE$291,HLOOKUP(INDIRECT(ADDRESS(2,COLUMN())),OFFSET($BN$2,0,0,ROW()-1,60),ROW()-1,FALSE))</f>
        <v>0.68799999999999994</v>
      </c>
      <c r="AF37">
        <f ca="1">IF(AND(ISNUMBER($AF$291),$B$258=1),$AF$291,HLOOKUP(INDIRECT(ADDRESS(2,COLUMN())),OFFSET($BN$2,0,0,ROW()-1,60),ROW()-1,FALSE))</f>
        <v>0.373</v>
      </c>
      <c r="AG37">
        <f ca="1">IF(AND(ISNUMBER($AG$291),$B$258=1),$AG$291,HLOOKUP(INDIRECT(ADDRESS(2,COLUMN())),OFFSET($BN$2,0,0,ROW()-1,60),ROW()-1,FALSE))</f>
        <v>7.8E-2</v>
      </c>
      <c r="AH37">
        <f ca="1">IF(AND(ISNUMBER($AH$291),$B$258=1),$AH$291,HLOOKUP(INDIRECT(ADDRESS(2,COLUMN())),OFFSET($BN$2,0,0,ROW()-1,60),ROW()-1,FALSE))</f>
        <v>7.8E-2</v>
      </c>
      <c r="AI37">
        <f ca="1">IF(AND(ISNUMBER($AI$291),$B$258=1),$AI$291,HLOOKUP(INDIRECT(ADDRESS(2,COLUMN())),OFFSET($BN$2,0,0,ROW()-1,60),ROW()-1,FALSE))</f>
        <v>6.4000000000000001E-2</v>
      </c>
      <c r="AJ37">
        <f ca="1">IF(AND(ISNUMBER($AJ$291),$B$258=1),$AJ$291,HLOOKUP(INDIRECT(ADDRESS(2,COLUMN())),OFFSET($BN$2,0,0,ROW()-1,60),ROW()-1,FALSE))</f>
        <v>3.5000000000000003E-2</v>
      </c>
      <c r="AK37">
        <f ca="1">IF(AND(ISNUMBER($AK$291),$B$258=1),$AK$291,HLOOKUP(INDIRECT(ADDRESS(2,COLUMN())),OFFSET($BN$2,0,0,ROW()-1,60),ROW()-1,FALSE))</f>
        <v>0.122</v>
      </c>
      <c r="AL37">
        <f ca="1">IF(AND(ISNUMBER($AL$291),$B$258=1),$AL$291,HLOOKUP(INDIRECT(ADDRESS(2,COLUMN())),OFFSET($BN$2,0,0,ROW()-1,60),ROW()-1,FALSE))</f>
        <v>0.26300000000000001</v>
      </c>
      <c r="AM37">
        <f ca="1">IF(AND(ISNUMBER($AM$291),$B$258=1),$AM$291,HLOOKUP(INDIRECT(ADDRESS(2,COLUMN())),OFFSET($BN$2,0,0,ROW()-1,60),ROW()-1,FALSE))</f>
        <v>0.34899999999999998</v>
      </c>
      <c r="AN37">
        <f ca="1">IF(AND(ISNUMBER($AN$291),$B$258=1),$AN$291,HLOOKUP(INDIRECT(ADDRESS(2,COLUMN())),OFFSET($BN$2,0,0,ROW()-1,60),ROW()-1,FALSE))</f>
        <v>9.9000000000000005E-2</v>
      </c>
      <c r="AO37">
        <f ca="1">IF(AND(ISNUMBER($AO$291),$B$258=1),$AO$291,HLOOKUP(INDIRECT(ADDRESS(2,COLUMN())),OFFSET($BN$2,0,0,ROW()-1,60),ROW()-1,FALSE))</f>
        <v>0.108</v>
      </c>
      <c r="AP37">
        <f ca="1">IF(AND(ISNUMBER($AP$291),$B$258=1),$AP$291,HLOOKUP(INDIRECT(ADDRESS(2,COLUMN())),OFFSET($BN$2,0,0,ROW()-1,60),ROW()-1,FALSE))</f>
        <v>0.28599999999999998</v>
      </c>
      <c r="AQ37" t="str">
        <f ca="1">IF(AND(ISNUMBER($AQ$291),$B$258=1),$AQ$291,HLOOKUP(INDIRECT(ADDRESS(2,COLUMN())),OFFSET($BN$2,0,0,ROW()-1,60),ROW()-1,FALSE))</f>
        <v/>
      </c>
      <c r="AR37" t="str">
        <f ca="1">IF(AND(ISNUMBER($AR$291),$B$258=1),$AR$291,HLOOKUP(INDIRECT(ADDRESS(2,COLUMN())),OFFSET($BN$2,0,0,ROW()-1,60),ROW()-1,FALSE))</f>
        <v/>
      </c>
      <c r="AS37" t="str">
        <f ca="1">IF(AND(ISNUMBER($AS$291),$B$258=1),$AS$291,HLOOKUP(INDIRECT(ADDRESS(2,COLUMN())),OFFSET($BN$2,0,0,ROW()-1,60),ROW()-1,FALSE))</f>
        <v/>
      </c>
      <c r="AT37" t="str">
        <f ca="1">IF(AND(ISNUMBER($AT$291),$B$258=1),$AT$291,HLOOKUP(INDIRECT(ADDRESS(2,COLUMN())),OFFSET($BN$2,0,0,ROW()-1,60),ROW()-1,FALSE))</f>
        <v/>
      </c>
      <c r="AU37" t="str">
        <f ca="1">IF(AND(ISNUMBER($AU$291),$B$258=1),$AU$291,HLOOKUP(INDIRECT(ADDRESS(2,COLUMN())),OFFSET($BN$2,0,0,ROW()-1,60),ROW()-1,FALSE))</f>
        <v/>
      </c>
      <c r="AV37" t="str">
        <f ca="1">IF(AND(ISNUMBER($AV$291),$B$258=1),$AV$291,HLOOKUP(INDIRECT(ADDRESS(2,COLUMN())),OFFSET($BN$2,0,0,ROW()-1,60),ROW()-1,FALSE))</f>
        <v/>
      </c>
      <c r="AW37" t="str">
        <f ca="1">IF(AND(ISNUMBER($AW$291),$B$258=1),$AW$291,HLOOKUP(INDIRECT(ADDRESS(2,COLUMN())),OFFSET($BN$2,0,0,ROW()-1,60),ROW()-1,FALSE))</f>
        <v/>
      </c>
      <c r="AX37" t="str">
        <f ca="1">IF(AND(ISNUMBER($AX$291),$B$258=1),$AX$291,HLOOKUP(INDIRECT(ADDRESS(2,COLUMN())),OFFSET($BN$2,0,0,ROW()-1,60),ROW()-1,FALSE))</f>
        <v/>
      </c>
      <c r="AY37" t="str">
        <f ca="1">IF(AND(ISNUMBER($AY$291),$B$258=1),$AY$291,HLOOKUP(INDIRECT(ADDRESS(2,COLUMN())),OFFSET($BN$2,0,0,ROW()-1,60),ROW()-1,FALSE))</f>
        <v/>
      </c>
      <c r="AZ37" t="str">
        <f ca="1">IF(AND(ISNUMBER($AZ$291),$B$258=1),$AZ$291,HLOOKUP(INDIRECT(ADDRESS(2,COLUMN())),OFFSET($BN$2,0,0,ROW()-1,60),ROW()-1,FALSE))</f>
        <v/>
      </c>
      <c r="BA37" t="str">
        <f ca="1">IF(AND(ISNUMBER($BA$291),$B$258=1),$BA$291,HLOOKUP(INDIRECT(ADDRESS(2,COLUMN())),OFFSET($BN$2,0,0,ROW()-1,60),ROW()-1,FALSE))</f>
        <v/>
      </c>
      <c r="BB37" t="str">
        <f ca="1">IF(AND(ISNUMBER($BB$291),$B$258=1),$BB$291,HLOOKUP(INDIRECT(ADDRESS(2,COLUMN())),OFFSET($BN$2,0,0,ROW()-1,60),ROW()-1,FALSE))</f>
        <v/>
      </c>
      <c r="BC37" t="str">
        <f ca="1">IF(AND(ISNUMBER($BC$291),$B$258=1),$BC$291,HLOOKUP(INDIRECT(ADDRESS(2,COLUMN())),OFFSET($BN$2,0,0,ROW()-1,60),ROW()-1,FALSE))</f>
        <v/>
      </c>
      <c r="BD37" t="str">
        <f ca="1">IF(AND(ISNUMBER($BD$291),$B$258=1),$BD$291,HLOOKUP(INDIRECT(ADDRESS(2,COLUMN())),OFFSET($BN$2,0,0,ROW()-1,60),ROW()-1,FALSE))</f>
        <v/>
      </c>
      <c r="BE37" t="str">
        <f ca="1">IF(AND(ISNUMBER($BE$291),$B$258=1),$BE$291,HLOOKUP(INDIRECT(ADDRESS(2,COLUMN())),OFFSET($BN$2,0,0,ROW()-1,60),ROW()-1,FALSE))</f>
        <v/>
      </c>
      <c r="BF37" t="str">
        <f ca="1">IF(AND(ISNUMBER($BF$291),$B$258=1),$BF$291,HLOOKUP(INDIRECT(ADDRESS(2,COLUMN())),OFFSET($BN$2,0,0,ROW()-1,60),ROW()-1,FALSE))</f>
        <v/>
      </c>
      <c r="BG37" t="str">
        <f ca="1">IF(AND(ISNUMBER($BG$291),$B$258=1),$BG$291,HLOOKUP(INDIRECT(ADDRESS(2,COLUMN())),OFFSET($BN$2,0,0,ROW()-1,60),ROW()-1,FALSE))</f>
        <v/>
      </c>
      <c r="BH37" t="str">
        <f ca="1">IF(AND(ISNUMBER($BH$291),$B$258=1),$BH$291,HLOOKUP(INDIRECT(ADDRESS(2,COLUMN())),OFFSET($BN$2,0,0,ROW()-1,60),ROW()-1,FALSE))</f>
        <v/>
      </c>
      <c r="BI37" t="str">
        <f ca="1">IF(AND(ISNUMBER($BI$291),$B$258=1),$BI$291,HLOOKUP(INDIRECT(ADDRESS(2,COLUMN())),OFFSET($BN$2,0,0,ROW()-1,60),ROW()-1,FALSE))</f>
        <v/>
      </c>
      <c r="BJ37" t="str">
        <f ca="1">IF(AND(ISNUMBER($BJ$291),$B$258=1),$BJ$291,HLOOKUP(INDIRECT(ADDRESS(2,COLUMN())),OFFSET($BN$2,0,0,ROW()-1,60),ROW()-1,FALSE))</f>
        <v/>
      </c>
      <c r="BK37" t="str">
        <f ca="1">IF(AND(ISNUMBER($BK$291),$B$258=1),$BK$291,HLOOKUP(INDIRECT(ADDRESS(2,COLUMN())),OFFSET($BN$2,0,0,ROW()-1,60),ROW()-1,FALSE))</f>
        <v/>
      </c>
      <c r="BL37" t="str">
        <f ca="1">IF(AND(ISNUMBER($BL$291),$B$258=1),$BL$291,HLOOKUP(INDIRECT(ADDRESS(2,COLUMN())),OFFSET($BN$2,0,0,ROW()-1,60),ROW()-1,FALSE))</f>
        <v/>
      </c>
      <c r="BM37" t="str">
        <f ca="1">IF(AND(ISNUMBER($BM$291),$B$258=1),$BM$291,HLOOKUP(INDIRECT(ADDRESS(2,COLUMN())),OFFSET($BN$2,0,0,ROW()-1,60),ROW()-1,FALSE))</f>
        <v/>
      </c>
      <c r="BN37" t="str">
        <f>""</f>
        <v/>
      </c>
      <c r="BO37">
        <f>5.18</f>
        <v>5.18</v>
      </c>
      <c r="BP37">
        <f>0.171</f>
        <v>0.17100000000000001</v>
      </c>
      <c r="BQ37">
        <f>0.202</f>
        <v>0.20200000000000001</v>
      </c>
      <c r="BR37">
        <f>0.481</f>
        <v>0.48099999999999998</v>
      </c>
      <c r="BS37">
        <f>0.084</f>
        <v>8.4000000000000005E-2</v>
      </c>
      <c r="BT37">
        <f>0.562</f>
        <v>0.56200000000000006</v>
      </c>
      <c r="BU37">
        <f>0.111</f>
        <v>0.111</v>
      </c>
      <c r="BV37">
        <f>0.119</f>
        <v>0.11899999999999999</v>
      </c>
      <c r="BW37">
        <f>0.333</f>
        <v>0.33300000000000002</v>
      </c>
      <c r="BX37">
        <f>0.074</f>
        <v>7.3999999999999996E-2</v>
      </c>
      <c r="BY37">
        <f>0.174</f>
        <v>0.17399999999999999</v>
      </c>
      <c r="BZ37">
        <f>0.471</f>
        <v>0.47099999999999997</v>
      </c>
      <c r="CA37">
        <f>3.452</f>
        <v>3.452</v>
      </c>
      <c r="CB37">
        <f>0.367</f>
        <v>0.36699999999999999</v>
      </c>
      <c r="CC37">
        <f>0.173</f>
        <v>0.17299999999999999</v>
      </c>
      <c r="CD37">
        <f>0.273</f>
        <v>0.27300000000000002</v>
      </c>
      <c r="CE37">
        <f>0.146</f>
        <v>0.14599999999999999</v>
      </c>
      <c r="CF37">
        <f>0.066</f>
        <v>6.6000000000000003E-2</v>
      </c>
      <c r="CG37">
        <f>0.797</f>
        <v>0.79700000000000004</v>
      </c>
      <c r="CH37">
        <f>1.038</f>
        <v>1.038</v>
      </c>
      <c r="CI37">
        <f>0.664</f>
        <v>0.66400000000000003</v>
      </c>
      <c r="CJ37">
        <f>0.33</f>
        <v>0.33</v>
      </c>
      <c r="CK37">
        <f>0.065</f>
        <v>6.5000000000000002E-2</v>
      </c>
      <c r="CL37">
        <f>0.047</f>
        <v>4.7E-2</v>
      </c>
      <c r="CM37">
        <f>0.688</f>
        <v>0.68799999999999994</v>
      </c>
      <c r="CN37">
        <f>0.373</f>
        <v>0.373</v>
      </c>
      <c r="CO37">
        <f>0.078</f>
        <v>7.8E-2</v>
      </c>
      <c r="CP37">
        <f>0.078</f>
        <v>7.8E-2</v>
      </c>
      <c r="CQ37">
        <f>0.064</f>
        <v>6.4000000000000001E-2</v>
      </c>
      <c r="CR37">
        <f>0.035</f>
        <v>3.5000000000000003E-2</v>
      </c>
      <c r="CS37">
        <f>0.122</f>
        <v>0.122</v>
      </c>
      <c r="CT37">
        <f>0.263</f>
        <v>0.26300000000000001</v>
      </c>
      <c r="CU37">
        <f>0.349</f>
        <v>0.34899999999999998</v>
      </c>
      <c r="CV37">
        <f>0.099</f>
        <v>9.9000000000000005E-2</v>
      </c>
      <c r="CW37">
        <f>0.108</f>
        <v>0.108</v>
      </c>
      <c r="CX37">
        <f>0.286</f>
        <v>0.28599999999999998</v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</row>
    <row r="38" spans="1:125">
      <c r="A38" t="str">
        <f>"    Welltower Inc"</f>
        <v xml:space="preserve">    Welltower Inc</v>
      </c>
      <c r="B38" t="str">
        <f>"HCN US Equity"</f>
        <v>HCN US Equity</v>
      </c>
      <c r="C38" t="str">
        <f t="shared" si="6"/>
        <v>IM281</v>
      </c>
      <c r="D38" t="str">
        <f t="shared" si="7"/>
        <v>IS_NON_REAL_ESTATE_INCOME</v>
      </c>
      <c r="E38" t="str">
        <f t="shared" si="8"/>
        <v>动态</v>
      </c>
      <c r="F38" t="str">
        <f ca="1">IF(AND(ISNUMBER($F$292),$B$258=1),$F$292,HLOOKUP(INDIRECT(ADDRESS(2,COLUMN())),OFFSET($BN$2,0,0,ROW()-1,60),ROW()-1,FALSE))</f>
        <v/>
      </c>
      <c r="G38">
        <f ca="1">IF(AND(ISNUMBER($G$292),$B$258=1),$G$292,HLOOKUP(INDIRECT(ADDRESS(2,COLUMN())),OFFSET($BN$2,0,0,ROW()-1,60),ROW()-1,FALSE))</f>
        <v>14.342000000000001</v>
      </c>
      <c r="H38">
        <f ca="1">IF(AND(ISNUMBER($H$292),$B$258=1),$H$292,HLOOKUP(INDIRECT(ADDRESS(2,COLUMN())),OFFSET($BN$2,0,0,ROW()-1,60),ROW()-1,FALSE))</f>
        <v>26.222999999999999</v>
      </c>
      <c r="I38">
        <f ca="1">IF(AND(ISNUMBER($I$292),$B$258=1),$I$292,HLOOKUP(INDIRECT(ADDRESS(2,COLUMN())),OFFSET($BN$2,0,0,ROW()-1,60),ROW()-1,FALSE))</f>
        <v>25.963000000000001</v>
      </c>
      <c r="J38">
        <f ca="1">IF(AND(ISNUMBER($J$292),$B$258=1),$J$292,HLOOKUP(INDIRECT(ADDRESS(2,COLUMN())),OFFSET($BN$2,0,0,ROW()-1,60),ROW()-1,FALSE))</f>
        <v>24.82</v>
      </c>
      <c r="K38">
        <f ca="1">IF(AND(ISNUMBER($K$292),$B$258=1),$K$292,HLOOKUP(INDIRECT(ADDRESS(2,COLUMN())),OFFSET($BN$2,0,0,ROW()-1,60),ROW()-1,FALSE))</f>
        <v>31.603999999999999</v>
      </c>
      <c r="L38">
        <f ca="1">IF(AND(ISNUMBER($L$292),$B$258=1),$L$292,HLOOKUP(INDIRECT(ADDRESS(2,COLUMN())),OFFSET($BN$2,0,0,ROW()-1,60),ROW()-1,FALSE))</f>
        <v>27.963999999999999</v>
      </c>
      <c r="M38">
        <f ca="1">IF(AND(ISNUMBER($M$292),$B$258=1),$M$292,HLOOKUP(INDIRECT(ADDRESS(2,COLUMN())),OFFSET($BN$2,0,0,ROW()-1,60),ROW()-1,FALSE))</f>
        <v>38.808999999999997</v>
      </c>
      <c r="N38">
        <f ca="1">IF(AND(ISNUMBER($N$292),$B$258=1),$N$292,HLOOKUP(INDIRECT(ADDRESS(2,COLUMN())),OFFSET($BN$2,0,0,ROW()-1,60),ROW()-1,FALSE))</f>
        <v>29.238</v>
      </c>
      <c r="O38">
        <f ca="1">IF(AND(ISNUMBER($O$292),$B$258=1),$O$292,HLOOKUP(INDIRECT(ADDRESS(2,COLUMN())),OFFSET($BN$2,0,0,ROW()-1,60),ROW()-1,FALSE))</f>
        <v>31.324999999999999</v>
      </c>
      <c r="P38">
        <f ca="1">IF(AND(ISNUMBER($P$292),$B$258=1),$P$292,HLOOKUP(INDIRECT(ADDRESS(2,COLUMN())),OFFSET($BN$2,0,0,ROW()-1,60),ROW()-1,FALSE))</f>
        <v>24.452000000000002</v>
      </c>
      <c r="Q38">
        <f ca="1">IF(AND(ISNUMBER($Q$292),$B$258=1),$Q$292,HLOOKUP(INDIRECT(ADDRESS(2,COLUMN())),OFFSET($BN$2,0,0,ROW()-1,60),ROW()-1,FALSE))</f>
        <v>24.99</v>
      </c>
      <c r="R38">
        <f ca="1">IF(AND(ISNUMBER($R$292),$B$258=1),$R$292,HLOOKUP(INDIRECT(ADDRESS(2,COLUMN())),OFFSET($BN$2,0,0,ROW()-1,60),ROW()-1,FALSE))</f>
        <v>22.08</v>
      </c>
      <c r="S38">
        <f ca="1">IF(AND(ISNUMBER($S$292),$B$258=1),$S$292,HLOOKUP(INDIRECT(ADDRESS(2,COLUMN())),OFFSET($BN$2,0,0,ROW()-1,60),ROW()-1,FALSE))</f>
        <v>14.532</v>
      </c>
      <c r="T38">
        <f ca="1">IF(AND(ISNUMBER($T$292),$B$258=1),$T$292,HLOOKUP(INDIRECT(ADDRESS(2,COLUMN())),OFFSET($BN$2,0,0,ROW()-1,60),ROW()-1,FALSE))</f>
        <v>10.962999999999999</v>
      </c>
      <c r="U38">
        <f ca="1">IF(AND(ISNUMBER($U$292),$B$258=1),$U$292,HLOOKUP(INDIRECT(ADDRESS(2,COLUMN())),OFFSET($BN$2,0,0,ROW()-1,60),ROW()-1,FALSE))</f>
        <v>10.96</v>
      </c>
      <c r="V38">
        <f ca="1">IF(AND(ISNUMBER($V$292),$B$258=1),$V$292,HLOOKUP(INDIRECT(ADDRESS(2,COLUMN())),OFFSET($BN$2,0,0,ROW()-1,60),ROW()-1,FALSE))</f>
        <v>9.0869999999999997</v>
      </c>
      <c r="W38">
        <f ca="1">IF(AND(ISNUMBER($W$292),$B$258=1),$W$292,HLOOKUP(INDIRECT(ADDRESS(2,COLUMN())),OFFSET($BN$2,0,0,ROW()-1,60),ROW()-1,FALSE))</f>
        <v>9.2360000000000007</v>
      </c>
      <c r="X38">
        <f ca="1">IF(AND(ISNUMBER($X$292),$B$258=1),$X$292,HLOOKUP(INDIRECT(ADDRESS(2,COLUMN())),OFFSET($BN$2,0,0,ROW()-1,60),ROW()-1,FALSE))</f>
        <v>9.0719999999999992</v>
      </c>
      <c r="Y38">
        <f ca="1">IF(AND(ISNUMBER($Y$292),$B$258=1),$Y$292,HLOOKUP(INDIRECT(ADDRESS(2,COLUMN())),OFFSET($BN$2,0,0,ROW()-1,60),ROW()-1,FALSE))</f>
        <v>8.6649999999999991</v>
      </c>
      <c r="Z38">
        <f ca="1">IF(AND(ISNUMBER($Z$292),$B$258=1),$Z$292,HLOOKUP(INDIRECT(ADDRESS(2,COLUMN())),OFFSET($BN$2,0,0,ROW()-1,60),ROW()-1,FALSE))</f>
        <v>9.7569999999999997</v>
      </c>
      <c r="AA38">
        <f ca="1">IF(AND(ISNUMBER($AA$292),$B$258=1),$AA$292,HLOOKUP(INDIRECT(ADDRESS(2,COLUMN())),OFFSET($BN$2,0,0,ROW()-1,60),ROW()-1,FALSE))</f>
        <v>15.701000000000001</v>
      </c>
      <c r="AB38">
        <f ca="1">IF(AND(ISNUMBER($AB$292),$B$258=1),$AB$292,HLOOKUP(INDIRECT(ADDRESS(2,COLUMN())),OFFSET($BN$2,0,0,ROW()-1,60),ROW()-1,FALSE))</f>
        <v>9.4499999999999993</v>
      </c>
      <c r="AC38">
        <f ca="1">IF(AND(ISNUMBER($AC$292),$B$258=1),$AC$292,HLOOKUP(INDIRECT(ADDRESS(2,COLUMN())),OFFSET($BN$2,0,0,ROW()-1,60),ROW()-1,FALSE))</f>
        <v>9.3610000000000007</v>
      </c>
      <c r="AD38">
        <f ca="1">IF(AND(ISNUMBER($AD$292),$B$258=1),$AD$292,HLOOKUP(INDIRECT(ADDRESS(2,COLUMN())),OFFSET($BN$2,0,0,ROW()-1,60),ROW()-1,FALSE))</f>
        <v>9.827</v>
      </c>
      <c r="AE38">
        <f ca="1">IF(AND(ISNUMBER($AE$292),$B$258=1),$AE$292,HLOOKUP(INDIRECT(ADDRESS(2,COLUMN())),OFFSET($BN$2,0,0,ROW()-1,60),ROW()-1,FALSE))</f>
        <v>9.9540000000000006</v>
      </c>
      <c r="AF38">
        <f ca="1">IF(AND(ISNUMBER($AF$292),$B$258=1),$AF$292,HLOOKUP(INDIRECT(ADDRESS(2,COLUMN())),OFFSET($BN$2,0,0,ROW()-1,60),ROW()-1,FALSE))</f>
        <v>9.6669999999999998</v>
      </c>
      <c r="AG38">
        <f ca="1">IF(AND(ISNUMBER($AG$292),$B$258=1),$AG$292,HLOOKUP(INDIRECT(ADDRESS(2,COLUMN())),OFFSET($BN$2,0,0,ROW()-1,60),ROW()-1,FALSE))</f>
        <v>18.207000000000001</v>
      </c>
      <c r="AH38">
        <f ca="1">IF(AND(ISNUMBER($AH$292),$B$258=1),$AH$292,HLOOKUP(INDIRECT(ADDRESS(2,COLUMN())),OFFSET($BN$2,0,0,ROW()-1,60),ROW()-1,FALSE))</f>
        <v>14.532999999999999</v>
      </c>
      <c r="AI38">
        <f ca="1">IF(AND(ISNUMBER($AI$292),$B$258=1),$AI$292,HLOOKUP(INDIRECT(ADDRESS(2,COLUMN())),OFFSET($BN$2,0,0,ROW()-1,60),ROW()-1,FALSE))</f>
        <v>14.862</v>
      </c>
      <c r="AJ38">
        <f ca="1">IF(AND(ISNUMBER($AJ$292),$B$258=1),$AJ$292,HLOOKUP(INDIRECT(ADDRESS(2,COLUMN())),OFFSET($BN$2,0,0,ROW()-1,60),ROW()-1,FALSE))</f>
        <v>11.21</v>
      </c>
      <c r="AK38">
        <f ca="1">IF(AND(ISNUMBER($AK$292),$B$258=1),$AK$292,HLOOKUP(INDIRECT(ADDRESS(2,COLUMN())),OFFSET($BN$2,0,0,ROW()-1,60),ROW()-1,FALSE))</f>
        <v>11.984999999999999</v>
      </c>
      <c r="AL38">
        <f ca="1">IF(AND(ISNUMBER($AL$292),$B$258=1),$AL$292,HLOOKUP(INDIRECT(ADDRESS(2,COLUMN())),OFFSET($BN$2,0,0,ROW()-1,60),ROW()-1,FALSE))</f>
        <v>10.044</v>
      </c>
      <c r="AM38">
        <f ca="1">IF(AND(ISNUMBER($AM$292),$B$258=1),$AM$292,HLOOKUP(INDIRECT(ADDRESS(2,COLUMN())),OFFSET($BN$2,0,0,ROW()-1,60),ROW()-1,FALSE))</f>
        <v>11.824</v>
      </c>
      <c r="AN38">
        <f ca="1">IF(AND(ISNUMBER($AN$292),$B$258=1),$AN$292,HLOOKUP(INDIRECT(ADDRESS(2,COLUMN())),OFFSET($BN$2,0,0,ROW()-1,60),ROW()-1,FALSE))</f>
        <v>11.617000000000001</v>
      </c>
      <c r="AO38">
        <f ca="1">IF(AND(ISNUMBER($AO$292),$B$258=1),$AO$292,HLOOKUP(INDIRECT(ADDRESS(2,COLUMN())),OFFSET($BN$2,0,0,ROW()-1,60),ROW()-1,FALSE))</f>
        <v>11.395</v>
      </c>
      <c r="AP38">
        <f ca="1">IF(AND(ISNUMBER($AP$292),$B$258=1),$AP$292,HLOOKUP(INDIRECT(ADDRESS(2,COLUMN())),OFFSET($BN$2,0,0,ROW()-1,60),ROW()-1,FALSE))</f>
        <v>11.436999999999999</v>
      </c>
      <c r="AQ38" t="str">
        <f ca="1">IF(AND(ISNUMBER($AQ$292),$B$258=1),$AQ$292,HLOOKUP(INDIRECT(ADDRESS(2,COLUMN())),OFFSET($BN$2,0,0,ROW()-1,60),ROW()-1,FALSE))</f>
        <v/>
      </c>
      <c r="AR38" t="str">
        <f ca="1">IF(AND(ISNUMBER($AR$292),$B$258=1),$AR$292,HLOOKUP(INDIRECT(ADDRESS(2,COLUMN())),OFFSET($BN$2,0,0,ROW()-1,60),ROW()-1,FALSE))</f>
        <v/>
      </c>
      <c r="AS38" t="str">
        <f ca="1">IF(AND(ISNUMBER($AS$292),$B$258=1),$AS$292,HLOOKUP(INDIRECT(ADDRESS(2,COLUMN())),OFFSET($BN$2,0,0,ROW()-1,60),ROW()-1,FALSE))</f>
        <v/>
      </c>
      <c r="AT38" t="str">
        <f ca="1">IF(AND(ISNUMBER($AT$292),$B$258=1),$AT$292,HLOOKUP(INDIRECT(ADDRESS(2,COLUMN())),OFFSET($BN$2,0,0,ROW()-1,60),ROW()-1,FALSE))</f>
        <v/>
      </c>
      <c r="AU38" t="str">
        <f ca="1">IF(AND(ISNUMBER($AU$292),$B$258=1),$AU$292,HLOOKUP(INDIRECT(ADDRESS(2,COLUMN())),OFFSET($BN$2,0,0,ROW()-1,60),ROW()-1,FALSE))</f>
        <v/>
      </c>
      <c r="AV38" t="str">
        <f ca="1">IF(AND(ISNUMBER($AV$292),$B$258=1),$AV$292,HLOOKUP(INDIRECT(ADDRESS(2,COLUMN())),OFFSET($BN$2,0,0,ROW()-1,60),ROW()-1,FALSE))</f>
        <v/>
      </c>
      <c r="AW38" t="str">
        <f ca="1">IF(AND(ISNUMBER($AW$292),$B$258=1),$AW$292,HLOOKUP(INDIRECT(ADDRESS(2,COLUMN())),OFFSET($BN$2,0,0,ROW()-1,60),ROW()-1,FALSE))</f>
        <v/>
      </c>
      <c r="AX38" t="str">
        <f ca="1">IF(AND(ISNUMBER($AX$292),$B$258=1),$AX$292,HLOOKUP(INDIRECT(ADDRESS(2,COLUMN())),OFFSET($BN$2,0,0,ROW()-1,60),ROW()-1,FALSE))</f>
        <v/>
      </c>
      <c r="AY38" t="str">
        <f ca="1">IF(AND(ISNUMBER($AY$292),$B$258=1),$AY$292,HLOOKUP(INDIRECT(ADDRESS(2,COLUMN())),OFFSET($BN$2,0,0,ROW()-1,60),ROW()-1,FALSE))</f>
        <v/>
      </c>
      <c r="AZ38" t="str">
        <f ca="1">IF(AND(ISNUMBER($AZ$292),$B$258=1),$AZ$292,HLOOKUP(INDIRECT(ADDRESS(2,COLUMN())),OFFSET($BN$2,0,0,ROW()-1,60),ROW()-1,FALSE))</f>
        <v/>
      </c>
      <c r="BA38" t="str">
        <f ca="1">IF(AND(ISNUMBER($BA$292),$B$258=1),$BA$292,HLOOKUP(INDIRECT(ADDRESS(2,COLUMN())),OFFSET($BN$2,0,0,ROW()-1,60),ROW()-1,FALSE))</f>
        <v/>
      </c>
      <c r="BB38" t="str">
        <f ca="1">IF(AND(ISNUMBER($BB$292),$B$258=1),$BB$292,HLOOKUP(INDIRECT(ADDRESS(2,COLUMN())),OFFSET($BN$2,0,0,ROW()-1,60),ROW()-1,FALSE))</f>
        <v/>
      </c>
      <c r="BC38" t="str">
        <f ca="1">IF(AND(ISNUMBER($BC$292),$B$258=1),$BC$292,HLOOKUP(INDIRECT(ADDRESS(2,COLUMN())),OFFSET($BN$2,0,0,ROW()-1,60),ROW()-1,FALSE))</f>
        <v/>
      </c>
      <c r="BD38" t="str">
        <f ca="1">IF(AND(ISNUMBER($BD$292),$B$258=1),$BD$292,HLOOKUP(INDIRECT(ADDRESS(2,COLUMN())),OFFSET($BN$2,0,0,ROW()-1,60),ROW()-1,FALSE))</f>
        <v/>
      </c>
      <c r="BE38" t="str">
        <f ca="1">IF(AND(ISNUMBER($BE$292),$B$258=1),$BE$292,HLOOKUP(INDIRECT(ADDRESS(2,COLUMN())),OFFSET($BN$2,0,0,ROW()-1,60),ROW()-1,FALSE))</f>
        <v/>
      </c>
      <c r="BF38" t="str">
        <f ca="1">IF(AND(ISNUMBER($BF$292),$B$258=1),$BF$292,HLOOKUP(INDIRECT(ADDRESS(2,COLUMN())),OFFSET($BN$2,0,0,ROW()-1,60),ROW()-1,FALSE))</f>
        <v/>
      </c>
      <c r="BG38" t="str">
        <f ca="1">IF(AND(ISNUMBER($BG$292),$B$258=1),$BG$292,HLOOKUP(INDIRECT(ADDRESS(2,COLUMN())),OFFSET($BN$2,0,0,ROW()-1,60),ROW()-1,FALSE))</f>
        <v/>
      </c>
      <c r="BH38" t="str">
        <f ca="1">IF(AND(ISNUMBER($BH$292),$B$258=1),$BH$292,HLOOKUP(INDIRECT(ADDRESS(2,COLUMN())),OFFSET($BN$2,0,0,ROW()-1,60),ROW()-1,FALSE))</f>
        <v/>
      </c>
      <c r="BI38" t="str">
        <f ca="1">IF(AND(ISNUMBER($BI$292),$B$258=1),$BI$292,HLOOKUP(INDIRECT(ADDRESS(2,COLUMN())),OFFSET($BN$2,0,0,ROW()-1,60),ROW()-1,FALSE))</f>
        <v/>
      </c>
      <c r="BJ38" t="str">
        <f ca="1">IF(AND(ISNUMBER($BJ$292),$B$258=1),$BJ$292,HLOOKUP(INDIRECT(ADDRESS(2,COLUMN())),OFFSET($BN$2,0,0,ROW()-1,60),ROW()-1,FALSE))</f>
        <v/>
      </c>
      <c r="BK38" t="str">
        <f ca="1">IF(AND(ISNUMBER($BK$292),$B$258=1),$BK$292,HLOOKUP(INDIRECT(ADDRESS(2,COLUMN())),OFFSET($BN$2,0,0,ROW()-1,60),ROW()-1,FALSE))</f>
        <v/>
      </c>
      <c r="BL38" t="str">
        <f ca="1">IF(AND(ISNUMBER($BL$292),$B$258=1),$BL$292,HLOOKUP(INDIRECT(ADDRESS(2,COLUMN())),OFFSET($BN$2,0,0,ROW()-1,60),ROW()-1,FALSE))</f>
        <v/>
      </c>
      <c r="BM38" t="str">
        <f ca="1">IF(AND(ISNUMBER($BM$292),$B$258=1),$BM$292,HLOOKUP(INDIRECT(ADDRESS(2,COLUMN())),OFFSET($BN$2,0,0,ROW()-1,60),ROW()-1,FALSE))</f>
        <v/>
      </c>
      <c r="BN38" t="str">
        <f>""</f>
        <v/>
      </c>
      <c r="BO38">
        <f>14.342</f>
        <v>14.342000000000001</v>
      </c>
      <c r="BP38">
        <f>26.223</f>
        <v>26.222999999999999</v>
      </c>
      <c r="BQ38">
        <f>25.963</f>
        <v>25.963000000000001</v>
      </c>
      <c r="BR38">
        <f>24.82</f>
        <v>24.82</v>
      </c>
      <c r="BS38">
        <f>31.604</f>
        <v>31.603999999999999</v>
      </c>
      <c r="BT38">
        <f>27.964</f>
        <v>27.963999999999999</v>
      </c>
      <c r="BU38">
        <f>38.809</f>
        <v>38.808999999999997</v>
      </c>
      <c r="BV38">
        <f>29.238</f>
        <v>29.238</v>
      </c>
      <c r="BW38">
        <f>31.325</f>
        <v>31.324999999999999</v>
      </c>
      <c r="BX38">
        <f>24.452</f>
        <v>24.452000000000002</v>
      </c>
      <c r="BY38">
        <f>24.99</f>
        <v>24.99</v>
      </c>
      <c r="BZ38">
        <f>22.08</f>
        <v>22.08</v>
      </c>
      <c r="CA38">
        <f>14.532</f>
        <v>14.532</v>
      </c>
      <c r="CB38">
        <f>10.963</f>
        <v>10.962999999999999</v>
      </c>
      <c r="CC38">
        <f>10.96</f>
        <v>10.96</v>
      </c>
      <c r="CD38">
        <f>9.087</f>
        <v>9.0869999999999997</v>
      </c>
      <c r="CE38">
        <f>9.236</f>
        <v>9.2360000000000007</v>
      </c>
      <c r="CF38">
        <f>9.072</f>
        <v>9.0719999999999992</v>
      </c>
      <c r="CG38">
        <f>8.665</f>
        <v>8.6649999999999991</v>
      </c>
      <c r="CH38">
        <f>9.757</f>
        <v>9.7569999999999997</v>
      </c>
      <c r="CI38">
        <f>15.701</f>
        <v>15.701000000000001</v>
      </c>
      <c r="CJ38">
        <f>9.45</f>
        <v>9.4499999999999993</v>
      </c>
      <c r="CK38">
        <f>9.361</f>
        <v>9.3610000000000007</v>
      </c>
      <c r="CL38">
        <f>9.827</f>
        <v>9.827</v>
      </c>
      <c r="CM38">
        <f>9.954</f>
        <v>9.9540000000000006</v>
      </c>
      <c r="CN38">
        <f>9.667</f>
        <v>9.6669999999999998</v>
      </c>
      <c r="CO38">
        <f>18.207</f>
        <v>18.207000000000001</v>
      </c>
      <c r="CP38">
        <f>14.533</f>
        <v>14.532999999999999</v>
      </c>
      <c r="CQ38">
        <f>14.862</f>
        <v>14.862</v>
      </c>
      <c r="CR38">
        <f>11.21</f>
        <v>11.21</v>
      </c>
      <c r="CS38">
        <f>11.985</f>
        <v>11.984999999999999</v>
      </c>
      <c r="CT38">
        <f>10.044</f>
        <v>10.044</v>
      </c>
      <c r="CU38">
        <f>11.824</f>
        <v>11.824</v>
      </c>
      <c r="CV38">
        <f>11.617</f>
        <v>11.617000000000001</v>
      </c>
      <c r="CW38">
        <f>11.395</f>
        <v>11.395</v>
      </c>
      <c r="CX38">
        <f>11.437</f>
        <v>11.436999999999999</v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>
      <c r="A39" t="str">
        <f>"总收入"</f>
        <v>总收入</v>
      </c>
      <c r="B39" t="str">
        <f>""</f>
        <v/>
      </c>
      <c r="E39" t="str">
        <f>"Median"</f>
        <v>Median</v>
      </c>
      <c r="F39" t="str">
        <f ca="1">IF(ISERROR(IF(MEDIAN($F$40:$F$50) = 0, "", MEDIAN($F$40:$F$50))), "", (IF(MEDIAN($F$40:$F$50) = 0, "", MEDIAN($F$40:$F$50))))</f>
        <v/>
      </c>
      <c r="G39">
        <f ca="1">IF(ISERROR(IF(MEDIAN($G$40:$G$50) = 0, "", MEDIAN($G$40:$G$50))), "", (IF(MEDIAN($G$40:$G$50) = 0, "", MEDIAN($G$40:$G$50))))</f>
        <v>249.88599999999997</v>
      </c>
      <c r="H39">
        <f ca="1">IF(ISERROR(IF(MEDIAN($H$40:$H$50) = 0, "", MEDIAN($H$40:$H$50))), "", (IF(MEDIAN($H$40:$H$50) = 0, "", MEDIAN($H$40:$H$50))))</f>
        <v>243.1585</v>
      </c>
      <c r="I39">
        <f ca="1">IF(ISERROR(IF(MEDIAN($I$40:$I$50) = 0, "", MEDIAN($I$40:$I$50))), "", (IF(MEDIAN($I$40:$I$50) = 0, "", MEDIAN($I$40:$I$50))))</f>
        <v>235.797</v>
      </c>
      <c r="J39">
        <f ca="1">IF(ISERROR(IF(MEDIAN($J$40:$J$50) = 0, "", MEDIAN($J$40:$J$50))), "", (IF(MEDIAN($J$40:$J$50) = 0, "", MEDIAN($J$40:$J$50))))</f>
        <v>231.744</v>
      </c>
      <c r="K39">
        <f ca="1">IF(ISERROR(IF(MEDIAN($K$40:$K$50) = 0, "", MEDIAN($K$40:$K$50))), "", (IF(MEDIAN($K$40:$K$50) = 0, "", MEDIAN($K$40:$K$50))))</f>
        <v>234.48599999999999</v>
      </c>
      <c r="L39">
        <f ca="1">IF(ISERROR(IF(MEDIAN($L$40:$L$50) = 0, "", MEDIAN($L$40:$L$50))), "", (IF(MEDIAN($L$40:$L$50) = 0, "", MEDIAN($L$40:$L$50))))</f>
        <v>224.63800000000001</v>
      </c>
      <c r="M39">
        <f ca="1">IF(ISERROR(IF(MEDIAN($M$40:$M$50) = 0, "", MEDIAN($M$40:$M$50))), "", (IF(MEDIAN($M$40:$M$50) = 0, "", MEDIAN($M$40:$M$50))))</f>
        <v>226.07599999999999</v>
      </c>
      <c r="N39">
        <f ca="1">IF(ISERROR(IF(MEDIAN($N$40:$N$50) = 0, "", MEDIAN($N$40:$N$50))), "", (IF(MEDIAN($N$40:$N$50) = 0, "", MEDIAN($N$40:$N$50))))</f>
        <v>212.87899999999999</v>
      </c>
      <c r="O39">
        <f ca="1">IF(ISERROR(IF(MEDIAN($O$40:$O$50) = 0, "", MEDIAN($O$40:$O$50))), "", (IF(MEDIAN($O$40:$O$50) = 0, "", MEDIAN($O$40:$O$50))))</f>
        <v>210.512</v>
      </c>
      <c r="P39">
        <f ca="1">IF(ISERROR(IF(MEDIAN($P$40:$P$50) = 0, "", MEDIAN($P$40:$P$50))), "", (IF(MEDIAN($P$40:$P$50) = 0, "", MEDIAN($P$40:$P$50))))</f>
        <v>201.97399999999999</v>
      </c>
      <c r="Q39">
        <f ca="1">IF(ISERROR(IF(MEDIAN($Q$40:$Q$50) = 0, "", MEDIAN($Q$40:$Q$50))), "", (IF(MEDIAN($Q$40:$Q$50) = 0, "", MEDIAN($Q$40:$Q$50))))</f>
        <v>197.71100000000001</v>
      </c>
      <c r="R39">
        <f ca="1">IF(ISERROR(IF(MEDIAN($R$40:$R$50) = 0, "", MEDIAN($R$40:$R$50))), "", (IF(MEDIAN($R$40:$R$50) = 0, "", MEDIAN($R$40:$R$50))))</f>
        <v>165.0865</v>
      </c>
      <c r="S39">
        <f ca="1">IF(ISERROR(IF(MEDIAN($S$40:$S$50) = 0, "", MEDIAN($S$40:$S$50))), "", (IF(MEDIAN($S$40:$S$50) = 0, "", MEDIAN($S$40:$S$50))))</f>
        <v>159.9975</v>
      </c>
      <c r="T39">
        <f ca="1">IF(ISERROR(IF(MEDIAN($T$40:$T$50) = 0, "", MEDIAN($T$40:$T$50))), "", (IF(MEDIAN($T$40:$T$50) = 0, "", MEDIAN($T$40:$T$50))))</f>
        <v>158.13999999999999</v>
      </c>
      <c r="U39">
        <f ca="1">IF(ISERROR(IF(MEDIAN($U$40:$U$50) = 0, "", MEDIAN($U$40:$U$50))), "", (IF(MEDIAN($U$40:$U$50) = 0, "", MEDIAN($U$40:$U$50))))</f>
        <v>149.101</v>
      </c>
      <c r="V39">
        <f ca="1">IF(ISERROR(IF(MEDIAN($V$40:$V$50) = 0, "", MEDIAN($V$40:$V$50))), "", (IF(MEDIAN($V$40:$V$50) = 0, "", MEDIAN($V$40:$V$50))))</f>
        <v>148.59350000000001</v>
      </c>
      <c r="W39">
        <f ca="1">IF(ISERROR(IF(MEDIAN($W$40:$W$50) = 0, "", MEDIAN($W$40:$W$50))), "", (IF(MEDIAN($W$40:$W$50) = 0, "", MEDIAN($W$40:$W$50))))</f>
        <v>139.98000000000002</v>
      </c>
      <c r="X39">
        <f ca="1">IF(ISERROR(IF(MEDIAN($X$40:$X$50) = 0, "", MEDIAN($X$40:$X$50))), "", (IF(MEDIAN($X$40:$X$50) = 0, "", MEDIAN($X$40:$X$50))))</f>
        <v>130.80799999999999</v>
      </c>
      <c r="Y39">
        <f ca="1">IF(ISERROR(IF(MEDIAN($Y$40:$Y$50) = 0, "", MEDIAN($Y$40:$Y$50))), "", (IF(MEDIAN($Y$40:$Y$50) = 0, "", MEDIAN($Y$40:$Y$50))))</f>
        <v>128.2225</v>
      </c>
      <c r="Z39">
        <f ca="1">IF(ISERROR(IF(MEDIAN($Z$40:$Z$50) = 0, "", MEDIAN($Z$40:$Z$50))), "", (IF(MEDIAN($Z$40:$Z$50) = 0, "", MEDIAN($Z$40:$Z$50))))</f>
        <v>125.922</v>
      </c>
      <c r="AA39">
        <f ca="1">IF(ISERROR(IF(MEDIAN($AA$40:$AA$50) = 0, "", MEDIAN($AA$40:$AA$50))), "", (IF(MEDIAN($AA$40:$AA$50) = 0, "", MEDIAN($AA$40:$AA$50))))</f>
        <v>123.133</v>
      </c>
      <c r="AB39">
        <f ca="1">IF(ISERROR(IF(MEDIAN($AB$40:$AB$50) = 0, "", MEDIAN($AB$40:$AB$50))), "", (IF(MEDIAN($AB$40:$AB$50) = 0, "", MEDIAN($AB$40:$AB$50))))</f>
        <v>114.979</v>
      </c>
      <c r="AC39">
        <f ca="1">IF(ISERROR(IF(MEDIAN($AC$40:$AC$50) = 0, "", MEDIAN($AC$40:$AC$50))), "", (IF(MEDIAN($AC$40:$AC$50) = 0, "", MEDIAN($AC$40:$AC$50))))</f>
        <v>114.10900000000001</v>
      </c>
      <c r="AD39">
        <f ca="1">IF(ISERROR(IF(MEDIAN($AD$40:$AD$50) = 0, "", MEDIAN($AD$40:$AD$50))), "", (IF(MEDIAN($AD$40:$AD$50) = 0, "", MEDIAN($AD$40:$AD$50))))</f>
        <v>110.113</v>
      </c>
      <c r="AE39">
        <f ca="1">IF(ISERROR(IF(MEDIAN($AE$40:$AE$50) = 0, "", MEDIAN($AE$40:$AE$50))), "", (IF(MEDIAN($AE$40:$AE$50) = 0, "", MEDIAN($AE$40:$AE$50))))</f>
        <v>106.45350000000001</v>
      </c>
      <c r="AF39">
        <f ca="1">IF(ISERROR(IF(MEDIAN($AF$40:$AF$50) = 0, "", MEDIAN($AF$40:$AF$50))), "", (IF(MEDIAN($AF$40:$AF$50) = 0, "", MEDIAN($AF$40:$AF$50))))</f>
        <v>93.770499999999998</v>
      </c>
      <c r="AG39">
        <f ca="1">IF(ISERROR(IF(MEDIAN($AG$40:$AG$50) = 0, "", MEDIAN($AG$40:$AG$50))), "", (IF(MEDIAN($AG$40:$AG$50) = 0, "", MEDIAN($AG$40:$AG$50))))</f>
        <v>86.884</v>
      </c>
      <c r="AH39">
        <f ca="1">IF(ISERROR(IF(MEDIAN($AH$40:$AH$50) = 0, "", MEDIAN($AH$40:$AH$50))), "", (IF(MEDIAN($AH$40:$AH$50) = 0, "", MEDIAN($AH$40:$AH$50))))</f>
        <v>85.278000000000006</v>
      </c>
      <c r="AI39">
        <f ca="1">IF(ISERROR(IF(MEDIAN($AI$40:$AI$50) = 0, "", MEDIAN($AI$40:$AI$50))), "", (IF(MEDIAN($AI$40:$AI$50) = 0, "", MEDIAN($AI$40:$AI$50))))</f>
        <v>97.363</v>
      </c>
      <c r="AJ39">
        <f ca="1">IF(ISERROR(IF(MEDIAN($AJ$40:$AJ$50) = 0, "", MEDIAN($AJ$40:$AJ$50))), "", (IF(MEDIAN($AJ$40:$AJ$50) = 0, "", MEDIAN($AJ$40:$AJ$50))))</f>
        <v>100.63749999999999</v>
      </c>
      <c r="AK39">
        <f ca="1">IF(ISERROR(IF(MEDIAN($AK$40:$AK$50) = 0, "", MEDIAN($AK$40:$AK$50))), "", (IF(MEDIAN($AK$40:$AK$50) = 0, "", MEDIAN($AK$40:$AK$50))))</f>
        <v>98.887500000000003</v>
      </c>
      <c r="AL39">
        <f ca="1">IF(ISERROR(IF(MEDIAN($AL$40:$AL$50) = 0, "", MEDIAN($AL$40:$AL$50))), "", (IF(MEDIAN($AL$40:$AL$50) = 0, "", MEDIAN($AL$40:$AL$50))))</f>
        <v>98.47</v>
      </c>
      <c r="AM39">
        <f ca="1">IF(ISERROR(IF(MEDIAN($AM$40:$AM$50) = 0, "", MEDIAN($AM$40:$AM$50))), "", (IF(MEDIAN($AM$40:$AM$50) = 0, "", MEDIAN($AM$40:$AM$50))))</f>
        <v>115.06</v>
      </c>
      <c r="AN39">
        <f ca="1">IF(ISERROR(IF(MEDIAN($AN$40:$AN$50) = 0, "", MEDIAN($AN$40:$AN$50))), "", (IF(MEDIAN($AN$40:$AN$50) = 0, "", MEDIAN($AN$40:$AN$50))))</f>
        <v>115.82599999999999</v>
      </c>
      <c r="AO39">
        <f ca="1">IF(ISERROR(IF(MEDIAN($AO$40:$AO$50) = 0, "", MEDIAN($AO$40:$AO$50))), "", (IF(MEDIAN($AO$40:$AO$50) = 0, "", MEDIAN($AO$40:$AO$50))))</f>
        <v>121.039</v>
      </c>
      <c r="AP39">
        <f ca="1">IF(ISERROR(IF(MEDIAN($AP$40:$AP$50) = 0, "", MEDIAN($AP$40:$AP$50))), "", (IF(MEDIAN($AP$40:$AP$50) = 0, "", MEDIAN($AP$40:$AP$50))))</f>
        <v>131.559</v>
      </c>
      <c r="AQ39">
        <f ca="1">IF(ISERROR(IF(MEDIAN($AQ$40:$AQ$50) = 0, "", MEDIAN($AQ$40:$AQ$50))), "", (IF(MEDIAN($AQ$40:$AQ$50) = 0, "", MEDIAN($AQ$40:$AQ$50))))</f>
        <v>124.504</v>
      </c>
      <c r="AR39">
        <f ca="1">IF(ISERROR(IF(MEDIAN($AR$40:$AR$50) = 0, "", MEDIAN($AR$40:$AR$50))), "", (IF(MEDIAN($AR$40:$AR$50) = 0, "", MEDIAN($AR$40:$AR$50))))</f>
        <v>112.53100000000001</v>
      </c>
      <c r="AS39">
        <f ca="1">IF(ISERROR(IF(MEDIAN($AS$40:$AS$50) = 0, "", MEDIAN($AS$40:$AS$50))), "", (IF(MEDIAN($AS$40:$AS$50) = 0, "", MEDIAN($AS$40:$AS$50))))</f>
        <v>108.77800000000001</v>
      </c>
      <c r="AT39">
        <f ca="1">IF(ISERROR(IF(MEDIAN($AT$40:$AT$50) = 0, "", MEDIAN($AT$40:$AT$50))), "", (IF(MEDIAN($AT$40:$AT$50) = 0, "", MEDIAN($AT$40:$AT$50))))</f>
        <v>109.562</v>
      </c>
      <c r="AU39">
        <f ca="1">IF(ISERROR(IF(MEDIAN($AU$40:$AU$50) = 0, "", MEDIAN($AU$40:$AU$50))), "", (IF(MEDIAN($AU$40:$AU$50) = 0, "", MEDIAN($AU$40:$AU$50))))</f>
        <v>107.596</v>
      </c>
      <c r="AV39">
        <f ca="1">IF(ISERROR(IF(MEDIAN($AV$40:$AV$50) = 0, "", MEDIAN($AV$40:$AV$50))), "", (IF(MEDIAN($AV$40:$AV$50) = 0, "", MEDIAN($AV$40:$AV$50))))</f>
        <v>102.107</v>
      </c>
      <c r="AW39">
        <f ca="1">IF(ISERROR(IF(MEDIAN($AW$40:$AW$50) = 0, "", MEDIAN($AW$40:$AW$50))), "", (IF(MEDIAN($AW$40:$AW$50) = 0, "", MEDIAN($AW$40:$AW$50))))</f>
        <v>93.769000000000005</v>
      </c>
      <c r="AX39">
        <f ca="1">IF(ISERROR(IF(MEDIAN($AX$40:$AX$50) = 0, "", MEDIAN($AX$40:$AX$50))), "", (IF(MEDIAN($AX$40:$AX$50) = 0, "", MEDIAN($AX$40:$AX$50))))</f>
        <v>94.786000000000001</v>
      </c>
      <c r="AY39">
        <f ca="1">IF(ISERROR(IF(MEDIAN($AY$40:$AY$50) = 0, "", MEDIAN($AY$40:$AY$50))), "", (IF(MEDIAN($AY$40:$AY$50) = 0, "", MEDIAN($AY$40:$AY$50))))</f>
        <v>87.787000000000006</v>
      </c>
      <c r="AZ39">
        <f ca="1">IF(ISERROR(IF(MEDIAN($AZ$40:$AZ$50) = 0, "", MEDIAN($AZ$40:$AZ$50))), "", (IF(MEDIAN($AZ$40:$AZ$50) = 0, "", MEDIAN($AZ$40:$AZ$50))))</f>
        <v>66.535499999999999</v>
      </c>
      <c r="BA39">
        <f ca="1">IF(ISERROR(IF(MEDIAN($BA$40:$BA$50) = 0, "", MEDIAN($BA$40:$BA$50))), "", (IF(MEDIAN($BA$40:$BA$50) = 0, "", MEDIAN($BA$40:$BA$50))))</f>
        <v>62.424999999999997</v>
      </c>
      <c r="BB39">
        <f ca="1">IF(ISERROR(IF(MEDIAN($BB$40:$BB$50) = 0, "", MEDIAN($BB$40:$BB$50))), "", (IF(MEDIAN($BB$40:$BB$50) = 0, "", MEDIAN($BB$40:$BB$50))))</f>
        <v>60.0685</v>
      </c>
      <c r="BC39">
        <f ca="1">IF(ISERROR(IF(MEDIAN($BC$40:$BC$50) = 0, "", MEDIAN($BC$40:$BC$50))), "", (IF(MEDIAN($BC$40:$BC$50) = 0, "", MEDIAN($BC$40:$BC$50))))</f>
        <v>65.001000000000005</v>
      </c>
      <c r="BD39">
        <f ca="1">IF(ISERROR(IF(MEDIAN($BD$40:$BD$50) = 0, "", MEDIAN($BD$40:$BD$50))), "", (IF(MEDIAN($BD$40:$BD$50) = 0, "", MEDIAN($BD$40:$BD$50))))</f>
        <v>63.850999999999999</v>
      </c>
      <c r="BE39">
        <f ca="1">IF(ISERROR(IF(MEDIAN($BE$40:$BE$50) = 0, "", MEDIAN($BE$40:$BE$50))), "", (IF(MEDIAN($BE$40:$BE$50) = 0, "", MEDIAN($BE$40:$BE$50))))</f>
        <v>58.620000000000005</v>
      </c>
      <c r="BF39">
        <f ca="1">IF(ISERROR(IF(MEDIAN($BF$40:$BF$50) = 0, "", MEDIAN($BF$40:$BF$50))), "", (IF(MEDIAN($BF$40:$BF$50) = 0, "", MEDIAN($BF$40:$BF$50))))</f>
        <v>57.483000000000004</v>
      </c>
      <c r="BG39">
        <f ca="1">IF(ISERROR(IF(MEDIAN($BG$40:$BG$50) = 0, "", MEDIAN($BG$40:$BG$50))), "", (IF(MEDIAN($BG$40:$BG$50) = 0, "", MEDIAN($BG$40:$BG$50))))</f>
        <v>55.131</v>
      </c>
      <c r="BH39">
        <f ca="1">IF(ISERROR(IF(MEDIAN($BH$40:$BH$50) = 0, "", MEDIAN($BH$40:$BH$50))), "", (IF(MEDIAN($BH$40:$BH$50) = 0, "", MEDIAN($BH$40:$BH$50))))</f>
        <v>59.783999999999999</v>
      </c>
      <c r="BI39">
        <f ca="1">IF(ISERROR(IF(MEDIAN($BI$40:$BI$50) = 0, "", MEDIAN($BI$40:$BI$50))), "", (IF(MEDIAN($BI$40:$BI$50) = 0, "", MEDIAN($BI$40:$BI$50))))</f>
        <v>55.944000000000003</v>
      </c>
      <c r="BJ39">
        <f ca="1">IF(ISERROR(IF(MEDIAN($BJ$40:$BJ$50) = 0, "", MEDIAN($BJ$40:$BJ$50))), "", (IF(MEDIAN($BJ$40:$BJ$50) = 0, "", MEDIAN($BJ$40:$BJ$50))))</f>
        <v>48.793999999999997</v>
      </c>
      <c r="BK39">
        <f ca="1">IF(ISERROR(IF(MEDIAN($BK$40:$BK$50) = 0, "", MEDIAN($BK$40:$BK$50))), "", (IF(MEDIAN($BK$40:$BK$50) = 0, "", MEDIAN($BK$40:$BK$50))))</f>
        <v>39.287999999999997</v>
      </c>
      <c r="BL39">
        <f ca="1">IF(ISERROR(IF(MEDIAN($BL$40:$BL$50) = 0, "", MEDIAN($BL$40:$BL$50))), "", (IF(MEDIAN($BL$40:$BL$50) = 0, "", MEDIAN($BL$40:$BL$50))))</f>
        <v>48.076000209999997</v>
      </c>
      <c r="BM39">
        <f ca="1">IF(ISERROR(IF(MEDIAN($BM$40:$BM$50) = 0, "", MEDIAN($BM$40:$BM$50))), "", (IF(MEDIAN($BM$40:$BM$50) = 0, "", MEDIAN($BM$40:$BM$50))))</f>
        <v>44.822000000000003</v>
      </c>
      <c r="BN39" t="str">
        <f>""</f>
        <v/>
      </c>
      <c r="BO39">
        <f>249.886</f>
        <v>249.886</v>
      </c>
      <c r="BP39">
        <f>243.1585</f>
        <v>243.1585</v>
      </c>
      <c r="BQ39">
        <f>235.797</f>
        <v>235.797</v>
      </c>
      <c r="BR39">
        <f>231.744</f>
        <v>231.744</v>
      </c>
      <c r="BS39">
        <f>234.486</f>
        <v>234.48599999999999</v>
      </c>
      <c r="BT39">
        <f>224.638</f>
        <v>224.63800000000001</v>
      </c>
      <c r="BU39">
        <f>226.076</f>
        <v>226.07599999999999</v>
      </c>
      <c r="BV39">
        <f>212.879</f>
        <v>212.87899999999999</v>
      </c>
      <c r="BW39">
        <f>210.512</f>
        <v>210.512</v>
      </c>
      <c r="BX39">
        <f>201.974</f>
        <v>201.97399999999999</v>
      </c>
      <c r="BY39">
        <f>197.711</f>
        <v>197.71100000000001</v>
      </c>
      <c r="BZ39">
        <f>165.0865</f>
        <v>165.0865</v>
      </c>
      <c r="CA39">
        <f>159.9975</f>
        <v>159.9975</v>
      </c>
      <c r="CB39">
        <f>158.14</f>
        <v>158.13999999999999</v>
      </c>
      <c r="CC39">
        <f>149.101</f>
        <v>149.101</v>
      </c>
      <c r="CD39">
        <f>148.5935</f>
        <v>148.59350000000001</v>
      </c>
      <c r="CE39">
        <f>139.98</f>
        <v>139.97999999999999</v>
      </c>
      <c r="CF39">
        <f>130.808</f>
        <v>130.80799999999999</v>
      </c>
      <c r="CG39">
        <f>128.2225</f>
        <v>128.2225</v>
      </c>
      <c r="CH39">
        <f>125.922</f>
        <v>125.922</v>
      </c>
      <c r="CI39">
        <f>123.133</f>
        <v>123.133</v>
      </c>
      <c r="CJ39">
        <f>114.979</f>
        <v>114.979</v>
      </c>
      <c r="CK39">
        <f>114.109</f>
        <v>114.10899999999999</v>
      </c>
      <c r="CL39">
        <f>110.113</f>
        <v>110.113</v>
      </c>
      <c r="CM39">
        <f>106.4535</f>
        <v>106.45350000000001</v>
      </c>
      <c r="CN39">
        <f>93.7705</f>
        <v>93.770499999999998</v>
      </c>
      <c r="CO39">
        <f>86.884</f>
        <v>86.884</v>
      </c>
      <c r="CP39">
        <f>85.278</f>
        <v>85.278000000000006</v>
      </c>
      <c r="CQ39">
        <f>97.363</f>
        <v>97.363</v>
      </c>
      <c r="CR39">
        <f>100.6375</f>
        <v>100.6375</v>
      </c>
      <c r="CS39">
        <f>98.8875</f>
        <v>98.887500000000003</v>
      </c>
      <c r="CT39">
        <f>98.47</f>
        <v>98.47</v>
      </c>
      <c r="CU39">
        <f>115.06</f>
        <v>115.06</v>
      </c>
      <c r="CV39">
        <f>115.826</f>
        <v>115.82599999999999</v>
      </c>
      <c r="CW39">
        <f>121.039</f>
        <v>121.039</v>
      </c>
      <c r="CX39">
        <f>131.559</f>
        <v>131.559</v>
      </c>
      <c r="CY39">
        <f>124.504</f>
        <v>124.504</v>
      </c>
      <c r="CZ39">
        <f>112.531</f>
        <v>112.53100000000001</v>
      </c>
      <c r="DA39">
        <f>108.778</f>
        <v>108.77800000000001</v>
      </c>
      <c r="DB39">
        <f>109.562</f>
        <v>109.562</v>
      </c>
      <c r="DC39">
        <f>107.596</f>
        <v>107.596</v>
      </c>
      <c r="DD39">
        <f>102.107</f>
        <v>102.107</v>
      </c>
      <c r="DE39">
        <f>93.769</f>
        <v>93.769000000000005</v>
      </c>
      <c r="DF39">
        <f>94.786</f>
        <v>94.786000000000001</v>
      </c>
      <c r="DG39">
        <f>87.787</f>
        <v>87.787000000000006</v>
      </c>
      <c r="DH39">
        <f>66.5355</f>
        <v>66.535499999999999</v>
      </c>
      <c r="DI39">
        <f>62.425</f>
        <v>62.424999999999997</v>
      </c>
      <c r="DJ39">
        <f>60.0685</f>
        <v>60.0685</v>
      </c>
      <c r="DK39">
        <f>65.001</f>
        <v>65.001000000000005</v>
      </c>
      <c r="DL39">
        <f>63.851</f>
        <v>63.850999999999999</v>
      </c>
      <c r="DM39">
        <f>58.62</f>
        <v>58.62</v>
      </c>
      <c r="DN39">
        <f>57.483</f>
        <v>57.482999999999997</v>
      </c>
      <c r="DO39">
        <f>55.131</f>
        <v>55.131</v>
      </c>
      <c r="DP39">
        <f>59.784</f>
        <v>59.783999999999999</v>
      </c>
      <c r="DQ39">
        <f>55.944</f>
        <v>55.944000000000003</v>
      </c>
      <c r="DR39">
        <f>48.794</f>
        <v>48.793999999999997</v>
      </c>
      <c r="DS39">
        <f>39.288</f>
        <v>39.287999999999997</v>
      </c>
      <c r="DT39">
        <f>48.07600021</f>
        <v>48.076000209999997</v>
      </c>
      <c r="DU39">
        <f>44.822</f>
        <v>44.822000000000003</v>
      </c>
    </row>
    <row r="40" spans="1:125">
      <c r="A40" t="str">
        <f>"    Alexandria Real Estate Equitie"</f>
        <v xml:space="preserve">    Alexandria Real Estate Equitie</v>
      </c>
      <c r="B40" t="str">
        <f>"ARE US Equity"</f>
        <v>ARE US Equity</v>
      </c>
      <c r="C40" t="str">
        <f t="shared" ref="C40:C50" si="9">"IS010"</f>
        <v>IS010</v>
      </c>
      <c r="D40" t="str">
        <f t="shared" ref="D40:D50" si="10">"SALES_REV_TURN"</f>
        <v>SALES_REV_TURN</v>
      </c>
      <c r="E40" t="str">
        <f t="shared" ref="E40:E50" si="11">"动态"</f>
        <v>动态</v>
      </c>
      <c r="F40" t="str">
        <f ca="1">IF(AND(ISNUMBER($F$293),$B$258=1),$F$293,HLOOKUP(INDIRECT(ADDRESS(2,COLUMN())),OFFSET($BN$2,0,0,ROW()-1,60),ROW()-1,FALSE))</f>
        <v/>
      </c>
      <c r="G40">
        <f ca="1">IF(AND(ISNUMBER($G$293),$B$258=1),$G$293,HLOOKUP(INDIRECT(ADDRESS(2,COLUMN())),OFFSET($BN$2,0,0,ROW()-1,60),ROW()-1,FALSE))</f>
        <v>298.791</v>
      </c>
      <c r="H40">
        <f ca="1">IF(AND(ISNUMBER($H$293),$B$258=1),$H$293,HLOOKUP(INDIRECT(ADDRESS(2,COLUMN())),OFFSET($BN$2,0,0,ROW()-1,60),ROW()-1,FALSE))</f>
        <v>285.37</v>
      </c>
      <c r="I40">
        <f ca="1">IF(AND(ISNUMBER($I$293),$B$258=1),$I$293,HLOOKUP(INDIRECT(ADDRESS(2,COLUMN())),OFFSET($BN$2,0,0,ROW()-1,60),ROW()-1,FALSE))</f>
        <v>273.05900000000003</v>
      </c>
      <c r="J40">
        <f ca="1">IF(AND(ISNUMBER($J$293),$B$258=1),$J$293,HLOOKUP(INDIRECT(ADDRESS(2,COLUMN())),OFFSET($BN$2,0,0,ROW()-1,60),ROW()-1,FALSE))</f>
        <v>270.87700000000001</v>
      </c>
      <c r="K40">
        <f ca="1">IF(AND(ISNUMBER($K$293),$B$258=1),$K$293,HLOOKUP(INDIRECT(ADDRESS(2,COLUMN())),OFFSET($BN$2,0,0,ROW()-1,60),ROW()-1,FALSE))</f>
        <v>249.16200000000001</v>
      </c>
      <c r="L40">
        <f ca="1">IF(AND(ISNUMBER($L$293),$B$258=1),$L$293,HLOOKUP(INDIRECT(ADDRESS(2,COLUMN())),OFFSET($BN$2,0,0,ROW()-1,60),ROW()-1,FALSE))</f>
        <v>230.37899999999999</v>
      </c>
      <c r="M40">
        <f ca="1">IF(AND(ISNUMBER($M$293),$B$258=1),$M$293,HLOOKUP(INDIRECT(ADDRESS(2,COLUMN())),OFFSET($BN$2,0,0,ROW()-1,60),ROW()-1,FALSE))</f>
        <v>226.07599999999999</v>
      </c>
      <c r="N40">
        <f ca="1">IF(AND(ISNUMBER($N$293),$B$258=1),$N$293,HLOOKUP(INDIRECT(ADDRESS(2,COLUMN())),OFFSET($BN$2,0,0,ROW()-1,60),ROW()-1,FALSE))</f>
        <v>216.089</v>
      </c>
      <c r="O40">
        <f ca="1">IF(AND(ISNUMBER($O$293),$B$258=1),$O$293,HLOOKUP(INDIRECT(ADDRESS(2,COLUMN())),OFFSET($BN$2,0,0,ROW()-1,60),ROW()-1,FALSE))</f>
        <v>223.95500000000001</v>
      </c>
      <c r="P40">
        <f ca="1">IF(AND(ISNUMBER($P$293),$B$258=1),$P$293,HLOOKUP(INDIRECT(ADDRESS(2,COLUMN())),OFFSET($BN$2,0,0,ROW()-1,60),ROW()-1,FALSE))</f>
        <v>218.61</v>
      </c>
      <c r="Q40">
        <f ca="1">IF(AND(ISNUMBER($Q$293),$B$258=1),$Q$293,HLOOKUP(INDIRECT(ADDRESS(2,COLUMN())),OFFSET($BN$2,0,0,ROW()-1,60),ROW()-1,FALSE))</f>
        <v>204.15600000000001</v>
      </c>
      <c r="R40">
        <f ca="1">IF(AND(ISNUMBER($R$293),$B$258=1),$R$293,HLOOKUP(INDIRECT(ADDRESS(2,COLUMN())),OFFSET($BN$2,0,0,ROW()-1,60),ROW()-1,FALSE))</f>
        <v>196.75299999999999</v>
      </c>
      <c r="S40">
        <f ca="1">IF(AND(ISNUMBER($S$293),$B$258=1),$S$293,HLOOKUP(INDIRECT(ADDRESS(2,COLUMN())),OFFSET($BN$2,0,0,ROW()-1,60),ROW()-1,FALSE))</f>
        <v>188.67400000000001</v>
      </c>
      <c r="T40">
        <f ca="1">IF(AND(ISNUMBER($T$293),$B$258=1),$T$293,HLOOKUP(INDIRECT(ADDRESS(2,COLUMN())),OFFSET($BN$2,0,0,ROW()-1,60),ROW()-1,FALSE))</f>
        <v>185.61500000000001</v>
      </c>
      <c r="U40">
        <f ca="1">IF(AND(ISNUMBER($U$293),$B$258=1),$U$293,HLOOKUP(INDIRECT(ADDRESS(2,COLUMN())),OFFSET($BN$2,0,0,ROW()-1,60),ROW()-1,FALSE))</f>
        <v>176.40199999999999</v>
      </c>
      <c r="V40">
        <f ca="1">IF(AND(ISNUMBER($V$293),$B$258=1),$V$293,HLOOKUP(INDIRECT(ADDRESS(2,COLUMN())),OFFSET($BN$2,0,0,ROW()-1,60),ROW()-1,FALSE))</f>
        <v>176.18600000000001</v>
      </c>
      <c r="W40">
        <f ca="1">IF(AND(ISNUMBER($W$293),$B$258=1),$W$293,HLOOKUP(INDIRECT(ADDRESS(2,COLUMN())),OFFSET($BN$2,0,0,ROW()-1,60),ROW()-1,FALSE))</f>
        <v>168.82300000000001</v>
      </c>
      <c r="X40">
        <f ca="1">IF(AND(ISNUMBER($X$293),$B$258=1),$X$293,HLOOKUP(INDIRECT(ADDRESS(2,COLUMN())),OFFSET($BN$2,0,0,ROW()-1,60),ROW()-1,FALSE))</f>
        <v>158.315</v>
      </c>
      <c r="Y40">
        <f ca="1">IF(AND(ISNUMBER($Y$293),$B$258=1),$Y$293,HLOOKUP(INDIRECT(ADDRESS(2,COLUMN())),OFFSET($BN$2,0,0,ROW()-1,60),ROW()-1,FALSE))</f>
        <v>153.93</v>
      </c>
      <c r="Z40">
        <f ca="1">IF(AND(ISNUMBER($Z$293),$B$258=1),$Z$293,HLOOKUP(INDIRECT(ADDRESS(2,COLUMN())),OFFSET($BN$2,0,0,ROW()-1,60),ROW()-1,FALSE))</f>
        <v>150.083</v>
      </c>
      <c r="AA40">
        <f ca="1">IF(AND(ISNUMBER($AA$293),$B$258=1),$AA$293,HLOOKUP(INDIRECT(ADDRESS(2,COLUMN())),OFFSET($BN$2,0,0,ROW()-1,60),ROW()-1,FALSE))</f>
        <v>151.25399999999999</v>
      </c>
      <c r="AB40">
        <f ca="1">IF(AND(ISNUMBER($AB$293),$B$258=1),$AB$293,HLOOKUP(INDIRECT(ADDRESS(2,COLUMN())),OFFSET($BN$2,0,0,ROW()-1,60),ROW()-1,FALSE))</f>
        <v>142.85</v>
      </c>
      <c r="AC40">
        <f ca="1">IF(AND(ISNUMBER($AC$293),$B$258=1),$AC$293,HLOOKUP(INDIRECT(ADDRESS(2,COLUMN())),OFFSET($BN$2,0,0,ROW()-1,60),ROW()-1,FALSE))</f>
        <v>145.59299999999999</v>
      </c>
      <c r="AD40">
        <f ca="1">IF(AND(ISNUMBER($AD$293),$B$258=1),$AD$293,HLOOKUP(INDIRECT(ADDRESS(2,COLUMN())),OFFSET($BN$2,0,0,ROW()-1,60),ROW()-1,FALSE))</f>
        <v>135.71100000000001</v>
      </c>
      <c r="AE40">
        <f ca="1">IF(AND(ISNUMBER($AE$293),$B$258=1),$AE$293,HLOOKUP(INDIRECT(ADDRESS(2,COLUMN())),OFFSET($BN$2,0,0,ROW()-1,60),ROW()-1,FALSE))</f>
        <v>139.249</v>
      </c>
      <c r="AF40">
        <f ca="1">IF(AND(ISNUMBER($AF$293),$B$258=1),$AF$293,HLOOKUP(INDIRECT(ADDRESS(2,COLUMN())),OFFSET($BN$2,0,0,ROW()-1,60),ROW()-1,FALSE))</f>
        <v>138.054</v>
      </c>
      <c r="AG40">
        <f ca="1">IF(AND(ISNUMBER($AG$293),$B$258=1),$AG$293,HLOOKUP(INDIRECT(ADDRESS(2,COLUMN())),OFFSET($BN$2,0,0,ROW()-1,60),ROW()-1,FALSE))</f>
        <v>143.321</v>
      </c>
      <c r="AH40">
        <f ca="1">IF(AND(ISNUMBER($AH$293),$B$258=1),$AH$293,HLOOKUP(INDIRECT(ADDRESS(2,COLUMN())),OFFSET($BN$2,0,0,ROW()-1,60),ROW()-1,FALSE))</f>
        <v>139.91999999999999</v>
      </c>
      <c r="AI40">
        <f ca="1">IF(AND(ISNUMBER($AI$293),$B$258=1),$AI$293,HLOOKUP(INDIRECT(ADDRESS(2,COLUMN())),OFFSET($BN$2,0,0,ROW()-1,60),ROW()-1,FALSE))</f>
        <v>131.77799999999999</v>
      </c>
      <c r="AJ40">
        <f ca="1">IF(AND(ISNUMBER($AJ$293),$B$258=1),$AJ$293,HLOOKUP(INDIRECT(ADDRESS(2,COLUMN())),OFFSET($BN$2,0,0,ROW()-1,60),ROW()-1,FALSE))</f>
        <v>120.31399999999999</v>
      </c>
      <c r="AK40">
        <f ca="1">IF(AND(ISNUMBER($AK$293),$B$258=1),$AK$293,HLOOKUP(INDIRECT(ADDRESS(2,COLUMN())),OFFSET($BN$2,0,0,ROW()-1,60),ROW()-1,FALSE))</f>
        <v>117.01</v>
      </c>
      <c r="AL40">
        <f ca="1">IF(AND(ISNUMBER($AL$293),$B$258=1),$AL$293,HLOOKUP(INDIRECT(ADDRESS(2,COLUMN())),OFFSET($BN$2,0,0,ROW()-1,60),ROW()-1,FALSE))</f>
        <v>116.49299999999999</v>
      </c>
      <c r="AM40">
        <f ca="1">IF(AND(ISNUMBER($AM$293),$B$258=1),$AM$293,HLOOKUP(INDIRECT(ADDRESS(2,COLUMN())),OFFSET($BN$2,0,0,ROW()-1,60),ROW()-1,FALSE))</f>
        <v>115.06</v>
      </c>
      <c r="AN40">
        <f ca="1">IF(AND(ISNUMBER($AN$293),$B$258=1),$AN$293,HLOOKUP(INDIRECT(ADDRESS(2,COLUMN())),OFFSET($BN$2,0,0,ROW()-1,60),ROW()-1,FALSE))</f>
        <v>115.82599999999999</v>
      </c>
      <c r="AO40">
        <f ca="1">IF(AND(ISNUMBER($AO$293),$B$258=1),$AO$293,HLOOKUP(INDIRECT(ADDRESS(2,COLUMN())),OFFSET($BN$2,0,0,ROW()-1,60),ROW()-1,FALSE))</f>
        <v>121.039</v>
      </c>
      <c r="AP40">
        <f ca="1">IF(AND(ISNUMBER($AP$293),$B$258=1),$AP$293,HLOOKUP(INDIRECT(ADDRESS(2,COLUMN())),OFFSET($BN$2,0,0,ROW()-1,60),ROW()-1,FALSE))</f>
        <v>131.559</v>
      </c>
      <c r="AQ40">
        <f ca="1">IF(AND(ISNUMBER($AQ$293),$B$258=1),$AQ$293,HLOOKUP(INDIRECT(ADDRESS(2,COLUMN())),OFFSET($BN$2,0,0,ROW()-1,60),ROW()-1,FALSE))</f>
        <v>124.504</v>
      </c>
      <c r="AR40">
        <f ca="1">IF(AND(ISNUMBER($AR$293),$B$258=1),$AR$293,HLOOKUP(INDIRECT(ADDRESS(2,COLUMN())),OFFSET($BN$2,0,0,ROW()-1,60),ROW()-1,FALSE))</f>
        <v>112.53100000000001</v>
      </c>
      <c r="AS40">
        <f ca="1">IF(AND(ISNUMBER($AS$293),$B$258=1),$AS$293,HLOOKUP(INDIRECT(ADDRESS(2,COLUMN())),OFFSET($BN$2,0,0,ROW()-1,60),ROW()-1,FALSE))</f>
        <v>108.77800000000001</v>
      </c>
      <c r="AT40">
        <f ca="1">IF(AND(ISNUMBER($AT$293),$B$258=1),$AT$293,HLOOKUP(INDIRECT(ADDRESS(2,COLUMN())),OFFSET($BN$2,0,0,ROW()-1,60),ROW()-1,FALSE))</f>
        <v>109.562</v>
      </c>
      <c r="AU40">
        <f ca="1">IF(AND(ISNUMBER($AU$293),$B$258=1),$AU$293,HLOOKUP(INDIRECT(ADDRESS(2,COLUMN())),OFFSET($BN$2,0,0,ROW()-1,60),ROW()-1,FALSE))</f>
        <v>107.596</v>
      </c>
      <c r="AV40">
        <f ca="1">IF(AND(ISNUMBER($AV$293),$B$258=1),$AV$293,HLOOKUP(INDIRECT(ADDRESS(2,COLUMN())),OFFSET($BN$2,0,0,ROW()-1,60),ROW()-1,FALSE))</f>
        <v>102.107</v>
      </c>
      <c r="AW40">
        <f ca="1">IF(AND(ISNUMBER($AW$293),$B$258=1),$AW$293,HLOOKUP(INDIRECT(ADDRESS(2,COLUMN())),OFFSET($BN$2,0,0,ROW()-1,60),ROW()-1,FALSE))</f>
        <v>93.769000000000005</v>
      </c>
      <c r="AX40">
        <f ca="1">IF(AND(ISNUMBER($AX$293),$B$258=1),$AX$293,HLOOKUP(INDIRECT(ADDRESS(2,COLUMN())),OFFSET($BN$2,0,0,ROW()-1,60),ROW()-1,FALSE))</f>
        <v>94.786000000000001</v>
      </c>
      <c r="AY40">
        <f ca="1">IF(AND(ISNUMBER($AY$293),$B$258=1),$AY$293,HLOOKUP(INDIRECT(ADDRESS(2,COLUMN())),OFFSET($BN$2,0,0,ROW()-1,60),ROW()-1,FALSE))</f>
        <v>91.906999999999996</v>
      </c>
      <c r="AZ40">
        <f ca="1">IF(AND(ISNUMBER($AZ$293),$B$258=1),$AZ$293,HLOOKUP(INDIRECT(ADDRESS(2,COLUMN())),OFFSET($BN$2,0,0,ROW()-1,60),ROW()-1,FALSE))</f>
        <v>84.754000000000005</v>
      </c>
      <c r="BA40">
        <f ca="1">IF(AND(ISNUMBER($BA$293),$B$258=1),$BA$293,HLOOKUP(INDIRECT(ADDRESS(2,COLUMN())),OFFSET($BN$2,0,0,ROW()-1,60),ROW()-1,FALSE))</f>
        <v>70.186999999999998</v>
      </c>
      <c r="BB40">
        <f ca="1">IF(AND(ISNUMBER($BB$293),$B$258=1),$BB$293,HLOOKUP(INDIRECT(ADDRESS(2,COLUMN())),OFFSET($BN$2,0,0,ROW()-1,60),ROW()-1,FALSE))</f>
        <v>68.283000000000001</v>
      </c>
      <c r="BC40">
        <f ca="1">IF(AND(ISNUMBER($BC$293),$B$258=1),$BC$293,HLOOKUP(INDIRECT(ADDRESS(2,COLUMN())),OFFSET($BN$2,0,0,ROW()-1,60),ROW()-1,FALSE))</f>
        <v>63.78</v>
      </c>
      <c r="BD40">
        <f ca="1">IF(AND(ISNUMBER($BD$293),$B$258=1),$BD$293,HLOOKUP(INDIRECT(ADDRESS(2,COLUMN())),OFFSET($BN$2,0,0,ROW()-1,60),ROW()-1,FALSE))</f>
        <v>62.026000000000003</v>
      </c>
      <c r="BE40">
        <f ca="1">IF(AND(ISNUMBER($BE$293),$B$258=1),$BE$293,HLOOKUP(INDIRECT(ADDRESS(2,COLUMN())),OFFSET($BN$2,0,0,ROW()-1,60),ROW()-1,FALSE))</f>
        <v>57.277000000000001</v>
      </c>
      <c r="BF40">
        <f ca="1">IF(AND(ISNUMBER($BF$293),$B$258=1),$BF$293,HLOOKUP(INDIRECT(ADDRESS(2,COLUMN())),OFFSET($BN$2,0,0,ROW()-1,60),ROW()-1,FALSE))</f>
        <v>55.055</v>
      </c>
      <c r="BG40">
        <f ca="1">IF(AND(ISNUMBER($BG$293),$B$258=1),$BG$293,HLOOKUP(INDIRECT(ADDRESS(2,COLUMN())),OFFSET($BN$2,0,0,ROW()-1,60),ROW()-1,FALSE))</f>
        <v>50.475999999999999</v>
      </c>
      <c r="BH40">
        <f ca="1">IF(AND(ISNUMBER($BH$293),$B$258=1),$BH$293,HLOOKUP(INDIRECT(ADDRESS(2,COLUMN())),OFFSET($BN$2,0,0,ROW()-1,60),ROW()-1,FALSE))</f>
        <v>46.459000000000003</v>
      </c>
      <c r="BI40">
        <f ca="1">IF(AND(ISNUMBER($BI$293),$B$258=1),$BI$293,HLOOKUP(INDIRECT(ADDRESS(2,COLUMN())),OFFSET($BN$2,0,0,ROW()-1,60),ROW()-1,FALSE))</f>
        <v>43.523000000000003</v>
      </c>
      <c r="BJ40">
        <f ca="1">IF(AND(ISNUMBER($BJ$293),$B$258=1),$BJ$293,HLOOKUP(INDIRECT(ADDRESS(2,COLUMN())),OFFSET($BN$2,0,0,ROW()-1,60),ROW()-1,FALSE))</f>
        <v>42.774999999999999</v>
      </c>
      <c r="BK40">
        <f ca="1">IF(AND(ISNUMBER($BK$293),$B$258=1),$BK$293,HLOOKUP(INDIRECT(ADDRESS(2,COLUMN())),OFFSET($BN$2,0,0,ROW()-1,60),ROW()-1,FALSE))</f>
        <v>39.104999999999997</v>
      </c>
      <c r="BL40">
        <f ca="1">IF(AND(ISNUMBER($BL$293),$B$258=1),$BL$293,HLOOKUP(INDIRECT(ADDRESS(2,COLUMN())),OFFSET($BN$2,0,0,ROW()-1,60),ROW()-1,FALSE))</f>
        <v>40.085000000000001</v>
      </c>
      <c r="BM40">
        <f ca="1">IF(AND(ISNUMBER($BM$293),$B$258=1),$BM$293,HLOOKUP(INDIRECT(ADDRESS(2,COLUMN())),OFFSET($BN$2,0,0,ROW()-1,60),ROW()-1,FALSE))</f>
        <v>39.456000000000003</v>
      </c>
      <c r="BN40" t="str">
        <f>""</f>
        <v/>
      </c>
      <c r="BO40">
        <f>298.791</f>
        <v>298.791</v>
      </c>
      <c r="BP40">
        <f>285.37</f>
        <v>285.37</v>
      </c>
      <c r="BQ40">
        <f>273.059</f>
        <v>273.05900000000003</v>
      </c>
      <c r="BR40">
        <f>270.877</f>
        <v>270.87700000000001</v>
      </c>
      <c r="BS40">
        <f>249.162</f>
        <v>249.16200000000001</v>
      </c>
      <c r="BT40">
        <f>230.379</f>
        <v>230.37899999999999</v>
      </c>
      <c r="BU40">
        <f>226.076</f>
        <v>226.07599999999999</v>
      </c>
      <c r="BV40">
        <f>216.089</f>
        <v>216.089</v>
      </c>
      <c r="BW40">
        <f>223.955</f>
        <v>223.95500000000001</v>
      </c>
      <c r="BX40">
        <f>218.61</f>
        <v>218.61</v>
      </c>
      <c r="BY40">
        <f>204.156</f>
        <v>204.15600000000001</v>
      </c>
      <c r="BZ40">
        <f>196.753</f>
        <v>196.75299999999999</v>
      </c>
      <c r="CA40">
        <f>188.674</f>
        <v>188.67400000000001</v>
      </c>
      <c r="CB40">
        <f>185.615</f>
        <v>185.61500000000001</v>
      </c>
      <c r="CC40">
        <f>176.402</f>
        <v>176.40199999999999</v>
      </c>
      <c r="CD40">
        <f>176.186</f>
        <v>176.18600000000001</v>
      </c>
      <c r="CE40">
        <f>168.823</f>
        <v>168.82300000000001</v>
      </c>
      <c r="CF40">
        <f>158.315</f>
        <v>158.315</v>
      </c>
      <c r="CG40">
        <f>153.93</f>
        <v>153.93</v>
      </c>
      <c r="CH40">
        <f>150.083</f>
        <v>150.083</v>
      </c>
      <c r="CI40">
        <f>151.254</f>
        <v>151.25399999999999</v>
      </c>
      <c r="CJ40">
        <f>142.85</f>
        <v>142.85</v>
      </c>
      <c r="CK40">
        <f>145.593</f>
        <v>145.59299999999999</v>
      </c>
      <c r="CL40">
        <f>135.711</f>
        <v>135.71100000000001</v>
      </c>
      <c r="CM40">
        <f>139.249</f>
        <v>139.249</v>
      </c>
      <c r="CN40">
        <f>138.054</f>
        <v>138.054</v>
      </c>
      <c r="CO40">
        <f>143.321</f>
        <v>143.321</v>
      </c>
      <c r="CP40">
        <f>139.92</f>
        <v>139.91999999999999</v>
      </c>
      <c r="CQ40">
        <f>131.778</f>
        <v>131.77799999999999</v>
      </c>
      <c r="CR40">
        <f>120.314</f>
        <v>120.31399999999999</v>
      </c>
      <c r="CS40">
        <f>117.01</f>
        <v>117.01</v>
      </c>
      <c r="CT40">
        <f>116.493</f>
        <v>116.49299999999999</v>
      </c>
      <c r="CU40">
        <f>115.06</f>
        <v>115.06</v>
      </c>
      <c r="CV40">
        <f>115.826</f>
        <v>115.82599999999999</v>
      </c>
      <c r="CW40">
        <f>121.039</f>
        <v>121.039</v>
      </c>
      <c r="CX40">
        <f>131.559</f>
        <v>131.559</v>
      </c>
      <c r="CY40">
        <f>124.504</f>
        <v>124.504</v>
      </c>
      <c r="CZ40">
        <f>112.531</f>
        <v>112.53100000000001</v>
      </c>
      <c r="DA40">
        <f>108.778</f>
        <v>108.77800000000001</v>
      </c>
      <c r="DB40">
        <f>109.562</f>
        <v>109.562</v>
      </c>
      <c r="DC40">
        <f>107.596</f>
        <v>107.596</v>
      </c>
      <c r="DD40">
        <f>102.107</f>
        <v>102.107</v>
      </c>
      <c r="DE40">
        <f>93.769</f>
        <v>93.769000000000005</v>
      </c>
      <c r="DF40">
        <f>94.786</f>
        <v>94.786000000000001</v>
      </c>
      <c r="DG40">
        <f>91.907</f>
        <v>91.906999999999996</v>
      </c>
      <c r="DH40">
        <f>84.754</f>
        <v>84.754000000000005</v>
      </c>
      <c r="DI40">
        <f>70.187</f>
        <v>70.186999999999998</v>
      </c>
      <c r="DJ40">
        <f>68.283</f>
        <v>68.283000000000001</v>
      </c>
      <c r="DK40">
        <f>63.78</f>
        <v>63.78</v>
      </c>
      <c r="DL40">
        <f>62.026</f>
        <v>62.026000000000003</v>
      </c>
      <c r="DM40">
        <f>57.277</f>
        <v>57.277000000000001</v>
      </c>
      <c r="DN40">
        <f>55.055</f>
        <v>55.055</v>
      </c>
      <c r="DO40">
        <f>50.476</f>
        <v>50.475999999999999</v>
      </c>
      <c r="DP40">
        <f>46.459</f>
        <v>46.459000000000003</v>
      </c>
      <c r="DQ40">
        <f>43.523</f>
        <v>43.523000000000003</v>
      </c>
      <c r="DR40">
        <f>42.775</f>
        <v>42.774999999999999</v>
      </c>
      <c r="DS40">
        <f>39.105</f>
        <v>39.104999999999997</v>
      </c>
      <c r="DT40">
        <f>40.085</f>
        <v>40.085000000000001</v>
      </c>
      <c r="DU40">
        <f>39.456</f>
        <v>39.456000000000003</v>
      </c>
    </row>
    <row r="41" spans="1:125">
      <c r="A41" t="str">
        <f>"    Care Capital Properties Inc"</f>
        <v xml:space="preserve">    Care Capital Properties Inc</v>
      </c>
      <c r="B41" t="str">
        <f>"CCP US Equity"</f>
        <v>CCP US Equity</v>
      </c>
      <c r="C41" t="str">
        <f t="shared" si="9"/>
        <v>IS010</v>
      </c>
      <c r="D41" t="str">
        <f t="shared" si="10"/>
        <v>SALES_REV_TURN</v>
      </c>
      <c r="E41" t="str">
        <f t="shared" si="11"/>
        <v>动态</v>
      </c>
      <c r="F41" t="str">
        <f ca="1">IF(AND(ISNUMBER($F$294),$B$258=1),$F$294,HLOOKUP(INDIRECT(ADDRESS(2,COLUMN())),OFFSET($BN$2,0,0,ROW()-1,60),ROW()-1,FALSE))</f>
        <v/>
      </c>
      <c r="G41" t="str">
        <f ca="1">IF(AND(ISNUMBER($G$294),$B$258=1),$G$294,HLOOKUP(INDIRECT(ADDRESS(2,COLUMN())),OFFSET($BN$2,0,0,ROW()-1,60),ROW()-1,FALSE))</f>
        <v/>
      </c>
      <c r="H41" t="str">
        <f ca="1">IF(AND(ISNUMBER($H$294),$B$258=1),$H$294,HLOOKUP(INDIRECT(ADDRESS(2,COLUMN())),OFFSET($BN$2,0,0,ROW()-1,60),ROW()-1,FALSE))</f>
        <v/>
      </c>
      <c r="I41">
        <f ca="1">IF(AND(ISNUMBER($I$294),$B$258=1),$I$294,HLOOKUP(INDIRECT(ADDRESS(2,COLUMN())),OFFSET($BN$2,0,0,ROW()-1,60),ROW()-1,FALSE))</f>
        <v>88.805000000000007</v>
      </c>
      <c r="J41">
        <f ca="1">IF(AND(ISNUMBER($J$294),$B$258=1),$J$294,HLOOKUP(INDIRECT(ADDRESS(2,COLUMN())),OFFSET($BN$2,0,0,ROW()-1,60),ROW()-1,FALSE))</f>
        <v>81.715999999999994</v>
      </c>
      <c r="K41">
        <f ca="1">IF(AND(ISNUMBER($K$294),$B$258=1),$K$294,HLOOKUP(INDIRECT(ADDRESS(2,COLUMN())),OFFSET($BN$2,0,0,ROW()-1,60),ROW()-1,FALSE))</f>
        <v>83.11</v>
      </c>
      <c r="L41">
        <f ca="1">IF(AND(ISNUMBER($L$294),$B$258=1),$L$294,HLOOKUP(INDIRECT(ADDRESS(2,COLUMN())),OFFSET($BN$2,0,0,ROW()-1,60),ROW()-1,FALSE))</f>
        <v>87.290999999999997</v>
      </c>
      <c r="M41">
        <f ca="1">IF(AND(ISNUMBER($M$294),$B$258=1),$M$294,HLOOKUP(INDIRECT(ADDRESS(2,COLUMN())),OFFSET($BN$2,0,0,ROW()-1,60),ROW()-1,FALSE))</f>
        <v>85.662000000000006</v>
      </c>
      <c r="N41">
        <f ca="1">IF(AND(ISNUMBER($N$294),$B$258=1),$N$294,HLOOKUP(INDIRECT(ADDRESS(2,COLUMN())),OFFSET($BN$2,0,0,ROW()-1,60),ROW()-1,FALSE))</f>
        <v>84.543000000000006</v>
      </c>
      <c r="O41">
        <f ca="1">IF(AND(ISNUMBER($O$294),$B$258=1),$O$294,HLOOKUP(INDIRECT(ADDRESS(2,COLUMN())),OFFSET($BN$2,0,0,ROW()-1,60),ROW()-1,FALSE))</f>
        <v>87.331000000000003</v>
      </c>
      <c r="P41">
        <f ca="1">IF(AND(ISNUMBER($P$294),$B$258=1),$P$294,HLOOKUP(INDIRECT(ADDRESS(2,COLUMN())),OFFSET($BN$2,0,0,ROW()-1,60),ROW()-1,FALSE))</f>
        <v>82.316999999999993</v>
      </c>
      <c r="Q41">
        <f ca="1">IF(AND(ISNUMBER($Q$294),$B$258=1),$Q$294,HLOOKUP(INDIRECT(ADDRESS(2,COLUMN())),OFFSET($BN$2,0,0,ROW()-1,60),ROW()-1,FALSE))</f>
        <v>79.72</v>
      </c>
      <c r="R41" t="str">
        <f ca="1">IF(AND(ISNUMBER($R$294),$B$258=1),$R$294,HLOOKUP(INDIRECT(ADDRESS(2,COLUMN())),OFFSET($BN$2,0,0,ROW()-1,60),ROW()-1,FALSE))</f>
        <v/>
      </c>
      <c r="S41" t="str">
        <f ca="1">IF(AND(ISNUMBER($S$294),$B$258=1),$S$294,HLOOKUP(INDIRECT(ADDRESS(2,COLUMN())),OFFSET($BN$2,0,0,ROW()-1,60),ROW()-1,FALSE))</f>
        <v/>
      </c>
      <c r="T41" t="str">
        <f ca="1">IF(AND(ISNUMBER($T$294),$B$258=1),$T$294,HLOOKUP(INDIRECT(ADDRESS(2,COLUMN())),OFFSET($BN$2,0,0,ROW()-1,60),ROW()-1,FALSE))</f>
        <v/>
      </c>
      <c r="U41" t="str">
        <f ca="1">IF(AND(ISNUMBER($U$294),$B$258=1),$U$294,HLOOKUP(INDIRECT(ADDRESS(2,COLUMN())),OFFSET($BN$2,0,0,ROW()-1,60),ROW()-1,FALSE))</f>
        <v/>
      </c>
      <c r="V41" t="str">
        <f ca="1">IF(AND(ISNUMBER($V$294),$B$258=1),$V$294,HLOOKUP(INDIRECT(ADDRESS(2,COLUMN())),OFFSET($BN$2,0,0,ROW()-1,60),ROW()-1,FALSE))</f>
        <v/>
      </c>
      <c r="W41" t="str">
        <f ca="1">IF(AND(ISNUMBER($W$294),$B$258=1),$W$294,HLOOKUP(INDIRECT(ADDRESS(2,COLUMN())),OFFSET($BN$2,0,0,ROW()-1,60),ROW()-1,FALSE))</f>
        <v/>
      </c>
      <c r="X41" t="str">
        <f ca="1">IF(AND(ISNUMBER($X$294),$B$258=1),$X$294,HLOOKUP(INDIRECT(ADDRESS(2,COLUMN())),OFFSET($BN$2,0,0,ROW()-1,60),ROW()-1,FALSE))</f>
        <v/>
      </c>
      <c r="Y41" t="str">
        <f ca="1">IF(AND(ISNUMBER($Y$294),$B$258=1),$Y$294,HLOOKUP(INDIRECT(ADDRESS(2,COLUMN())),OFFSET($BN$2,0,0,ROW()-1,60),ROW()-1,FALSE))</f>
        <v/>
      </c>
      <c r="Z41" t="str">
        <f ca="1">IF(AND(ISNUMBER($Z$294),$B$258=1),$Z$294,HLOOKUP(INDIRECT(ADDRESS(2,COLUMN())),OFFSET($BN$2,0,0,ROW()-1,60),ROW()-1,FALSE))</f>
        <v/>
      </c>
      <c r="AA41" t="str">
        <f ca="1">IF(AND(ISNUMBER($AA$294),$B$258=1),$AA$294,HLOOKUP(INDIRECT(ADDRESS(2,COLUMN())),OFFSET($BN$2,0,0,ROW()-1,60),ROW()-1,FALSE))</f>
        <v/>
      </c>
      <c r="AB41" t="str">
        <f ca="1">IF(AND(ISNUMBER($AB$294),$B$258=1),$AB$294,HLOOKUP(INDIRECT(ADDRESS(2,COLUMN())),OFFSET($BN$2,0,0,ROW()-1,60),ROW()-1,FALSE))</f>
        <v/>
      </c>
      <c r="AC41" t="str">
        <f ca="1">IF(AND(ISNUMBER($AC$294),$B$258=1),$AC$294,HLOOKUP(INDIRECT(ADDRESS(2,COLUMN())),OFFSET($BN$2,0,0,ROW()-1,60),ROW()-1,FALSE))</f>
        <v/>
      </c>
      <c r="AD41" t="str">
        <f ca="1">IF(AND(ISNUMBER($AD$294),$B$258=1),$AD$294,HLOOKUP(INDIRECT(ADDRESS(2,COLUMN())),OFFSET($BN$2,0,0,ROW()-1,60),ROW()-1,FALSE))</f>
        <v/>
      </c>
      <c r="AE41" t="str">
        <f ca="1">IF(AND(ISNUMBER($AE$294),$B$258=1),$AE$294,HLOOKUP(INDIRECT(ADDRESS(2,COLUMN())),OFFSET($BN$2,0,0,ROW()-1,60),ROW()-1,FALSE))</f>
        <v/>
      </c>
      <c r="AF41" t="str">
        <f ca="1">IF(AND(ISNUMBER($AF$294),$B$258=1),$AF$294,HLOOKUP(INDIRECT(ADDRESS(2,COLUMN())),OFFSET($BN$2,0,0,ROW()-1,60),ROW()-1,FALSE))</f>
        <v/>
      </c>
      <c r="AG41" t="str">
        <f ca="1">IF(AND(ISNUMBER($AG$294),$B$258=1),$AG$294,HLOOKUP(INDIRECT(ADDRESS(2,COLUMN())),OFFSET($BN$2,0,0,ROW()-1,60),ROW()-1,FALSE))</f>
        <v/>
      </c>
      <c r="AH41" t="str">
        <f ca="1">IF(AND(ISNUMBER($AH$294),$B$258=1),$AH$294,HLOOKUP(INDIRECT(ADDRESS(2,COLUMN())),OFFSET($BN$2,0,0,ROW()-1,60),ROW()-1,FALSE))</f>
        <v/>
      </c>
      <c r="AI41" t="str">
        <f ca="1">IF(AND(ISNUMBER($AI$294),$B$258=1),$AI$294,HLOOKUP(INDIRECT(ADDRESS(2,COLUMN())),OFFSET($BN$2,0,0,ROW()-1,60),ROW()-1,FALSE))</f>
        <v/>
      </c>
      <c r="AJ41" t="str">
        <f ca="1">IF(AND(ISNUMBER($AJ$294),$B$258=1),$AJ$294,HLOOKUP(INDIRECT(ADDRESS(2,COLUMN())),OFFSET($BN$2,0,0,ROW()-1,60),ROW()-1,FALSE))</f>
        <v/>
      </c>
      <c r="AK41" t="str">
        <f ca="1">IF(AND(ISNUMBER($AK$294),$B$258=1),$AK$294,HLOOKUP(INDIRECT(ADDRESS(2,COLUMN())),OFFSET($BN$2,0,0,ROW()-1,60),ROW()-1,FALSE))</f>
        <v/>
      </c>
      <c r="AL41" t="str">
        <f ca="1">IF(AND(ISNUMBER($AL$294),$B$258=1),$AL$294,HLOOKUP(INDIRECT(ADDRESS(2,COLUMN())),OFFSET($BN$2,0,0,ROW()-1,60),ROW()-1,FALSE))</f>
        <v/>
      </c>
      <c r="AM41" t="str">
        <f ca="1">IF(AND(ISNUMBER($AM$294),$B$258=1),$AM$294,HLOOKUP(INDIRECT(ADDRESS(2,COLUMN())),OFFSET($BN$2,0,0,ROW()-1,60),ROW()-1,FALSE))</f>
        <v/>
      </c>
      <c r="AN41" t="str">
        <f ca="1">IF(AND(ISNUMBER($AN$294),$B$258=1),$AN$294,HLOOKUP(INDIRECT(ADDRESS(2,COLUMN())),OFFSET($BN$2,0,0,ROW()-1,60),ROW()-1,FALSE))</f>
        <v/>
      </c>
      <c r="AO41" t="str">
        <f ca="1">IF(AND(ISNUMBER($AO$294),$B$258=1),$AO$294,HLOOKUP(INDIRECT(ADDRESS(2,COLUMN())),OFFSET($BN$2,0,0,ROW()-1,60),ROW()-1,FALSE))</f>
        <v/>
      </c>
      <c r="AP41" t="str">
        <f ca="1">IF(AND(ISNUMBER($AP$294),$B$258=1),$AP$294,HLOOKUP(INDIRECT(ADDRESS(2,COLUMN())),OFFSET($BN$2,0,0,ROW()-1,60),ROW()-1,FALSE))</f>
        <v/>
      </c>
      <c r="AQ41" t="str">
        <f ca="1">IF(AND(ISNUMBER($AQ$294),$B$258=1),$AQ$294,HLOOKUP(INDIRECT(ADDRESS(2,COLUMN())),OFFSET($BN$2,0,0,ROW()-1,60),ROW()-1,FALSE))</f>
        <v/>
      </c>
      <c r="AR41" t="str">
        <f ca="1">IF(AND(ISNUMBER($AR$294),$B$258=1),$AR$294,HLOOKUP(INDIRECT(ADDRESS(2,COLUMN())),OFFSET($BN$2,0,0,ROW()-1,60),ROW()-1,FALSE))</f>
        <v/>
      </c>
      <c r="AS41" t="str">
        <f ca="1">IF(AND(ISNUMBER($AS$294),$B$258=1),$AS$294,HLOOKUP(INDIRECT(ADDRESS(2,COLUMN())),OFFSET($BN$2,0,0,ROW()-1,60),ROW()-1,FALSE))</f>
        <v/>
      </c>
      <c r="AT41" t="str">
        <f ca="1">IF(AND(ISNUMBER($AT$294),$B$258=1),$AT$294,HLOOKUP(INDIRECT(ADDRESS(2,COLUMN())),OFFSET($BN$2,0,0,ROW()-1,60),ROW()-1,FALSE))</f>
        <v/>
      </c>
      <c r="AU41" t="str">
        <f ca="1">IF(AND(ISNUMBER($AU$294),$B$258=1),$AU$294,HLOOKUP(INDIRECT(ADDRESS(2,COLUMN())),OFFSET($BN$2,0,0,ROW()-1,60),ROW()-1,FALSE))</f>
        <v/>
      </c>
      <c r="AV41" t="str">
        <f ca="1">IF(AND(ISNUMBER($AV$294),$B$258=1),$AV$294,HLOOKUP(INDIRECT(ADDRESS(2,COLUMN())),OFFSET($BN$2,0,0,ROW()-1,60),ROW()-1,FALSE))</f>
        <v/>
      </c>
      <c r="AW41" t="str">
        <f ca="1">IF(AND(ISNUMBER($AW$294),$B$258=1),$AW$294,HLOOKUP(INDIRECT(ADDRESS(2,COLUMN())),OFFSET($BN$2,0,0,ROW()-1,60),ROW()-1,FALSE))</f>
        <v/>
      </c>
      <c r="AX41" t="str">
        <f ca="1">IF(AND(ISNUMBER($AX$294),$B$258=1),$AX$294,HLOOKUP(INDIRECT(ADDRESS(2,COLUMN())),OFFSET($BN$2,0,0,ROW()-1,60),ROW()-1,FALSE))</f>
        <v/>
      </c>
      <c r="AY41" t="str">
        <f ca="1">IF(AND(ISNUMBER($AY$294),$B$258=1),$AY$294,HLOOKUP(INDIRECT(ADDRESS(2,COLUMN())),OFFSET($BN$2,0,0,ROW()-1,60),ROW()-1,FALSE))</f>
        <v/>
      </c>
      <c r="AZ41" t="str">
        <f ca="1">IF(AND(ISNUMBER($AZ$294),$B$258=1),$AZ$294,HLOOKUP(INDIRECT(ADDRESS(2,COLUMN())),OFFSET($BN$2,0,0,ROW()-1,60),ROW()-1,FALSE))</f>
        <v/>
      </c>
      <c r="BA41" t="str">
        <f ca="1">IF(AND(ISNUMBER($BA$294),$B$258=1),$BA$294,HLOOKUP(INDIRECT(ADDRESS(2,COLUMN())),OFFSET($BN$2,0,0,ROW()-1,60),ROW()-1,FALSE))</f>
        <v/>
      </c>
      <c r="BB41" t="str">
        <f ca="1">IF(AND(ISNUMBER($BB$294),$B$258=1),$BB$294,HLOOKUP(INDIRECT(ADDRESS(2,COLUMN())),OFFSET($BN$2,0,0,ROW()-1,60),ROW()-1,FALSE))</f>
        <v/>
      </c>
      <c r="BC41" t="str">
        <f ca="1">IF(AND(ISNUMBER($BC$294),$B$258=1),$BC$294,HLOOKUP(INDIRECT(ADDRESS(2,COLUMN())),OFFSET($BN$2,0,0,ROW()-1,60),ROW()-1,FALSE))</f>
        <v/>
      </c>
      <c r="BD41" t="str">
        <f ca="1">IF(AND(ISNUMBER($BD$294),$B$258=1),$BD$294,HLOOKUP(INDIRECT(ADDRESS(2,COLUMN())),OFFSET($BN$2,0,0,ROW()-1,60),ROW()-1,FALSE))</f>
        <v/>
      </c>
      <c r="BE41" t="str">
        <f ca="1">IF(AND(ISNUMBER($BE$294),$B$258=1),$BE$294,HLOOKUP(INDIRECT(ADDRESS(2,COLUMN())),OFFSET($BN$2,0,0,ROW()-1,60),ROW()-1,FALSE))</f>
        <v/>
      </c>
      <c r="BF41" t="str">
        <f ca="1">IF(AND(ISNUMBER($BF$294),$B$258=1),$BF$294,HLOOKUP(INDIRECT(ADDRESS(2,COLUMN())),OFFSET($BN$2,0,0,ROW()-1,60),ROW()-1,FALSE))</f>
        <v/>
      </c>
      <c r="BG41" t="str">
        <f ca="1">IF(AND(ISNUMBER($BG$294),$B$258=1),$BG$294,HLOOKUP(INDIRECT(ADDRESS(2,COLUMN())),OFFSET($BN$2,0,0,ROW()-1,60),ROW()-1,FALSE))</f>
        <v/>
      </c>
      <c r="BH41" t="str">
        <f ca="1">IF(AND(ISNUMBER($BH$294),$B$258=1),$BH$294,HLOOKUP(INDIRECT(ADDRESS(2,COLUMN())),OFFSET($BN$2,0,0,ROW()-1,60),ROW()-1,FALSE))</f>
        <v/>
      </c>
      <c r="BI41" t="str">
        <f ca="1">IF(AND(ISNUMBER($BI$294),$B$258=1),$BI$294,HLOOKUP(INDIRECT(ADDRESS(2,COLUMN())),OFFSET($BN$2,0,0,ROW()-1,60),ROW()-1,FALSE))</f>
        <v/>
      </c>
      <c r="BJ41" t="str">
        <f ca="1">IF(AND(ISNUMBER($BJ$294),$B$258=1),$BJ$294,HLOOKUP(INDIRECT(ADDRESS(2,COLUMN())),OFFSET($BN$2,0,0,ROW()-1,60),ROW()-1,FALSE))</f>
        <v/>
      </c>
      <c r="BK41" t="str">
        <f ca="1">IF(AND(ISNUMBER($BK$294),$B$258=1),$BK$294,HLOOKUP(INDIRECT(ADDRESS(2,COLUMN())),OFFSET($BN$2,0,0,ROW()-1,60),ROW()-1,FALSE))</f>
        <v/>
      </c>
      <c r="BL41" t="str">
        <f ca="1">IF(AND(ISNUMBER($BL$294),$B$258=1),$BL$294,HLOOKUP(INDIRECT(ADDRESS(2,COLUMN())),OFFSET($BN$2,0,0,ROW()-1,60),ROW()-1,FALSE))</f>
        <v/>
      </c>
      <c r="BM41" t="str">
        <f ca="1">IF(AND(ISNUMBER($BM$294),$B$258=1),$BM$294,HLOOKUP(INDIRECT(ADDRESS(2,COLUMN())),OFFSET($BN$2,0,0,ROW()-1,60),ROW()-1,FALSE))</f>
        <v/>
      </c>
      <c r="BN41" t="str">
        <f>""</f>
        <v/>
      </c>
      <c r="BO41" t="str">
        <f>""</f>
        <v/>
      </c>
      <c r="BP41" t="str">
        <f>""</f>
        <v/>
      </c>
      <c r="BQ41">
        <f>88.805</f>
        <v>88.805000000000007</v>
      </c>
      <c r="BR41">
        <f>81.716</f>
        <v>81.715999999999994</v>
      </c>
      <c r="BS41">
        <f>83.11</f>
        <v>83.11</v>
      </c>
      <c r="BT41">
        <f>87.291</f>
        <v>87.290999999999997</v>
      </c>
      <c r="BU41">
        <f>85.662</f>
        <v>85.662000000000006</v>
      </c>
      <c r="BV41">
        <f>84.543</f>
        <v>84.543000000000006</v>
      </c>
      <c r="BW41">
        <f>87.331</f>
        <v>87.331000000000003</v>
      </c>
      <c r="BX41">
        <f>82.317</f>
        <v>82.316999999999993</v>
      </c>
      <c r="BY41">
        <f>79.72</f>
        <v>79.72</v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""</f>
        <v/>
      </c>
      <c r="CI41" t="str">
        <f>""</f>
        <v/>
      </c>
      <c r="CJ41" t="str">
        <f>""</f>
        <v/>
      </c>
      <c r="CK41" t="str">
        <f>""</f>
        <v/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</row>
    <row r="42" spans="1:125">
      <c r="A42" t="str">
        <f>"    HCP Inc"</f>
        <v xml:space="preserve">    HCP Inc</v>
      </c>
      <c r="B42" t="str">
        <f>"HCP US Equity"</f>
        <v>HCP US Equity</v>
      </c>
      <c r="C42" t="str">
        <f t="shared" si="9"/>
        <v>IS010</v>
      </c>
      <c r="D42" t="str">
        <f t="shared" si="10"/>
        <v>SALES_REV_TURN</v>
      </c>
      <c r="E42" t="str">
        <f t="shared" si="11"/>
        <v>动态</v>
      </c>
      <c r="F42" t="str">
        <f ca="1">IF(AND(ISNUMBER($F$295),$B$258=1),$F$295,HLOOKUP(INDIRECT(ADDRESS(2,COLUMN())),OFFSET($BN$2,0,0,ROW()-1,60),ROW()-1,FALSE))</f>
        <v/>
      </c>
      <c r="G42">
        <f ca="1">IF(AND(ISNUMBER($G$295),$B$258=1),$G$295,HLOOKUP(INDIRECT(ADDRESS(2,COLUMN())),OFFSET($BN$2,0,0,ROW()-1,60),ROW()-1,FALSE))</f>
        <v>443.25900000000001</v>
      </c>
      <c r="H42">
        <f ca="1">IF(AND(ISNUMBER($H$295),$B$258=1),$H$295,HLOOKUP(INDIRECT(ADDRESS(2,COLUMN())),OFFSET($BN$2,0,0,ROW()-1,60),ROW()-1,FALSE))</f>
        <v>454.02300000000002</v>
      </c>
      <c r="I42">
        <f ca="1">IF(AND(ISNUMBER($I$295),$B$258=1),$I$295,HLOOKUP(INDIRECT(ADDRESS(2,COLUMN())),OFFSET($BN$2,0,0,ROW()-1,60),ROW()-1,FALSE))</f>
        <v>458.928</v>
      </c>
      <c r="J42">
        <f ca="1">IF(AND(ISNUMBER($J$295),$B$258=1),$J$295,HLOOKUP(INDIRECT(ADDRESS(2,COLUMN())),OFFSET($BN$2,0,0,ROW()-1,60),ROW()-1,FALSE))</f>
        <v>492.16800000000001</v>
      </c>
      <c r="K42">
        <f ca="1">IF(AND(ISNUMBER($K$295),$B$258=1),$K$295,HLOOKUP(INDIRECT(ADDRESS(2,COLUMN())),OFFSET($BN$2,0,0,ROW()-1,60),ROW()-1,FALSE))</f>
        <v>539.95000000000005</v>
      </c>
      <c r="L42">
        <f ca="1">IF(AND(ISNUMBER($L$295),$B$258=1),$L$295,HLOOKUP(INDIRECT(ADDRESS(2,COLUMN())),OFFSET($BN$2,0,0,ROW()-1,60),ROW()-1,FALSE))</f>
        <v>654.27</v>
      </c>
      <c r="M42">
        <f ca="1">IF(AND(ISNUMBER($M$295),$B$258=1),$M$295,HLOOKUP(INDIRECT(ADDRESS(2,COLUMN())),OFFSET($BN$2,0,0,ROW()-1,60),ROW()-1,FALSE))</f>
        <v>662.17600000000004</v>
      </c>
      <c r="N42">
        <f ca="1">IF(AND(ISNUMBER($N$295),$B$258=1),$N$295,HLOOKUP(INDIRECT(ADDRESS(2,COLUMN())),OFFSET($BN$2,0,0,ROW()-1,60),ROW()-1,FALSE))</f>
        <v>640.78200000000004</v>
      </c>
      <c r="O42">
        <f ca="1">IF(AND(ISNUMBER($O$295),$B$258=1),$O$295,HLOOKUP(INDIRECT(ADDRESS(2,COLUMN())),OFFSET($BN$2,0,0,ROW()-1,60),ROW()-1,FALSE))</f>
        <v>520.32500000000005</v>
      </c>
      <c r="P42">
        <f ca="1">IF(AND(ISNUMBER($P$295),$B$258=1),$P$295,HLOOKUP(INDIRECT(ADDRESS(2,COLUMN())),OFFSET($BN$2,0,0,ROW()-1,60),ROW()-1,FALSE))</f>
        <v>657.49900000000002</v>
      </c>
      <c r="Q42">
        <f ca="1">IF(AND(ISNUMBER($Q$295),$B$258=1),$Q$295,HLOOKUP(INDIRECT(ADDRESS(2,COLUMN())),OFFSET($BN$2,0,0,ROW()-1,60),ROW()-1,FALSE))</f>
        <v>607.53200000000004</v>
      </c>
      <c r="R42">
        <f ca="1">IF(AND(ISNUMBER($R$295),$B$258=1),$R$295,HLOOKUP(INDIRECT(ADDRESS(2,COLUMN())),OFFSET($BN$2,0,0,ROW()-1,60),ROW()-1,FALSE))</f>
        <v>610.79100000000005</v>
      </c>
      <c r="S42">
        <f ca="1">IF(AND(ISNUMBER($S$295),$B$258=1),$S$295,HLOOKUP(INDIRECT(ADDRESS(2,COLUMN())),OFFSET($BN$2,0,0,ROW()-1,60),ROW()-1,FALSE))</f>
        <v>603.52800000000002</v>
      </c>
      <c r="T42">
        <f ca="1">IF(AND(ISNUMBER($T$295),$B$258=1),$T$295,HLOOKUP(INDIRECT(ADDRESS(2,COLUMN())),OFFSET($BN$2,0,0,ROW()-1,60),ROW()-1,FALSE))</f>
        <v>596.63800000000003</v>
      </c>
      <c r="U42">
        <f ca="1">IF(AND(ISNUMBER($U$295),$B$258=1),$U$295,HLOOKUP(INDIRECT(ADDRESS(2,COLUMN())),OFFSET($BN$2,0,0,ROW()-1,60),ROW()-1,FALSE))</f>
        <v>536.12099999999998</v>
      </c>
      <c r="V42">
        <f ca="1">IF(AND(ISNUMBER($V$295),$B$258=1),$V$295,HLOOKUP(INDIRECT(ADDRESS(2,COLUMN())),OFFSET($BN$2,0,0,ROW()-1,60),ROW()-1,FALSE))</f>
        <v>529.99199999999996</v>
      </c>
      <c r="W42">
        <f ca="1">IF(AND(ISNUMBER($W$295),$B$258=1),$W$295,HLOOKUP(INDIRECT(ADDRESS(2,COLUMN())),OFFSET($BN$2,0,0,ROW()-1,60),ROW()-1,FALSE))</f>
        <v>530.29700000000003</v>
      </c>
      <c r="X42">
        <f ca="1">IF(AND(ISNUMBER($X$295),$B$258=1),$X$295,HLOOKUP(INDIRECT(ADDRESS(2,COLUMN())),OFFSET($BN$2,0,0,ROW()-1,60),ROW()-1,FALSE))</f>
        <v>546.15700000000004</v>
      </c>
      <c r="Y42">
        <f ca="1">IF(AND(ISNUMBER($Y$295),$B$258=1),$Y$295,HLOOKUP(INDIRECT(ADDRESS(2,COLUMN())),OFFSET($BN$2,0,0,ROW()-1,60),ROW()-1,FALSE))</f>
        <v>512.23900000000003</v>
      </c>
      <c r="Z42">
        <f ca="1">IF(AND(ISNUMBER($Z$295),$B$258=1),$Z$295,HLOOKUP(INDIRECT(ADDRESS(2,COLUMN())),OFFSET($BN$2,0,0,ROW()-1,60),ROW()-1,FALSE))</f>
        <v>511.18599999999998</v>
      </c>
      <c r="AA42">
        <f ca="1">IF(AND(ISNUMBER($AA$295),$B$258=1),$AA$295,HLOOKUP(INDIRECT(ADDRESS(2,COLUMN())),OFFSET($BN$2,0,0,ROW()-1,60),ROW()-1,FALSE))</f>
        <v>503.233</v>
      </c>
      <c r="AB42">
        <f ca="1">IF(AND(ISNUMBER($AB$295),$B$258=1),$AB$295,HLOOKUP(INDIRECT(ADDRESS(2,COLUMN())),OFFSET($BN$2,0,0,ROW()-1,60),ROW()-1,FALSE))</f>
        <v>468.06599999999997</v>
      </c>
      <c r="AC42">
        <f ca="1">IF(AND(ISNUMBER($AC$295),$B$258=1),$AC$295,HLOOKUP(INDIRECT(ADDRESS(2,COLUMN())),OFFSET($BN$2,0,0,ROW()-1,60),ROW()-1,FALSE))</f>
        <v>464.43900000000002</v>
      </c>
      <c r="AD42">
        <f ca="1">IF(AND(ISNUMBER($AD$295),$B$258=1),$AD$295,HLOOKUP(INDIRECT(ADDRESS(2,COLUMN())),OFFSET($BN$2,0,0,ROW()-1,60),ROW()-1,FALSE))</f>
        <v>455.827</v>
      </c>
      <c r="AE42">
        <f ca="1">IF(AND(ISNUMBER($AE$295),$B$258=1),$AE$295,HLOOKUP(INDIRECT(ADDRESS(2,COLUMN())),OFFSET($BN$2,0,0,ROW()-1,60),ROW()-1,FALSE))</f>
        <v>458.28100000000001</v>
      </c>
      <c r="AF42">
        <f ca="1">IF(AND(ISNUMBER($AF$295),$B$258=1),$AF$295,HLOOKUP(INDIRECT(ADDRESS(2,COLUMN())),OFFSET($BN$2,0,0,ROW()-1,60),ROW()-1,FALSE))</f>
        <v>441.22899999999998</v>
      </c>
      <c r="AG42">
        <f ca="1">IF(AND(ISNUMBER($AG$295),$B$258=1),$AG$295,HLOOKUP(INDIRECT(ADDRESS(2,COLUMN())),OFFSET($BN$2,0,0,ROW()-1,60),ROW()-1,FALSE))</f>
        <v>488.125</v>
      </c>
      <c r="AH42">
        <f ca="1">IF(AND(ISNUMBER($AH$295),$B$258=1),$AH$295,HLOOKUP(INDIRECT(ADDRESS(2,COLUMN())),OFFSET($BN$2,0,0,ROW()-1,60),ROW()-1,FALSE))</f>
        <v>331.12799999999999</v>
      </c>
      <c r="AI42">
        <f ca="1">IF(AND(ISNUMBER($AI$295),$B$258=1),$AI$295,HLOOKUP(INDIRECT(ADDRESS(2,COLUMN())),OFFSET($BN$2,0,0,ROW()-1,60),ROW()-1,FALSE))</f>
        <v>340.96600000000001</v>
      </c>
      <c r="AJ42">
        <f ca="1">IF(AND(ISNUMBER($AJ$295),$B$258=1),$AJ$295,HLOOKUP(INDIRECT(ADDRESS(2,COLUMN())),OFFSET($BN$2,0,0,ROW()-1,60),ROW()-1,FALSE))</f>
        <v>317.04899999999998</v>
      </c>
      <c r="AK42">
        <f ca="1">IF(AND(ISNUMBER($AK$295),$B$258=1),$AK$295,HLOOKUP(INDIRECT(ADDRESS(2,COLUMN())),OFFSET($BN$2,0,0,ROW()-1,60),ROW()-1,FALSE))</f>
        <v>301.87700000000001</v>
      </c>
      <c r="AL42">
        <f ca="1">IF(AND(ISNUMBER($AL$295),$B$258=1),$AL$295,HLOOKUP(INDIRECT(ADDRESS(2,COLUMN())),OFFSET($BN$2,0,0,ROW()-1,60),ROW()-1,FALSE))</f>
        <v>294.82</v>
      </c>
      <c r="AM42">
        <f ca="1">IF(AND(ISNUMBER($AM$295),$B$258=1),$AM$295,HLOOKUP(INDIRECT(ADDRESS(2,COLUMN())),OFFSET($BN$2,0,0,ROW()-1,60),ROW()-1,FALSE))</f>
        <v>294.46699999999998</v>
      </c>
      <c r="AN42">
        <f ca="1">IF(AND(ISNUMBER($AN$295),$B$258=1),$AN$295,HLOOKUP(INDIRECT(ADDRESS(2,COLUMN())),OFFSET($BN$2,0,0,ROW()-1,60),ROW()-1,FALSE))</f>
        <v>287.06799999999998</v>
      </c>
      <c r="AO42">
        <f ca="1">IF(AND(ISNUMBER($AO$295),$B$258=1),$AO$295,HLOOKUP(INDIRECT(ADDRESS(2,COLUMN())),OFFSET($BN$2,0,0,ROW()-1,60),ROW()-1,FALSE))</f>
        <v>292.48899999999998</v>
      </c>
      <c r="AP42">
        <f ca="1">IF(AND(ISNUMBER($AP$295),$B$258=1),$AP$295,HLOOKUP(INDIRECT(ADDRESS(2,COLUMN())),OFFSET($BN$2,0,0,ROW()-1,60),ROW()-1,FALSE))</f>
        <v>277.01</v>
      </c>
      <c r="AQ42">
        <f ca="1">IF(AND(ISNUMBER($AQ$295),$B$258=1),$AQ$295,HLOOKUP(INDIRECT(ADDRESS(2,COLUMN())),OFFSET($BN$2,0,0,ROW()-1,60),ROW()-1,FALSE))</f>
        <v>294.94600000000003</v>
      </c>
      <c r="AR42">
        <f ca="1">IF(AND(ISNUMBER($AR$295),$B$258=1),$AR$295,HLOOKUP(INDIRECT(ADDRESS(2,COLUMN())),OFFSET($BN$2,0,0,ROW()-1,60),ROW()-1,FALSE))</f>
        <v>267.85199999999998</v>
      </c>
      <c r="AS42">
        <f ca="1">IF(AND(ISNUMBER($AS$295),$B$258=1),$AS$295,HLOOKUP(INDIRECT(ADDRESS(2,COLUMN())),OFFSET($BN$2,0,0,ROW()-1,60),ROW()-1,FALSE))</f>
        <v>248.77500000000001</v>
      </c>
      <c r="AT42">
        <f ca="1">IF(AND(ISNUMBER($AT$295),$B$258=1),$AT$295,HLOOKUP(INDIRECT(ADDRESS(2,COLUMN())),OFFSET($BN$2,0,0,ROW()-1,60),ROW()-1,FALSE))</f>
        <v>244.79300000000001</v>
      </c>
      <c r="AU42">
        <f ca="1">IF(AND(ISNUMBER($AU$295),$B$258=1),$AU$295,HLOOKUP(INDIRECT(ADDRESS(2,COLUMN())),OFFSET($BN$2,0,0,ROW()-1,60),ROW()-1,FALSE))</f>
        <v>254.28100000000001</v>
      </c>
      <c r="AV42">
        <f ca="1">IF(AND(ISNUMBER($AV$295),$B$258=1),$AV$295,HLOOKUP(INDIRECT(ADDRESS(2,COLUMN())),OFFSET($BN$2,0,0,ROW()-1,60),ROW()-1,FALSE))</f>
        <v>243.57900000000001</v>
      </c>
      <c r="AW42">
        <f ca="1">IF(AND(ISNUMBER($AW$295),$B$258=1),$AW$295,HLOOKUP(INDIRECT(ADDRESS(2,COLUMN())),OFFSET($BN$2,0,0,ROW()-1,60),ROW()-1,FALSE))</f>
        <v>206.846</v>
      </c>
      <c r="AX42">
        <f ca="1">IF(AND(ISNUMBER($AX$295),$B$258=1),$AX$295,HLOOKUP(INDIRECT(ADDRESS(2,COLUMN())),OFFSET($BN$2,0,0,ROW()-1,60),ROW()-1,FALSE))</f>
        <v>213.64400000000001</v>
      </c>
      <c r="AY42">
        <f ca="1">IF(AND(ISNUMBER($AY$295),$B$258=1),$AY$295,HLOOKUP(INDIRECT(ADDRESS(2,COLUMN())),OFFSET($BN$2,0,0,ROW()-1,60),ROW()-1,FALSE))</f>
        <v>177.96</v>
      </c>
      <c r="AZ42">
        <f ca="1">IF(AND(ISNUMBER($AZ$295),$B$258=1),$AZ$295,HLOOKUP(INDIRECT(ADDRESS(2,COLUMN())),OFFSET($BN$2,0,0,ROW()-1,60),ROW()-1,FALSE))</f>
        <v>119.815</v>
      </c>
      <c r="BA42">
        <f ca="1">IF(AND(ISNUMBER($BA$295),$B$258=1),$BA$295,HLOOKUP(INDIRECT(ADDRESS(2,COLUMN())),OFFSET($BN$2,0,0,ROW()-1,60),ROW()-1,FALSE))</f>
        <v>116.232</v>
      </c>
      <c r="BB42">
        <f ca="1">IF(AND(ISNUMBER($BB$295),$B$258=1),$BB$295,HLOOKUP(INDIRECT(ADDRESS(2,COLUMN())),OFFSET($BN$2,0,0,ROW()-1,60),ROW()-1,FALSE))</f>
        <v>120.884</v>
      </c>
      <c r="BC42">
        <f ca="1">IF(AND(ISNUMBER($BC$295),$B$258=1),$BC$295,HLOOKUP(INDIRECT(ADDRESS(2,COLUMN())),OFFSET($BN$2,0,0,ROW()-1,60),ROW()-1,FALSE))</f>
        <v>79.882000000000005</v>
      </c>
      <c r="BD42">
        <f ca="1">IF(AND(ISNUMBER($BD$295),$B$258=1),$BD$295,HLOOKUP(INDIRECT(ADDRESS(2,COLUMN())),OFFSET($BN$2,0,0,ROW()-1,60),ROW()-1,FALSE))</f>
        <v>119.755</v>
      </c>
      <c r="BE42">
        <f ca="1">IF(AND(ISNUMBER($BE$295),$B$258=1),$BE$295,HLOOKUP(INDIRECT(ADDRESS(2,COLUMN())),OFFSET($BN$2,0,0,ROW()-1,60),ROW()-1,FALSE))</f>
        <v>116.23699999999999</v>
      </c>
      <c r="BF42">
        <f ca="1">IF(AND(ISNUMBER($BF$295),$B$258=1),$BF$295,HLOOKUP(INDIRECT(ADDRESS(2,COLUMN())),OFFSET($BN$2,0,0,ROW()-1,60),ROW()-1,FALSE))</f>
        <v>107.036</v>
      </c>
      <c r="BG42">
        <f ca="1">IF(AND(ISNUMBER($BG$295),$B$258=1),$BG$295,HLOOKUP(INDIRECT(ADDRESS(2,COLUMN())),OFFSET($BN$2,0,0,ROW()-1,60),ROW()-1,FALSE))</f>
        <v>102.518</v>
      </c>
      <c r="BH42">
        <f ca="1">IF(AND(ISNUMBER($BH$295),$B$258=1),$BH$295,HLOOKUP(INDIRECT(ADDRESS(2,COLUMN())),OFFSET($BN$2,0,0,ROW()-1,60),ROW()-1,FALSE))</f>
        <v>111.685</v>
      </c>
      <c r="BI42">
        <f ca="1">IF(AND(ISNUMBER($BI$295),$B$258=1),$BI$295,HLOOKUP(INDIRECT(ADDRESS(2,COLUMN())),OFFSET($BN$2,0,0,ROW()-1,60),ROW()-1,FALSE))</f>
        <v>107.18600000000001</v>
      </c>
      <c r="BJ42">
        <f ca="1">IF(AND(ISNUMBER($BJ$295),$B$258=1),$BJ$295,HLOOKUP(INDIRECT(ADDRESS(2,COLUMN())),OFFSET($BN$2,0,0,ROW()-1,60),ROW()-1,FALSE))</f>
        <v>87.700999999999993</v>
      </c>
      <c r="BK42">
        <f ca="1">IF(AND(ISNUMBER($BK$295),$B$258=1),$BK$295,HLOOKUP(INDIRECT(ADDRESS(2,COLUMN())),OFFSET($BN$2,0,0,ROW()-1,60),ROW()-1,FALSE))</f>
        <v>107.76</v>
      </c>
      <c r="BL42">
        <f ca="1">IF(AND(ISNUMBER($BL$295),$B$258=1),$BL$295,HLOOKUP(INDIRECT(ADDRESS(2,COLUMN())),OFFSET($BN$2,0,0,ROW()-1,60),ROW()-1,FALSE))</f>
        <v>96.573999999999998</v>
      </c>
      <c r="BM42">
        <f ca="1">IF(AND(ISNUMBER($BM$295),$B$258=1),$BM$295,HLOOKUP(INDIRECT(ADDRESS(2,COLUMN())),OFFSET($BN$2,0,0,ROW()-1,60),ROW()-1,FALSE))</f>
        <v>92.417000000000002</v>
      </c>
      <c r="BN42" t="str">
        <f>""</f>
        <v/>
      </c>
      <c r="BO42">
        <f>443.259</f>
        <v>443.25900000000001</v>
      </c>
      <c r="BP42">
        <f>454.023</f>
        <v>454.02300000000002</v>
      </c>
      <c r="BQ42">
        <f>458.928</f>
        <v>458.928</v>
      </c>
      <c r="BR42">
        <f>492.168</f>
        <v>492.16800000000001</v>
      </c>
      <c r="BS42">
        <f>539.95</f>
        <v>539.95000000000005</v>
      </c>
      <c r="BT42">
        <f>654.27</f>
        <v>654.27</v>
      </c>
      <c r="BU42">
        <f>662.176</f>
        <v>662.17600000000004</v>
      </c>
      <c r="BV42">
        <f>640.782</f>
        <v>640.78200000000004</v>
      </c>
      <c r="BW42">
        <f>520.325</f>
        <v>520.32500000000005</v>
      </c>
      <c r="BX42">
        <f>657.499</f>
        <v>657.49900000000002</v>
      </c>
      <c r="BY42">
        <f>607.532</f>
        <v>607.53200000000004</v>
      </c>
      <c r="BZ42">
        <f>610.791</f>
        <v>610.79100000000005</v>
      </c>
      <c r="CA42">
        <f>603.528</f>
        <v>603.52800000000002</v>
      </c>
      <c r="CB42">
        <f>596.638</f>
        <v>596.63800000000003</v>
      </c>
      <c r="CC42">
        <f>536.121</f>
        <v>536.12099999999998</v>
      </c>
      <c r="CD42">
        <f>529.992</f>
        <v>529.99199999999996</v>
      </c>
      <c r="CE42">
        <f>530.297</f>
        <v>530.29700000000003</v>
      </c>
      <c r="CF42">
        <f>546.157</f>
        <v>546.15700000000004</v>
      </c>
      <c r="CG42">
        <f>512.239</f>
        <v>512.23900000000003</v>
      </c>
      <c r="CH42">
        <f>511.186</f>
        <v>511.18599999999998</v>
      </c>
      <c r="CI42">
        <f>503.233</f>
        <v>503.233</v>
      </c>
      <c r="CJ42">
        <f>468.066</f>
        <v>468.06599999999997</v>
      </c>
      <c r="CK42">
        <f>464.439</f>
        <v>464.43900000000002</v>
      </c>
      <c r="CL42">
        <f>455.827</f>
        <v>455.827</v>
      </c>
      <c r="CM42">
        <f>458.281</f>
        <v>458.28100000000001</v>
      </c>
      <c r="CN42">
        <f>441.229</f>
        <v>441.22899999999998</v>
      </c>
      <c r="CO42">
        <f>488.125</f>
        <v>488.125</v>
      </c>
      <c r="CP42">
        <f>331.128</f>
        <v>331.12799999999999</v>
      </c>
      <c r="CQ42">
        <f>340.966</f>
        <v>340.96600000000001</v>
      </c>
      <c r="CR42">
        <f>317.049</f>
        <v>317.04899999999998</v>
      </c>
      <c r="CS42">
        <f>301.877</f>
        <v>301.87700000000001</v>
      </c>
      <c r="CT42">
        <f>294.82</f>
        <v>294.82</v>
      </c>
      <c r="CU42">
        <f>294.467</f>
        <v>294.46699999999998</v>
      </c>
      <c r="CV42">
        <f>287.068</f>
        <v>287.06799999999998</v>
      </c>
      <c r="CW42">
        <f>292.489</f>
        <v>292.48899999999998</v>
      </c>
      <c r="CX42">
        <f>277.01</f>
        <v>277.01</v>
      </c>
      <c r="CY42">
        <f>294.946</f>
        <v>294.94600000000003</v>
      </c>
      <c r="CZ42">
        <f>267.852</f>
        <v>267.85199999999998</v>
      </c>
      <c r="DA42">
        <f>248.775</f>
        <v>248.77500000000001</v>
      </c>
      <c r="DB42">
        <f>244.793</f>
        <v>244.79300000000001</v>
      </c>
      <c r="DC42">
        <f>254.281</f>
        <v>254.28100000000001</v>
      </c>
      <c r="DD42">
        <f>243.579</f>
        <v>243.57900000000001</v>
      </c>
      <c r="DE42">
        <f>206.846</f>
        <v>206.846</v>
      </c>
      <c r="DF42">
        <f>213.644</f>
        <v>213.64400000000001</v>
      </c>
      <c r="DG42">
        <f>177.96</f>
        <v>177.96</v>
      </c>
      <c r="DH42">
        <f>119.815</f>
        <v>119.815</v>
      </c>
      <c r="DI42">
        <f>116.232</f>
        <v>116.232</v>
      </c>
      <c r="DJ42">
        <f>120.884</f>
        <v>120.884</v>
      </c>
      <c r="DK42">
        <f>79.882</f>
        <v>79.882000000000005</v>
      </c>
      <c r="DL42">
        <f>119.755</f>
        <v>119.755</v>
      </c>
      <c r="DM42">
        <f>116.237</f>
        <v>116.23699999999999</v>
      </c>
      <c r="DN42">
        <f>107.036</f>
        <v>107.036</v>
      </c>
      <c r="DO42">
        <f>102.518</f>
        <v>102.518</v>
      </c>
      <c r="DP42">
        <f>111.685</f>
        <v>111.685</v>
      </c>
      <c r="DQ42">
        <f>107.186</f>
        <v>107.18600000000001</v>
      </c>
      <c r="DR42">
        <f>87.701</f>
        <v>87.700999999999993</v>
      </c>
      <c r="DS42">
        <f>107.76</f>
        <v>107.76</v>
      </c>
      <c r="DT42">
        <f>96.574</f>
        <v>96.573999999999998</v>
      </c>
      <c r="DU42">
        <f>92.417</f>
        <v>92.417000000000002</v>
      </c>
    </row>
    <row r="43" spans="1:125">
      <c r="A43" t="str">
        <f>"    Healthcare Realty Trust Inc"</f>
        <v xml:space="preserve">    Healthcare Realty Trust Inc</v>
      </c>
      <c r="B43" t="str">
        <f>"HR US Equity"</f>
        <v>HR US Equity</v>
      </c>
      <c r="C43" t="str">
        <f t="shared" si="9"/>
        <v>IS010</v>
      </c>
      <c r="D43" t="str">
        <f t="shared" si="10"/>
        <v>SALES_REV_TURN</v>
      </c>
      <c r="E43" t="str">
        <f t="shared" si="11"/>
        <v>动态</v>
      </c>
      <c r="F43" t="str">
        <f ca="1">IF(AND(ISNUMBER($F$296),$B$258=1),$F$296,HLOOKUP(INDIRECT(ADDRESS(2,COLUMN())),OFFSET($BN$2,0,0,ROW()-1,60),ROW()-1,FALSE))</f>
        <v/>
      </c>
      <c r="G43">
        <f ca="1">IF(AND(ISNUMBER($G$296),$B$258=1),$G$296,HLOOKUP(INDIRECT(ADDRESS(2,COLUMN())),OFFSET($BN$2,0,0,ROW()-1,60),ROW()-1,FALSE))</f>
        <v>107.73099999999999</v>
      </c>
      <c r="H43">
        <f ca="1">IF(AND(ISNUMBER($H$296),$B$258=1),$H$296,HLOOKUP(INDIRECT(ADDRESS(2,COLUMN())),OFFSET($BN$2,0,0,ROW()-1,60),ROW()-1,FALSE))</f>
        <v>106.953</v>
      </c>
      <c r="I43">
        <f ca="1">IF(AND(ISNUMBER($I$296),$B$258=1),$I$296,HLOOKUP(INDIRECT(ADDRESS(2,COLUMN())),OFFSET($BN$2,0,0,ROW()-1,60),ROW()-1,FALSE))</f>
        <v>105.245</v>
      </c>
      <c r="J43">
        <f ca="1">IF(AND(ISNUMBER($J$296),$B$258=1),$J$296,HLOOKUP(INDIRECT(ADDRESS(2,COLUMN())),OFFSET($BN$2,0,0,ROW()-1,60),ROW()-1,FALSE))</f>
        <v>104.569</v>
      </c>
      <c r="K43">
        <f ca="1">IF(AND(ISNUMBER($K$296),$B$258=1),$K$296,HLOOKUP(INDIRECT(ADDRESS(2,COLUMN())),OFFSET($BN$2,0,0,ROW()-1,60),ROW()-1,FALSE))</f>
        <v>105.309</v>
      </c>
      <c r="L43">
        <f ca="1">IF(AND(ISNUMBER($L$296),$B$258=1),$L$296,HLOOKUP(INDIRECT(ADDRESS(2,COLUMN())),OFFSET($BN$2,0,0,ROW()-1,60),ROW()-1,FALSE))</f>
        <v>103.65900000000001</v>
      </c>
      <c r="M43">
        <f ca="1">IF(AND(ISNUMBER($M$296),$B$258=1),$M$296,HLOOKUP(INDIRECT(ADDRESS(2,COLUMN())),OFFSET($BN$2,0,0,ROW()-1,60),ROW()-1,FALSE))</f>
        <v>102.642</v>
      </c>
      <c r="N43">
        <f ca="1">IF(AND(ISNUMBER($N$296),$B$258=1),$N$296,HLOOKUP(INDIRECT(ADDRESS(2,COLUMN())),OFFSET($BN$2,0,0,ROW()-1,60),ROW()-1,FALSE))</f>
        <v>100.021</v>
      </c>
      <c r="O43">
        <f ca="1">IF(AND(ISNUMBER($O$296),$B$258=1),$O$296,HLOOKUP(INDIRECT(ADDRESS(2,COLUMN())),OFFSET($BN$2,0,0,ROW()-1,60),ROW()-1,FALSE))</f>
        <v>98.581999999999994</v>
      </c>
      <c r="P43">
        <f ca="1">IF(AND(ISNUMBER($P$296),$B$258=1),$P$296,HLOOKUP(INDIRECT(ADDRESS(2,COLUMN())),OFFSET($BN$2,0,0,ROW()-1,60),ROW()-1,FALSE))</f>
        <v>96.724999999999994</v>
      </c>
      <c r="Q43">
        <f ca="1">IF(AND(ISNUMBER($Q$296),$B$258=1),$Q$296,HLOOKUP(INDIRECT(ADDRESS(2,COLUMN())),OFFSET($BN$2,0,0,ROW()-1,60),ROW()-1,FALSE))</f>
        <v>96.707999999999998</v>
      </c>
      <c r="R43">
        <f ca="1">IF(AND(ISNUMBER($R$296),$B$258=1),$R$296,HLOOKUP(INDIRECT(ADDRESS(2,COLUMN())),OFFSET($BN$2,0,0,ROW()-1,60),ROW()-1,FALSE))</f>
        <v>96.456000000000003</v>
      </c>
      <c r="S43">
        <f ca="1">IF(AND(ISNUMBER($S$296),$B$258=1),$S$296,HLOOKUP(INDIRECT(ADDRESS(2,COLUMN())),OFFSET($BN$2,0,0,ROW()-1,60),ROW()-1,FALSE))</f>
        <v>95</v>
      </c>
      <c r="T43">
        <f ca="1">IF(AND(ISNUMBER($T$296),$B$258=1),$T$296,HLOOKUP(INDIRECT(ADDRESS(2,COLUMN())),OFFSET($BN$2,0,0,ROW()-1,60),ROW()-1,FALSE))</f>
        <v>93.613</v>
      </c>
      <c r="U43">
        <f ca="1">IF(AND(ISNUMBER($U$296),$B$258=1),$U$296,HLOOKUP(INDIRECT(ADDRESS(2,COLUMN())),OFFSET($BN$2,0,0,ROW()-1,60),ROW()-1,FALSE))</f>
        <v>91.671000000000006</v>
      </c>
      <c r="V43">
        <f ca="1">IF(AND(ISNUMBER($V$296),$B$258=1),$V$296,HLOOKUP(INDIRECT(ADDRESS(2,COLUMN())),OFFSET($BN$2,0,0,ROW()-1,60),ROW()-1,FALSE))</f>
        <v>90.570999999999998</v>
      </c>
      <c r="W43">
        <f ca="1">IF(AND(ISNUMBER($W$296),$B$258=1),$W$296,HLOOKUP(INDIRECT(ADDRESS(2,COLUMN())),OFFSET($BN$2,0,0,ROW()-1,60),ROW()-1,FALSE))</f>
        <v>88.622</v>
      </c>
      <c r="X43">
        <f ca="1">IF(AND(ISNUMBER($X$296),$B$258=1),$X$296,HLOOKUP(INDIRECT(ADDRESS(2,COLUMN())),OFFSET($BN$2,0,0,ROW()-1,60),ROW()-1,FALSE))</f>
        <v>83.665999999999997</v>
      </c>
      <c r="Y43">
        <f ca="1">IF(AND(ISNUMBER($Y$296),$B$258=1),$Y$296,HLOOKUP(INDIRECT(ADDRESS(2,COLUMN())),OFFSET($BN$2,0,0,ROW()-1,60),ROW()-1,FALSE))</f>
        <v>84.054000000000002</v>
      </c>
      <c r="Z43">
        <f ca="1">IF(AND(ISNUMBER($Z$296),$B$258=1),$Z$296,HLOOKUP(INDIRECT(ADDRESS(2,COLUMN())),OFFSET($BN$2,0,0,ROW()-1,60),ROW()-1,FALSE))</f>
        <v>80.272999999999996</v>
      </c>
      <c r="AA43">
        <f ca="1">IF(AND(ISNUMBER($AA$296),$B$258=1),$AA$296,HLOOKUP(INDIRECT(ADDRESS(2,COLUMN())),OFFSET($BN$2,0,0,ROW()-1,60),ROW()-1,FALSE))</f>
        <v>78.25</v>
      </c>
      <c r="AB43">
        <f ca="1">IF(AND(ISNUMBER($AB$296),$B$258=1),$AB$296,HLOOKUP(INDIRECT(ADDRESS(2,COLUMN())),OFFSET($BN$2,0,0,ROW()-1,60),ROW()-1,FALSE))</f>
        <v>76.936999999999998</v>
      </c>
      <c r="AC43">
        <f ca="1">IF(AND(ISNUMBER($AC$296),$B$258=1),$AC$296,HLOOKUP(INDIRECT(ADDRESS(2,COLUMN())),OFFSET($BN$2,0,0,ROW()-1,60),ROW()-1,FALSE))</f>
        <v>77.593000000000004</v>
      </c>
      <c r="AD43">
        <f ca="1">IF(AND(ISNUMBER($AD$296),$B$258=1),$AD$296,HLOOKUP(INDIRECT(ADDRESS(2,COLUMN())),OFFSET($BN$2,0,0,ROW()-1,60),ROW()-1,FALSE))</f>
        <v>76.165000000000006</v>
      </c>
      <c r="AE43">
        <f ca="1">IF(AND(ISNUMBER($AE$296),$B$258=1),$AE$296,HLOOKUP(INDIRECT(ADDRESS(2,COLUMN())),OFFSET($BN$2,0,0,ROW()-1,60),ROW()-1,FALSE))</f>
        <v>75.259</v>
      </c>
      <c r="AF43">
        <f ca="1">IF(AND(ISNUMBER($AF$296),$B$258=1),$AF$296,HLOOKUP(INDIRECT(ADDRESS(2,COLUMN())),OFFSET($BN$2,0,0,ROW()-1,60),ROW()-1,FALSE))</f>
        <v>73.840999999999994</v>
      </c>
      <c r="AG43">
        <f ca="1">IF(AND(ISNUMBER($AG$296),$B$258=1),$AG$296,HLOOKUP(INDIRECT(ADDRESS(2,COLUMN())),OFFSET($BN$2,0,0,ROW()-1,60),ROW()-1,FALSE))</f>
        <v>71.727000000000004</v>
      </c>
      <c r="AH43">
        <f ca="1">IF(AND(ISNUMBER($AH$296),$B$258=1),$AH$296,HLOOKUP(INDIRECT(ADDRESS(2,COLUMN())),OFFSET($BN$2,0,0,ROW()-1,60),ROW()-1,FALSE))</f>
        <v>72.004000000000005</v>
      </c>
      <c r="AI43">
        <f ca="1">IF(AND(ISNUMBER($AI$296),$B$258=1),$AI$296,HLOOKUP(INDIRECT(ADDRESS(2,COLUMN())),OFFSET($BN$2,0,0,ROW()-1,60),ROW()-1,FALSE))</f>
        <v>66.376000000000005</v>
      </c>
      <c r="AJ43">
        <f ca="1">IF(AND(ISNUMBER($AJ$296),$B$258=1),$AJ$296,HLOOKUP(INDIRECT(ADDRESS(2,COLUMN())),OFFSET($BN$2,0,0,ROW()-1,60),ROW()-1,FALSE))</f>
        <v>64.387</v>
      </c>
      <c r="AK43">
        <f ca="1">IF(AND(ISNUMBER($AK$296),$B$258=1),$AK$296,HLOOKUP(INDIRECT(ADDRESS(2,COLUMN())),OFFSET($BN$2,0,0,ROW()-1,60),ROW()-1,FALSE))</f>
        <v>63.935000000000002</v>
      </c>
      <c r="AL43">
        <f ca="1">IF(AND(ISNUMBER($AL$296),$B$258=1),$AL$296,HLOOKUP(INDIRECT(ADDRESS(2,COLUMN())),OFFSET($BN$2,0,0,ROW()-1,60),ROW()-1,FALSE))</f>
        <v>62.997</v>
      </c>
      <c r="AM43">
        <f ca="1">IF(AND(ISNUMBER($AM$296),$B$258=1),$AM$296,HLOOKUP(INDIRECT(ADDRESS(2,COLUMN())),OFFSET($BN$2,0,0,ROW()-1,60),ROW()-1,FALSE))</f>
        <v>62.125999999999998</v>
      </c>
      <c r="AN43">
        <f ca="1">IF(AND(ISNUMBER($AN$296),$B$258=1),$AN$296,HLOOKUP(INDIRECT(ADDRESS(2,COLUMN())),OFFSET($BN$2,0,0,ROW()-1,60),ROW()-1,FALSE))</f>
        <v>62.329000000000001</v>
      </c>
      <c r="AO43">
        <f ca="1">IF(AND(ISNUMBER($AO$296),$B$258=1),$AO$296,HLOOKUP(INDIRECT(ADDRESS(2,COLUMN())),OFFSET($BN$2,0,0,ROW()-1,60),ROW()-1,FALSE))</f>
        <v>64.218000000000004</v>
      </c>
      <c r="AP43">
        <f ca="1">IF(AND(ISNUMBER($AP$296),$B$258=1),$AP$296,HLOOKUP(INDIRECT(ADDRESS(2,COLUMN())),OFFSET($BN$2,0,0,ROW()-1,60),ROW()-1,FALSE))</f>
        <v>62.093000000000004</v>
      </c>
      <c r="AQ43">
        <f ca="1">IF(AND(ISNUMBER($AQ$296),$B$258=1),$AQ$296,HLOOKUP(INDIRECT(ADDRESS(2,COLUMN())),OFFSET($BN$2,0,0,ROW()-1,60),ROW()-1,FALSE))</f>
        <v>54.414000000000001</v>
      </c>
      <c r="AR43">
        <f ca="1">IF(AND(ISNUMBER($AR$296),$B$258=1),$AR$296,HLOOKUP(INDIRECT(ADDRESS(2,COLUMN())),OFFSET($BN$2,0,0,ROW()-1,60),ROW()-1,FALSE))</f>
        <v>54.673999999999999</v>
      </c>
      <c r="AS43">
        <f ca="1">IF(AND(ISNUMBER($AS$296),$B$258=1),$AS$296,HLOOKUP(INDIRECT(ADDRESS(2,COLUMN())),OFFSET($BN$2,0,0,ROW()-1,60),ROW()-1,FALSE))</f>
        <v>52.640999999999998</v>
      </c>
      <c r="AT43">
        <f ca="1">IF(AND(ISNUMBER($AT$296),$B$258=1),$AT$296,HLOOKUP(INDIRECT(ADDRESS(2,COLUMN())),OFFSET($BN$2,0,0,ROW()-1,60),ROW()-1,FALSE))</f>
        <v>52.201999999999998</v>
      </c>
      <c r="AU43">
        <f ca="1">IF(AND(ISNUMBER($AU$296),$B$258=1),$AU$296,HLOOKUP(INDIRECT(ADDRESS(2,COLUMN())),OFFSET($BN$2,0,0,ROW()-1,60),ROW()-1,FALSE))</f>
        <v>42.744999999999997</v>
      </c>
      <c r="AV43">
        <f ca="1">IF(AND(ISNUMBER($AV$296),$B$258=1),$AV$296,HLOOKUP(INDIRECT(ADDRESS(2,COLUMN())),OFFSET($BN$2,0,0,ROW()-1,60),ROW()-1,FALSE))</f>
        <v>50.470999999999997</v>
      </c>
      <c r="AW43">
        <f ca="1">IF(AND(ISNUMBER($AW$296),$B$258=1),$AW$296,HLOOKUP(INDIRECT(ADDRESS(2,COLUMN())),OFFSET($BN$2,0,0,ROW()-1,60),ROW()-1,FALSE))</f>
        <v>51.514000000000003</v>
      </c>
      <c r="AX43">
        <f ca="1">IF(AND(ISNUMBER($AX$296),$B$258=1),$AX$296,HLOOKUP(INDIRECT(ADDRESS(2,COLUMN())),OFFSET($BN$2,0,0,ROW()-1,60),ROW()-1,FALSE))</f>
        <v>52.640999999999998</v>
      </c>
      <c r="AY43">
        <f ca="1">IF(AND(ISNUMBER($AY$296),$B$258=1),$AY$296,HLOOKUP(INDIRECT(ADDRESS(2,COLUMN())),OFFSET($BN$2,0,0,ROW()-1,60),ROW()-1,FALSE))</f>
        <v>52.610999999999997</v>
      </c>
      <c r="AZ43">
        <f ca="1">IF(AND(ISNUMBER($AZ$296),$B$258=1),$AZ$296,HLOOKUP(INDIRECT(ADDRESS(2,COLUMN())),OFFSET($BN$2,0,0,ROW()-1,60),ROW()-1,FALSE))</f>
        <v>54.287999999999997</v>
      </c>
      <c r="BA43">
        <f ca="1">IF(AND(ISNUMBER($BA$296),$B$258=1),$BA$296,HLOOKUP(INDIRECT(ADDRESS(2,COLUMN())),OFFSET($BN$2,0,0,ROW()-1,60),ROW()-1,FALSE))</f>
        <v>54.662999999999997</v>
      </c>
      <c r="BB43">
        <f ca="1">IF(AND(ISNUMBER($BB$296),$B$258=1),$BB$296,HLOOKUP(INDIRECT(ADDRESS(2,COLUMN())),OFFSET($BN$2,0,0,ROW()-1,60),ROW()-1,FALSE))</f>
        <v>51.853999999999999</v>
      </c>
      <c r="BC43">
        <f ca="1">IF(AND(ISNUMBER($BC$296),$B$258=1),$BC$296,HLOOKUP(INDIRECT(ADDRESS(2,COLUMN())),OFFSET($BN$2,0,0,ROW()-1,60),ROW()-1,FALSE))</f>
        <v>66.221999999999994</v>
      </c>
      <c r="BD43">
        <f ca="1">IF(AND(ISNUMBER($BD$296),$B$258=1),$BD$296,HLOOKUP(INDIRECT(ADDRESS(2,COLUMN())),OFFSET($BN$2,0,0,ROW()-1,60),ROW()-1,FALSE))</f>
        <v>65.676000000000002</v>
      </c>
      <c r="BE43">
        <f ca="1">IF(AND(ISNUMBER($BE$296),$B$258=1),$BE$296,HLOOKUP(INDIRECT(ADDRESS(2,COLUMN())),OFFSET($BN$2,0,0,ROW()-1,60),ROW()-1,FALSE))</f>
        <v>59.963000000000001</v>
      </c>
      <c r="BF43">
        <f ca="1">IF(AND(ISNUMBER($BF$296),$B$258=1),$BF$296,HLOOKUP(INDIRECT(ADDRESS(2,COLUMN())),OFFSET($BN$2,0,0,ROW()-1,60),ROW()-1,FALSE))</f>
        <v>59.911000000000001</v>
      </c>
      <c r="BG43">
        <f ca="1">IF(AND(ISNUMBER($BG$296),$B$258=1),$BG$296,HLOOKUP(INDIRECT(ADDRESS(2,COLUMN())),OFFSET($BN$2,0,0,ROW()-1,60),ROW()-1,FALSE))</f>
        <v>65.272000000000006</v>
      </c>
      <c r="BH43">
        <f ca="1">IF(AND(ISNUMBER($BH$296),$B$258=1),$BH$296,HLOOKUP(INDIRECT(ADDRESS(2,COLUMN())),OFFSET($BN$2,0,0,ROW()-1,60),ROW()-1,FALSE))</f>
        <v>59.783999999999999</v>
      </c>
      <c r="BI43">
        <f ca="1">IF(AND(ISNUMBER($BI$296),$B$258=1),$BI$296,HLOOKUP(INDIRECT(ADDRESS(2,COLUMN())),OFFSET($BN$2,0,0,ROW()-1,60),ROW()-1,FALSE))</f>
        <v>55.944000000000003</v>
      </c>
      <c r="BJ43">
        <f ca="1">IF(AND(ISNUMBER($BJ$296),$B$258=1),$BJ$296,HLOOKUP(INDIRECT(ADDRESS(2,COLUMN())),OFFSET($BN$2,0,0,ROW()-1,60),ROW()-1,FALSE))</f>
        <v>48.793999999999997</v>
      </c>
      <c r="BK43">
        <f ca="1">IF(AND(ISNUMBER($BK$296),$B$258=1),$BK$296,HLOOKUP(INDIRECT(ADDRESS(2,COLUMN())),OFFSET($BN$2,0,0,ROW()-1,60),ROW()-1,FALSE))</f>
        <v>39.287999999999997</v>
      </c>
      <c r="BL43">
        <f ca="1">IF(AND(ISNUMBER($BL$296),$B$258=1),$BL$296,HLOOKUP(INDIRECT(ADDRESS(2,COLUMN())),OFFSET($BN$2,0,0,ROW()-1,60),ROW()-1,FALSE))</f>
        <v>48.076000209999997</v>
      </c>
      <c r="BM43">
        <f ca="1">IF(AND(ISNUMBER($BM$296),$B$258=1),$BM$296,HLOOKUP(INDIRECT(ADDRESS(2,COLUMN())),OFFSET($BN$2,0,0,ROW()-1,60),ROW()-1,FALSE))</f>
        <v>46.974998470000003</v>
      </c>
      <c r="BN43" t="str">
        <f>""</f>
        <v/>
      </c>
      <c r="BO43">
        <f>107.731</f>
        <v>107.73099999999999</v>
      </c>
      <c r="BP43">
        <f>106.953</f>
        <v>106.953</v>
      </c>
      <c r="BQ43">
        <f>105.245</f>
        <v>105.245</v>
      </c>
      <c r="BR43">
        <f>104.569</f>
        <v>104.569</v>
      </c>
      <c r="BS43">
        <f>105.309</f>
        <v>105.309</v>
      </c>
      <c r="BT43">
        <f>103.659</f>
        <v>103.65900000000001</v>
      </c>
      <c r="BU43">
        <f>102.642</f>
        <v>102.642</v>
      </c>
      <c r="BV43">
        <f>100.021</f>
        <v>100.021</v>
      </c>
      <c r="BW43">
        <f>98.582</f>
        <v>98.581999999999994</v>
      </c>
      <c r="BX43">
        <f>96.725</f>
        <v>96.724999999999994</v>
      </c>
      <c r="BY43">
        <f>96.708</f>
        <v>96.707999999999998</v>
      </c>
      <c r="BZ43">
        <f>96.456</f>
        <v>96.456000000000003</v>
      </c>
      <c r="CA43">
        <f>95</f>
        <v>95</v>
      </c>
      <c r="CB43">
        <f>93.613</f>
        <v>93.613</v>
      </c>
      <c r="CC43">
        <f>91.671</f>
        <v>91.671000000000006</v>
      </c>
      <c r="CD43">
        <f>90.571</f>
        <v>90.570999999999998</v>
      </c>
      <c r="CE43">
        <f>88.622</f>
        <v>88.622</v>
      </c>
      <c r="CF43">
        <f>83.666</f>
        <v>83.665999999999997</v>
      </c>
      <c r="CG43">
        <f>84.054</f>
        <v>84.054000000000002</v>
      </c>
      <c r="CH43">
        <f>80.273</f>
        <v>80.272999999999996</v>
      </c>
      <c r="CI43">
        <f>78.25</f>
        <v>78.25</v>
      </c>
      <c r="CJ43">
        <f>76.937</f>
        <v>76.936999999999998</v>
      </c>
      <c r="CK43">
        <f>77.593</f>
        <v>77.593000000000004</v>
      </c>
      <c r="CL43">
        <f>76.165</f>
        <v>76.165000000000006</v>
      </c>
      <c r="CM43">
        <f>75.259</f>
        <v>75.259</v>
      </c>
      <c r="CN43">
        <f>73.841</f>
        <v>73.840999999999994</v>
      </c>
      <c r="CO43">
        <f>71.727</f>
        <v>71.727000000000004</v>
      </c>
      <c r="CP43">
        <f>72.004</f>
        <v>72.004000000000005</v>
      </c>
      <c r="CQ43">
        <f>66.376</f>
        <v>66.376000000000005</v>
      </c>
      <c r="CR43">
        <f>64.387</f>
        <v>64.387</v>
      </c>
      <c r="CS43">
        <f>63.935</f>
        <v>63.935000000000002</v>
      </c>
      <c r="CT43">
        <f>62.997</f>
        <v>62.997</v>
      </c>
      <c r="CU43">
        <f>62.126</f>
        <v>62.125999999999998</v>
      </c>
      <c r="CV43">
        <f>62.329</f>
        <v>62.329000000000001</v>
      </c>
      <c r="CW43">
        <f>64.218</f>
        <v>64.218000000000004</v>
      </c>
      <c r="CX43">
        <f>62.093</f>
        <v>62.093000000000004</v>
      </c>
      <c r="CY43">
        <f>54.414</f>
        <v>54.414000000000001</v>
      </c>
      <c r="CZ43">
        <f>54.674</f>
        <v>54.673999999999999</v>
      </c>
      <c r="DA43">
        <f>52.641</f>
        <v>52.640999999999998</v>
      </c>
      <c r="DB43">
        <f>52.202</f>
        <v>52.201999999999998</v>
      </c>
      <c r="DC43">
        <f>42.745</f>
        <v>42.744999999999997</v>
      </c>
      <c r="DD43">
        <f>50.471</f>
        <v>50.470999999999997</v>
      </c>
      <c r="DE43">
        <f>51.514</f>
        <v>51.514000000000003</v>
      </c>
      <c r="DF43">
        <f>52.641</f>
        <v>52.640999999999998</v>
      </c>
      <c r="DG43">
        <f>52.611</f>
        <v>52.610999999999997</v>
      </c>
      <c r="DH43">
        <f>54.288</f>
        <v>54.287999999999997</v>
      </c>
      <c r="DI43">
        <f>54.663</f>
        <v>54.662999999999997</v>
      </c>
      <c r="DJ43">
        <f>51.854</f>
        <v>51.853999999999999</v>
      </c>
      <c r="DK43">
        <f>66.222</f>
        <v>66.221999999999994</v>
      </c>
      <c r="DL43">
        <f>65.676</f>
        <v>65.676000000000002</v>
      </c>
      <c r="DM43">
        <f>59.963</f>
        <v>59.963000000000001</v>
      </c>
      <c r="DN43">
        <f>59.911</f>
        <v>59.911000000000001</v>
      </c>
      <c r="DO43">
        <f>65.272</f>
        <v>65.272000000000006</v>
      </c>
      <c r="DP43">
        <f>59.784</f>
        <v>59.783999999999999</v>
      </c>
      <c r="DQ43">
        <f>55.944</f>
        <v>55.944000000000003</v>
      </c>
      <c r="DR43">
        <f>48.794</f>
        <v>48.793999999999997</v>
      </c>
      <c r="DS43">
        <f>39.288</f>
        <v>39.287999999999997</v>
      </c>
      <c r="DT43">
        <f>48.07600021</f>
        <v>48.076000209999997</v>
      </c>
      <c r="DU43">
        <f>46.97499847</f>
        <v>46.974998470000003</v>
      </c>
    </row>
    <row r="44" spans="1:125">
      <c r="A44" t="str">
        <f>"    Healthcare Trust of America In"</f>
        <v xml:space="preserve">    Healthcare Trust of America In</v>
      </c>
      <c r="B44" t="str">
        <f>"HTA US Equity"</f>
        <v>HTA US Equity</v>
      </c>
      <c r="C44" t="str">
        <f t="shared" si="9"/>
        <v>IS010</v>
      </c>
      <c r="D44" t="str">
        <f t="shared" si="10"/>
        <v>SALES_REV_TURN</v>
      </c>
      <c r="E44" t="str">
        <f t="shared" si="11"/>
        <v>动态</v>
      </c>
      <c r="F44" t="str">
        <f ca="1">IF(AND(ISNUMBER($F$297),$B$258=1),$F$297,HLOOKUP(INDIRECT(ADDRESS(2,COLUMN())),OFFSET($BN$2,0,0,ROW()-1,60),ROW()-1,FALSE))</f>
        <v/>
      </c>
      <c r="G44">
        <f ca="1">IF(AND(ISNUMBER($G$297),$B$258=1),$G$297,HLOOKUP(INDIRECT(ADDRESS(2,COLUMN())),OFFSET($BN$2,0,0,ROW()-1,60),ROW()-1,FALSE))</f>
        <v>173.77</v>
      </c>
      <c r="H44">
        <f ca="1">IF(AND(ISNUMBER($H$297),$B$258=1),$H$297,HLOOKUP(INDIRECT(ADDRESS(2,COLUMN())),OFFSET($BN$2,0,0,ROW()-1,60),ROW()-1,FALSE))</f>
        <v>175.994</v>
      </c>
      <c r="I44">
        <f ca="1">IF(AND(ISNUMBER($I$297),$B$258=1),$I$297,HLOOKUP(INDIRECT(ADDRESS(2,COLUMN())),OFFSET($BN$2,0,0,ROW()-1,60),ROW()-1,FALSE))</f>
        <v>139.87899999999999</v>
      </c>
      <c r="J44">
        <f ca="1">IF(AND(ISNUMBER($J$297),$B$258=1),$J$297,HLOOKUP(INDIRECT(ADDRESS(2,COLUMN())),OFFSET($BN$2,0,0,ROW()-1,60),ROW()-1,FALSE))</f>
        <v>124.34699999999999</v>
      </c>
      <c r="K44">
        <f ca="1">IF(AND(ISNUMBER($K$297),$B$258=1),$K$297,HLOOKUP(INDIRECT(ADDRESS(2,COLUMN())),OFFSET($BN$2,0,0,ROW()-1,60),ROW()-1,FALSE))</f>
        <v>122.039</v>
      </c>
      <c r="L44">
        <f ca="1">IF(AND(ISNUMBER($L$297),$B$258=1),$L$297,HLOOKUP(INDIRECT(ADDRESS(2,COLUMN())),OFFSET($BN$2,0,0,ROW()-1,60),ROW()-1,FALSE))</f>
        <v>118.34</v>
      </c>
      <c r="M44">
        <f ca="1">IF(AND(ISNUMBER($M$297),$B$258=1),$M$297,HLOOKUP(INDIRECT(ADDRESS(2,COLUMN())),OFFSET($BN$2,0,0,ROW()-1,60),ROW()-1,FALSE))</f>
        <v>113.23399999999999</v>
      </c>
      <c r="N44">
        <f ca="1">IF(AND(ISNUMBER($N$297),$B$258=1),$N$297,HLOOKUP(INDIRECT(ADDRESS(2,COLUMN())),OFFSET($BN$2,0,0,ROW()-1,60),ROW()-1,FALSE))</f>
        <v>107.315</v>
      </c>
      <c r="O44">
        <f ca="1">IF(AND(ISNUMBER($O$297),$B$258=1),$O$297,HLOOKUP(INDIRECT(ADDRESS(2,COLUMN())),OFFSET($BN$2,0,0,ROW()-1,60),ROW()-1,FALSE))</f>
        <v>102.04900000000001</v>
      </c>
      <c r="P44">
        <f ca="1">IF(AND(ISNUMBER($P$297),$B$258=1),$P$297,HLOOKUP(INDIRECT(ADDRESS(2,COLUMN())),OFFSET($BN$2,0,0,ROW()-1,60),ROW()-1,FALSE))</f>
        <v>103.94199999999999</v>
      </c>
      <c r="Q44">
        <f ca="1">IF(AND(ISNUMBER($Q$297),$B$258=1),$Q$297,HLOOKUP(INDIRECT(ADDRESS(2,COLUMN())),OFFSET($BN$2,0,0,ROW()-1,60),ROW()-1,FALSE))</f>
        <v>99.311000000000007</v>
      </c>
      <c r="R44">
        <f ca="1">IF(AND(ISNUMBER($R$297),$B$258=1),$R$297,HLOOKUP(INDIRECT(ADDRESS(2,COLUMN())),OFFSET($BN$2,0,0,ROW()-1,60),ROW()-1,FALSE))</f>
        <v>98.52</v>
      </c>
      <c r="S44">
        <f ca="1">IF(AND(ISNUMBER($S$297),$B$258=1),$S$297,HLOOKUP(INDIRECT(ADDRESS(2,COLUMN())),OFFSET($BN$2,0,0,ROW()-1,60),ROW()-1,FALSE))</f>
        <v>94.995999999999995</v>
      </c>
      <c r="T44">
        <f ca="1">IF(AND(ISNUMBER($T$297),$B$258=1),$T$297,HLOOKUP(INDIRECT(ADDRESS(2,COLUMN())),OFFSET($BN$2,0,0,ROW()-1,60),ROW()-1,FALSE))</f>
        <v>95.534000000000006</v>
      </c>
      <c r="U44">
        <f ca="1">IF(AND(ISNUMBER($U$297),$B$258=1),$U$297,HLOOKUP(INDIRECT(ADDRESS(2,COLUMN())),OFFSET($BN$2,0,0,ROW()-1,60),ROW()-1,FALSE))</f>
        <v>89.671000000000006</v>
      </c>
      <c r="V44">
        <f ca="1">IF(AND(ISNUMBER($V$297),$B$258=1),$V$297,HLOOKUP(INDIRECT(ADDRESS(2,COLUMN())),OFFSET($BN$2,0,0,ROW()-1,60),ROW()-1,FALSE))</f>
        <v>91.304000000000002</v>
      </c>
      <c r="W44">
        <f ca="1">IF(AND(ISNUMBER($W$297),$B$258=1),$W$297,HLOOKUP(INDIRECT(ADDRESS(2,COLUMN())),OFFSET($BN$2,0,0,ROW()-1,60),ROW()-1,FALSE))</f>
        <v>84.132000000000005</v>
      </c>
      <c r="X44">
        <f ca="1">IF(AND(ISNUMBER($X$297),$B$258=1),$X$297,HLOOKUP(INDIRECT(ADDRESS(2,COLUMN())),OFFSET($BN$2,0,0,ROW()-1,60),ROW()-1,FALSE))</f>
        <v>82.540999999999997</v>
      </c>
      <c r="Y44">
        <f ca="1">IF(AND(ISNUMBER($Y$297),$B$258=1),$Y$297,HLOOKUP(INDIRECT(ADDRESS(2,COLUMN())),OFFSET($BN$2,0,0,ROW()-1,60),ROW()-1,FALSE))</f>
        <v>77.623999999999995</v>
      </c>
      <c r="Z44">
        <f ca="1">IF(AND(ISNUMBER($Z$297),$B$258=1),$Z$297,HLOOKUP(INDIRECT(ADDRESS(2,COLUMN())),OFFSET($BN$2,0,0,ROW()-1,60),ROW()-1,FALSE))</f>
        <v>76.861000000000004</v>
      </c>
      <c r="AA44">
        <f ca="1">IF(AND(ISNUMBER($AA$297),$B$258=1),$AA$297,HLOOKUP(INDIRECT(ADDRESS(2,COLUMN())),OFFSET($BN$2,0,0,ROW()-1,60),ROW()-1,FALSE))</f>
        <v>73.474999999999994</v>
      </c>
      <c r="AB44">
        <f ca="1">IF(AND(ISNUMBER($AB$297),$B$258=1),$AB$297,HLOOKUP(INDIRECT(ADDRESS(2,COLUMN())),OFFSET($BN$2,0,0,ROW()-1,60),ROW()-1,FALSE))</f>
        <v>77.531999999999996</v>
      </c>
      <c r="AC44">
        <f ca="1">IF(AND(ISNUMBER($AC$297),$B$258=1),$AC$297,HLOOKUP(INDIRECT(ADDRESS(2,COLUMN())),OFFSET($BN$2,0,0,ROW()-1,60),ROW()-1,FALSE))</f>
        <v>75.697000000000003</v>
      </c>
      <c r="AD44">
        <f ca="1">IF(AND(ISNUMBER($AD$297),$B$258=1),$AD$297,HLOOKUP(INDIRECT(ADDRESS(2,COLUMN())),OFFSET($BN$2,0,0,ROW()-1,60),ROW()-1,FALSE))</f>
        <v>70.676000000000002</v>
      </c>
      <c r="AE44">
        <f ca="1">IF(AND(ISNUMBER($AE$297),$B$258=1),$AE$297,HLOOKUP(INDIRECT(ADDRESS(2,COLUMN())),OFFSET($BN$2,0,0,ROW()-1,60),ROW()-1,FALSE))</f>
        <v>65.531999999999996</v>
      </c>
      <c r="AF44">
        <f ca="1">IF(AND(ISNUMBER($AF$297),$B$258=1),$AF$297,HLOOKUP(INDIRECT(ADDRESS(2,COLUMN())),OFFSET($BN$2,0,0,ROW()-1,60),ROW()-1,FALSE))</f>
        <v>69.94</v>
      </c>
      <c r="AG44">
        <f ca="1">IF(AND(ISNUMBER($AG$297),$B$258=1),$AG$297,HLOOKUP(INDIRECT(ADDRESS(2,COLUMN())),OFFSET($BN$2,0,0,ROW()-1,60),ROW()-1,FALSE))</f>
        <v>68.073999999999998</v>
      </c>
      <c r="AH44">
        <f ca="1">IF(AND(ISNUMBER($AH$297),$B$258=1),$AH$297,HLOOKUP(INDIRECT(ADDRESS(2,COLUMN())),OFFSET($BN$2,0,0,ROW()-1,60),ROW()-1,FALSE))</f>
        <v>70.891999999999996</v>
      </c>
      <c r="AI44">
        <f ca="1">IF(AND(ISNUMBER($AI$297),$B$258=1),$AI$297,HLOOKUP(INDIRECT(ADDRESS(2,COLUMN())),OFFSET($BN$2,0,0,ROW()-1,60),ROW()-1,FALSE))</f>
        <v>59.16</v>
      </c>
      <c r="AJ44">
        <f ca="1">IF(AND(ISNUMBER($AJ$297),$B$258=1),$AJ$297,HLOOKUP(INDIRECT(ADDRESS(2,COLUMN())),OFFSET($BN$2,0,0,ROW()-1,60),ROW()-1,FALSE))</f>
        <v>52.496000000000002</v>
      </c>
      <c r="AK44">
        <f ca="1">IF(AND(ISNUMBER($AK$297),$B$258=1),$AK$297,HLOOKUP(INDIRECT(ADDRESS(2,COLUMN())),OFFSET($BN$2,0,0,ROW()-1,60),ROW()-1,FALSE))</f>
        <v>46.521999999999998</v>
      </c>
      <c r="AL44">
        <f ca="1">IF(AND(ISNUMBER($AL$297),$B$258=1),$AL$297,HLOOKUP(INDIRECT(ADDRESS(2,COLUMN())),OFFSET($BN$2,0,0,ROW()-1,60),ROW()-1,FALSE))</f>
        <v>44.948</v>
      </c>
      <c r="AM44" t="str">
        <f ca="1">IF(AND(ISNUMBER($AM$297),$B$258=1),$AM$297,HLOOKUP(INDIRECT(ADDRESS(2,COLUMN())),OFFSET($BN$2,0,0,ROW()-1,60),ROW()-1,FALSE))</f>
        <v/>
      </c>
      <c r="AN44" t="str">
        <f ca="1">IF(AND(ISNUMBER($AN$297),$B$258=1),$AN$297,HLOOKUP(INDIRECT(ADDRESS(2,COLUMN())),OFFSET($BN$2,0,0,ROW()-1,60),ROW()-1,FALSE))</f>
        <v/>
      </c>
      <c r="AO44" t="str">
        <f ca="1">IF(AND(ISNUMBER($AO$297),$B$258=1),$AO$297,HLOOKUP(INDIRECT(ADDRESS(2,COLUMN())),OFFSET($BN$2,0,0,ROW()-1,60),ROW()-1,FALSE))</f>
        <v/>
      </c>
      <c r="AP44" t="str">
        <f ca="1">IF(AND(ISNUMBER($AP$297),$B$258=1),$AP$297,HLOOKUP(INDIRECT(ADDRESS(2,COLUMN())),OFFSET($BN$2,0,0,ROW()-1,60),ROW()-1,FALSE))</f>
        <v/>
      </c>
      <c r="AQ44" t="str">
        <f ca="1">IF(AND(ISNUMBER($AQ$297),$B$258=1),$AQ$297,HLOOKUP(INDIRECT(ADDRESS(2,COLUMN())),OFFSET($BN$2,0,0,ROW()-1,60),ROW()-1,FALSE))</f>
        <v/>
      </c>
      <c r="AR44" t="str">
        <f ca="1">IF(AND(ISNUMBER($AR$297),$B$258=1),$AR$297,HLOOKUP(INDIRECT(ADDRESS(2,COLUMN())),OFFSET($BN$2,0,0,ROW()-1,60),ROW()-1,FALSE))</f>
        <v/>
      </c>
      <c r="AS44" t="str">
        <f ca="1">IF(AND(ISNUMBER($AS$297),$B$258=1),$AS$297,HLOOKUP(INDIRECT(ADDRESS(2,COLUMN())),OFFSET($BN$2,0,0,ROW()-1,60),ROW()-1,FALSE))</f>
        <v/>
      </c>
      <c r="AT44" t="str">
        <f ca="1">IF(AND(ISNUMBER($AT$297),$B$258=1),$AT$297,HLOOKUP(INDIRECT(ADDRESS(2,COLUMN())),OFFSET($BN$2,0,0,ROW()-1,60),ROW()-1,FALSE))</f>
        <v/>
      </c>
      <c r="AU44" t="str">
        <f ca="1">IF(AND(ISNUMBER($AU$297),$B$258=1),$AU$297,HLOOKUP(INDIRECT(ADDRESS(2,COLUMN())),OFFSET($BN$2,0,0,ROW()-1,60),ROW()-1,FALSE))</f>
        <v/>
      </c>
      <c r="AV44" t="str">
        <f ca="1">IF(AND(ISNUMBER($AV$297),$B$258=1),$AV$297,HLOOKUP(INDIRECT(ADDRESS(2,COLUMN())),OFFSET($BN$2,0,0,ROW()-1,60),ROW()-1,FALSE))</f>
        <v/>
      </c>
      <c r="AW44" t="str">
        <f ca="1">IF(AND(ISNUMBER($AW$297),$B$258=1),$AW$297,HLOOKUP(INDIRECT(ADDRESS(2,COLUMN())),OFFSET($BN$2,0,0,ROW()-1,60),ROW()-1,FALSE))</f>
        <v/>
      </c>
      <c r="AX44" t="str">
        <f ca="1">IF(AND(ISNUMBER($AX$297),$B$258=1),$AX$297,HLOOKUP(INDIRECT(ADDRESS(2,COLUMN())),OFFSET($BN$2,0,0,ROW()-1,60),ROW()-1,FALSE))</f>
        <v/>
      </c>
      <c r="AY44" t="str">
        <f ca="1">IF(AND(ISNUMBER($AY$297),$B$258=1),$AY$297,HLOOKUP(INDIRECT(ADDRESS(2,COLUMN())),OFFSET($BN$2,0,0,ROW()-1,60),ROW()-1,FALSE))</f>
        <v/>
      </c>
      <c r="AZ44" t="str">
        <f ca="1">IF(AND(ISNUMBER($AZ$297),$B$258=1),$AZ$297,HLOOKUP(INDIRECT(ADDRESS(2,COLUMN())),OFFSET($BN$2,0,0,ROW()-1,60),ROW()-1,FALSE))</f>
        <v/>
      </c>
      <c r="BA44" t="str">
        <f ca="1">IF(AND(ISNUMBER($BA$297),$B$258=1),$BA$297,HLOOKUP(INDIRECT(ADDRESS(2,COLUMN())),OFFSET($BN$2,0,0,ROW()-1,60),ROW()-1,FALSE))</f>
        <v/>
      </c>
      <c r="BB44" t="str">
        <f ca="1">IF(AND(ISNUMBER($BB$297),$B$258=1),$BB$297,HLOOKUP(INDIRECT(ADDRESS(2,COLUMN())),OFFSET($BN$2,0,0,ROW()-1,60),ROW()-1,FALSE))</f>
        <v/>
      </c>
      <c r="BC44" t="str">
        <f ca="1">IF(AND(ISNUMBER($BC$297),$B$258=1),$BC$297,HLOOKUP(INDIRECT(ADDRESS(2,COLUMN())),OFFSET($BN$2,0,0,ROW()-1,60),ROW()-1,FALSE))</f>
        <v/>
      </c>
      <c r="BD44" t="str">
        <f ca="1">IF(AND(ISNUMBER($BD$297),$B$258=1),$BD$297,HLOOKUP(INDIRECT(ADDRESS(2,COLUMN())),OFFSET($BN$2,0,0,ROW()-1,60),ROW()-1,FALSE))</f>
        <v/>
      </c>
      <c r="BE44" t="str">
        <f ca="1">IF(AND(ISNUMBER($BE$297),$B$258=1),$BE$297,HLOOKUP(INDIRECT(ADDRESS(2,COLUMN())),OFFSET($BN$2,0,0,ROW()-1,60),ROW()-1,FALSE))</f>
        <v/>
      </c>
      <c r="BF44" t="str">
        <f ca="1">IF(AND(ISNUMBER($BF$297),$B$258=1),$BF$297,HLOOKUP(INDIRECT(ADDRESS(2,COLUMN())),OFFSET($BN$2,0,0,ROW()-1,60),ROW()-1,FALSE))</f>
        <v/>
      </c>
      <c r="BG44" t="str">
        <f ca="1">IF(AND(ISNUMBER($BG$297),$B$258=1),$BG$297,HLOOKUP(INDIRECT(ADDRESS(2,COLUMN())),OFFSET($BN$2,0,0,ROW()-1,60),ROW()-1,FALSE))</f>
        <v/>
      </c>
      <c r="BH44" t="str">
        <f ca="1">IF(AND(ISNUMBER($BH$297),$B$258=1),$BH$297,HLOOKUP(INDIRECT(ADDRESS(2,COLUMN())),OFFSET($BN$2,0,0,ROW()-1,60),ROW()-1,FALSE))</f>
        <v/>
      </c>
      <c r="BI44" t="str">
        <f ca="1">IF(AND(ISNUMBER($BI$297),$B$258=1),$BI$297,HLOOKUP(INDIRECT(ADDRESS(2,COLUMN())),OFFSET($BN$2,0,0,ROW()-1,60),ROW()-1,FALSE))</f>
        <v/>
      </c>
      <c r="BJ44" t="str">
        <f ca="1">IF(AND(ISNUMBER($BJ$297),$B$258=1),$BJ$297,HLOOKUP(INDIRECT(ADDRESS(2,COLUMN())),OFFSET($BN$2,0,0,ROW()-1,60),ROW()-1,FALSE))</f>
        <v/>
      </c>
      <c r="BK44" t="str">
        <f ca="1">IF(AND(ISNUMBER($BK$297),$B$258=1),$BK$297,HLOOKUP(INDIRECT(ADDRESS(2,COLUMN())),OFFSET($BN$2,0,0,ROW()-1,60),ROW()-1,FALSE))</f>
        <v/>
      </c>
      <c r="BL44" t="str">
        <f ca="1">IF(AND(ISNUMBER($BL$297),$B$258=1),$BL$297,HLOOKUP(INDIRECT(ADDRESS(2,COLUMN())),OFFSET($BN$2,0,0,ROW()-1,60),ROW()-1,FALSE))</f>
        <v/>
      </c>
      <c r="BM44" t="str">
        <f ca="1">IF(AND(ISNUMBER($BM$297),$B$258=1),$BM$297,HLOOKUP(INDIRECT(ADDRESS(2,COLUMN())),OFFSET($BN$2,0,0,ROW()-1,60),ROW()-1,FALSE))</f>
        <v/>
      </c>
      <c r="BN44" t="str">
        <f>""</f>
        <v/>
      </c>
      <c r="BO44">
        <f>173.77</f>
        <v>173.77</v>
      </c>
      <c r="BP44">
        <f>175.994</f>
        <v>175.994</v>
      </c>
      <c r="BQ44">
        <f>139.879</f>
        <v>139.87899999999999</v>
      </c>
      <c r="BR44">
        <f>124.347</f>
        <v>124.34699999999999</v>
      </c>
      <c r="BS44">
        <f>122.039</f>
        <v>122.039</v>
      </c>
      <c r="BT44">
        <f>118.34</f>
        <v>118.34</v>
      </c>
      <c r="BU44">
        <f>113.234</f>
        <v>113.23399999999999</v>
      </c>
      <c r="BV44">
        <f>107.315</f>
        <v>107.315</v>
      </c>
      <c r="BW44">
        <f>102.049</f>
        <v>102.04900000000001</v>
      </c>
      <c r="BX44">
        <f>103.942</f>
        <v>103.94199999999999</v>
      </c>
      <c r="BY44">
        <f>99.311</f>
        <v>99.311000000000007</v>
      </c>
      <c r="BZ44">
        <f>98.52</f>
        <v>98.52</v>
      </c>
      <c r="CA44">
        <f>94.996</f>
        <v>94.995999999999995</v>
      </c>
      <c r="CB44">
        <f>95.534</f>
        <v>95.534000000000006</v>
      </c>
      <c r="CC44">
        <f>89.671</f>
        <v>89.671000000000006</v>
      </c>
      <c r="CD44">
        <f>91.304</f>
        <v>91.304000000000002</v>
      </c>
      <c r="CE44">
        <f>84.132</f>
        <v>84.132000000000005</v>
      </c>
      <c r="CF44">
        <f>82.541</f>
        <v>82.540999999999997</v>
      </c>
      <c r="CG44">
        <f>77.624</f>
        <v>77.623999999999995</v>
      </c>
      <c r="CH44">
        <f>76.861</f>
        <v>76.861000000000004</v>
      </c>
      <c r="CI44">
        <f>73.475</f>
        <v>73.474999999999994</v>
      </c>
      <c r="CJ44">
        <f>77.532</f>
        <v>77.531999999999996</v>
      </c>
      <c r="CK44">
        <f>75.697</f>
        <v>75.697000000000003</v>
      </c>
      <c r="CL44">
        <f>70.676</f>
        <v>70.676000000000002</v>
      </c>
      <c r="CM44">
        <f>65.532</f>
        <v>65.531999999999996</v>
      </c>
      <c r="CN44">
        <f>69.94</f>
        <v>69.94</v>
      </c>
      <c r="CO44">
        <f>68.074</f>
        <v>68.073999999999998</v>
      </c>
      <c r="CP44">
        <f>70.892</f>
        <v>70.891999999999996</v>
      </c>
      <c r="CQ44">
        <f>59.16</f>
        <v>59.16</v>
      </c>
      <c r="CR44">
        <f>52.496</f>
        <v>52.496000000000002</v>
      </c>
      <c r="CS44">
        <f>46.522</f>
        <v>46.521999999999998</v>
      </c>
      <c r="CT44">
        <f>44.948</f>
        <v>44.948</v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"    Medical Properties Trust Inc"</f>
        <v xml:space="preserve">    Medical Properties Trust Inc</v>
      </c>
      <c r="B45" t="str">
        <f>"MPW US Equity"</f>
        <v>MPW US Equity</v>
      </c>
      <c r="C45" t="str">
        <f t="shared" si="9"/>
        <v>IS010</v>
      </c>
      <c r="D45" t="str">
        <f t="shared" si="10"/>
        <v>SALES_REV_TURN</v>
      </c>
      <c r="E45" t="str">
        <f t="shared" si="11"/>
        <v>动态</v>
      </c>
      <c r="F45" t="str">
        <f ca="1">IF(AND(ISNUMBER($F$298),$B$258=1),$F$298,HLOOKUP(INDIRECT(ADDRESS(2,COLUMN())),OFFSET($BN$2,0,0,ROW()-1,60),ROW()-1,FALSE))</f>
        <v/>
      </c>
      <c r="G45">
        <f ca="1">IF(AND(ISNUMBER($G$298),$B$258=1),$G$298,HLOOKUP(INDIRECT(ADDRESS(2,COLUMN())),OFFSET($BN$2,0,0,ROW()-1,60),ROW()-1,FALSE))</f>
        <v>204.96100000000001</v>
      </c>
      <c r="H45">
        <f ca="1">IF(AND(ISNUMBER($H$298),$B$258=1),$H$298,HLOOKUP(INDIRECT(ADDRESS(2,COLUMN())),OFFSET($BN$2,0,0,ROW()-1,60),ROW()-1,FALSE))</f>
        <v>176.58</v>
      </c>
      <c r="I45">
        <f ca="1">IF(AND(ISNUMBER($I$298),$B$258=1),$I$298,HLOOKUP(INDIRECT(ADDRESS(2,COLUMN())),OFFSET($BN$2,0,0,ROW()-1,60),ROW()-1,FALSE))</f>
        <v>166.80699999999999</v>
      </c>
      <c r="J45">
        <f ca="1">IF(AND(ISNUMBER($J$298),$B$258=1),$J$298,HLOOKUP(INDIRECT(ADDRESS(2,COLUMN())),OFFSET($BN$2,0,0,ROW()-1,60),ROW()-1,FALSE))</f>
        <v>156.39699999999999</v>
      </c>
      <c r="K45">
        <f ca="1">IF(AND(ISNUMBER($K$298),$B$258=1),$K$298,HLOOKUP(INDIRECT(ADDRESS(2,COLUMN())),OFFSET($BN$2,0,0,ROW()-1,60),ROW()-1,FALSE))</f>
        <v>153.28299999999999</v>
      </c>
      <c r="L45">
        <f ca="1">IF(AND(ISNUMBER($L$298),$B$258=1),$L$298,HLOOKUP(INDIRECT(ADDRESS(2,COLUMN())),OFFSET($BN$2,0,0,ROW()-1,60),ROW()-1,FALSE))</f>
        <v>126.55500000000001</v>
      </c>
      <c r="M45">
        <f ca="1">IF(AND(ISNUMBER($M$298),$B$258=1),$M$298,HLOOKUP(INDIRECT(ADDRESS(2,COLUMN())),OFFSET($BN$2,0,0,ROW()-1,60),ROW()-1,FALSE))</f>
        <v>126.3</v>
      </c>
      <c r="N45">
        <f ca="1">IF(AND(ISNUMBER($N$298),$B$258=1),$N$298,HLOOKUP(INDIRECT(ADDRESS(2,COLUMN())),OFFSET($BN$2,0,0,ROW()-1,60),ROW()-1,FALSE))</f>
        <v>134.999</v>
      </c>
      <c r="O45">
        <f ca="1">IF(AND(ISNUMBER($O$298),$B$258=1),$O$298,HLOOKUP(INDIRECT(ADDRESS(2,COLUMN())),OFFSET($BN$2,0,0,ROW()-1,60),ROW()-1,FALSE))</f>
        <v>131.54599999999999</v>
      </c>
      <c r="P45">
        <f ca="1">IF(AND(ISNUMBER($P$298),$B$258=1),$P$298,HLOOKUP(INDIRECT(ADDRESS(2,COLUMN())),OFFSET($BN$2,0,0,ROW()-1,60),ROW()-1,FALSE))</f>
        <v>114.57</v>
      </c>
      <c r="Q45">
        <f ca="1">IF(AND(ISNUMBER($Q$298),$B$258=1),$Q$298,HLOOKUP(INDIRECT(ADDRESS(2,COLUMN())),OFFSET($BN$2,0,0,ROW()-1,60),ROW()-1,FALSE))</f>
        <v>99.801000000000002</v>
      </c>
      <c r="R45">
        <f ca="1">IF(AND(ISNUMBER($R$298),$B$258=1),$R$298,HLOOKUP(INDIRECT(ADDRESS(2,COLUMN())),OFFSET($BN$2,0,0,ROW()-1,60),ROW()-1,FALSE))</f>
        <v>95.960999999999999</v>
      </c>
      <c r="S45">
        <f ca="1">IF(AND(ISNUMBER($S$298),$B$258=1),$S$298,HLOOKUP(INDIRECT(ADDRESS(2,COLUMN())),OFFSET($BN$2,0,0,ROW()-1,60),ROW()-1,FALSE))</f>
        <v>82.105401999999998</v>
      </c>
      <c r="T45">
        <f ca="1">IF(AND(ISNUMBER($T$298),$B$258=1),$T$298,HLOOKUP(INDIRECT(ADDRESS(2,COLUMN())),OFFSET($BN$2,0,0,ROW()-1,60),ROW()-1,FALSE))</f>
        <v>80.777000000000001</v>
      </c>
      <c r="U45">
        <f ca="1">IF(AND(ISNUMBER($U$298),$B$258=1),$U$298,HLOOKUP(INDIRECT(ADDRESS(2,COLUMN())),OFFSET($BN$2,0,0,ROW()-1,60),ROW()-1,FALSE))</f>
        <v>76.56</v>
      </c>
      <c r="V45">
        <f ca="1">IF(AND(ISNUMBER($V$298),$B$258=1),$V$298,HLOOKUP(INDIRECT(ADDRESS(2,COLUMN())),OFFSET($BN$2,0,0,ROW()-1,60),ROW()-1,FALSE))</f>
        <v>73.088999999999999</v>
      </c>
      <c r="W45">
        <f ca="1">IF(AND(ISNUMBER($W$298),$B$258=1),$W$298,HLOOKUP(INDIRECT(ADDRESS(2,COLUMN())),OFFSET($BN$2,0,0,ROW()-1,60),ROW()-1,FALSE))</f>
        <v>67.679485</v>
      </c>
      <c r="X45">
        <f ca="1">IF(AND(ISNUMBER($X$298),$B$258=1),$X$298,HLOOKUP(INDIRECT(ADDRESS(2,COLUMN())),OFFSET($BN$2,0,0,ROW()-1,60),ROW()-1,FALSE))</f>
        <v>60.106000000000002</v>
      </c>
      <c r="Y45">
        <f ca="1">IF(AND(ISNUMBER($Y$298),$B$258=1),$Y$298,HLOOKUP(INDIRECT(ADDRESS(2,COLUMN())),OFFSET($BN$2,0,0,ROW()-1,60),ROW()-1,FALSE))</f>
        <v>57.124000000000002</v>
      </c>
      <c r="Z45">
        <f ca="1">IF(AND(ISNUMBER($Z$298),$B$258=1),$Z$298,HLOOKUP(INDIRECT(ADDRESS(2,COLUMN())),OFFSET($BN$2,0,0,ROW()-1,60),ROW()-1,FALSE))</f>
        <v>57.613</v>
      </c>
      <c r="AA45">
        <f ca="1">IF(AND(ISNUMBER($AA$298),$B$258=1),$AA$298,HLOOKUP(INDIRECT(ADDRESS(2,COLUMN())),OFFSET($BN$2,0,0,ROW()-1,60),ROW()-1,FALSE))</f>
        <v>56.597330999999997</v>
      </c>
      <c r="AB45">
        <f ca="1">IF(AND(ISNUMBER($AB$298),$B$258=1),$AB$298,HLOOKUP(INDIRECT(ADDRESS(2,COLUMN())),OFFSET($BN$2,0,0,ROW()-1,60),ROW()-1,FALSE))</f>
        <v>52.853000000000002</v>
      </c>
      <c r="AC45">
        <f ca="1">IF(AND(ISNUMBER($AC$298),$B$258=1),$AC$298,HLOOKUP(INDIRECT(ADDRESS(2,COLUMN())),OFFSET($BN$2,0,0,ROW()-1,60),ROW()-1,FALSE))</f>
        <v>48.917999999999999</v>
      </c>
      <c r="AD45">
        <f ca="1">IF(AND(ISNUMBER($AD$298),$B$258=1),$AD$298,HLOOKUP(INDIRECT(ADDRESS(2,COLUMN())),OFFSET($BN$2,0,0,ROW()-1,60),ROW()-1,FALSE))</f>
        <v>41.267000000000003</v>
      </c>
      <c r="AE45">
        <f ca="1">IF(AND(ISNUMBER($AE$298),$B$258=1),$AE$298,HLOOKUP(INDIRECT(ADDRESS(2,COLUMN())),OFFSET($BN$2,0,0,ROW()-1,60),ROW()-1,FALSE))</f>
        <v>34.417450000000002</v>
      </c>
      <c r="AF45">
        <f ca="1">IF(AND(ISNUMBER($AF$298),$B$258=1),$AF$298,HLOOKUP(INDIRECT(ADDRESS(2,COLUMN())),OFFSET($BN$2,0,0,ROW()-1,60),ROW()-1,FALSE))</f>
        <v>34.631999999999998</v>
      </c>
      <c r="AG45">
        <f ca="1">IF(AND(ISNUMBER($AG$298),$B$258=1),$AG$298,HLOOKUP(INDIRECT(ADDRESS(2,COLUMN())),OFFSET($BN$2,0,0,ROW()-1,60),ROW()-1,FALSE))</f>
        <v>34.956000000000003</v>
      </c>
      <c r="AH45">
        <f ca="1">IF(AND(ISNUMBER($AH$298),$B$258=1),$AH$298,HLOOKUP(INDIRECT(ADDRESS(2,COLUMN())),OFFSET($BN$2,0,0,ROW()-1,60),ROW()-1,FALSE))</f>
        <v>34.347000000000001</v>
      </c>
      <c r="AI45">
        <f ca="1">IF(AND(ISNUMBER($AI$298),$B$258=1),$AI$298,HLOOKUP(INDIRECT(ADDRESS(2,COLUMN())),OFFSET($BN$2,0,0,ROW()-1,60),ROW()-1,FALSE))</f>
        <v>30.676684000000002</v>
      </c>
      <c r="AJ45">
        <f ca="1">IF(AND(ISNUMBER($AJ$298),$B$258=1),$AJ$298,HLOOKUP(INDIRECT(ADDRESS(2,COLUMN())),OFFSET($BN$2,0,0,ROW()-1,60),ROW()-1,FALSE))</f>
        <v>28.643999999999998</v>
      </c>
      <c r="AK45">
        <f ca="1">IF(AND(ISNUMBER($AK$298),$B$258=1),$AK$298,HLOOKUP(INDIRECT(ADDRESS(2,COLUMN())),OFFSET($BN$2,0,0,ROW()-1,60),ROW()-1,FALSE))</f>
        <v>30.593</v>
      </c>
      <c r="AL45">
        <f ca="1">IF(AND(ISNUMBER($AL$298),$B$258=1),$AL$298,HLOOKUP(INDIRECT(ADDRESS(2,COLUMN())),OFFSET($BN$2,0,0,ROW()-1,60),ROW()-1,FALSE))</f>
        <v>30.858000000000001</v>
      </c>
      <c r="AM45">
        <f ca="1">IF(AND(ISNUMBER($AM$298),$B$258=1),$AM$298,HLOOKUP(INDIRECT(ADDRESS(2,COLUMN())),OFFSET($BN$2,0,0,ROW()-1,60),ROW()-1,FALSE))</f>
        <v>30.069489000000001</v>
      </c>
      <c r="AN45">
        <f ca="1">IF(AND(ISNUMBER($AN$298),$B$258=1),$AN$298,HLOOKUP(INDIRECT(ADDRESS(2,COLUMN())),OFFSET($BN$2,0,0,ROW()-1,60),ROW()-1,FALSE))</f>
        <v>31.338999999999999</v>
      </c>
      <c r="AO45">
        <f ca="1">IF(AND(ISNUMBER($AO$298),$B$258=1),$AO$298,HLOOKUP(INDIRECT(ADDRESS(2,COLUMN())),OFFSET($BN$2,0,0,ROW()-1,60),ROW()-1,FALSE))</f>
        <v>29.34</v>
      </c>
      <c r="AP45">
        <f ca="1">IF(AND(ISNUMBER($AP$298),$B$258=1),$AP$298,HLOOKUP(INDIRECT(ADDRESS(2,COLUMN())),OFFSET($BN$2,0,0,ROW()-1,60),ROW()-1,FALSE))</f>
        <v>31.972999999999999</v>
      </c>
      <c r="AQ45">
        <f ca="1">IF(AND(ISNUMBER($AQ$298),$B$258=1),$AQ$298,HLOOKUP(INDIRECT(ADDRESS(2,COLUMN())),OFFSET($BN$2,0,0,ROW()-1,60),ROW()-1,FALSE))</f>
        <v>29.540704000000002</v>
      </c>
      <c r="AR45">
        <f ca="1">IF(AND(ISNUMBER($AR$298),$B$258=1),$AR$298,HLOOKUP(INDIRECT(ADDRESS(2,COLUMN())),OFFSET($BN$2,0,0,ROW()-1,60),ROW()-1,FALSE))</f>
        <v>33.116999999999997</v>
      </c>
      <c r="AS45">
        <f ca="1">IF(AND(ISNUMBER($AS$298),$B$258=1),$AS$298,HLOOKUP(INDIRECT(ADDRESS(2,COLUMN())),OFFSET($BN$2,0,0,ROW()-1,60),ROW()-1,FALSE))</f>
        <v>31.170999999999999</v>
      </c>
      <c r="AT45">
        <f ca="1">IF(AND(ISNUMBER($AT$298),$B$258=1),$AT$298,HLOOKUP(INDIRECT(ADDRESS(2,COLUMN())),OFFSET($BN$2,0,0,ROW()-1,60),ROW()-1,FALSE))</f>
        <v>23.341000000000001</v>
      </c>
      <c r="AU45">
        <f ca="1">IF(AND(ISNUMBER($AU$298),$B$258=1),$AU$298,HLOOKUP(INDIRECT(ADDRESS(2,COLUMN())),OFFSET($BN$2,0,0,ROW()-1,60),ROW()-1,FALSE))</f>
        <v>24.338346999999999</v>
      </c>
      <c r="AV45">
        <f ca="1">IF(AND(ISNUMBER($AV$298),$B$258=1),$AV$298,HLOOKUP(INDIRECT(ADDRESS(2,COLUMN())),OFFSET($BN$2,0,0,ROW()-1,60),ROW()-1,FALSE))</f>
        <v>21.511612</v>
      </c>
      <c r="AW45">
        <f ca="1">IF(AND(ISNUMBER($AW$298),$B$258=1),$AW$298,HLOOKUP(INDIRECT(ADDRESS(2,COLUMN())),OFFSET($BN$2,0,0,ROW()-1,60),ROW()-1,FALSE))</f>
        <v>21.384903999999999</v>
      </c>
      <c r="AX45">
        <f ca="1">IF(AND(ISNUMBER($AX$298),$B$258=1),$AX$298,HLOOKUP(INDIRECT(ADDRESS(2,COLUMN())),OFFSET($BN$2,0,0,ROW()-1,60),ROW()-1,FALSE))</f>
        <v>14.911667</v>
      </c>
      <c r="AY45">
        <f ca="1">IF(AND(ISNUMBER($AY$298),$B$258=1),$AY$298,HLOOKUP(INDIRECT(ADDRESS(2,COLUMN())),OFFSET($BN$2,0,0,ROW()-1,60),ROW()-1,FALSE))</f>
        <v>15.966319</v>
      </c>
      <c r="AZ45">
        <f ca="1">IF(AND(ISNUMBER($AZ$298),$B$258=1),$AZ$298,HLOOKUP(INDIRECT(ADDRESS(2,COLUMN())),OFFSET($BN$2,0,0,ROW()-1,60),ROW()-1,FALSE))</f>
        <v>12.915675</v>
      </c>
      <c r="BA45">
        <f ca="1">IF(AND(ISNUMBER($BA$298),$B$258=1),$BA$298,HLOOKUP(INDIRECT(ADDRESS(2,COLUMN())),OFFSET($BN$2,0,0,ROW()-1,60),ROW()-1,FALSE))</f>
        <v>11.2316</v>
      </c>
      <c r="BB45">
        <f ca="1">IF(AND(ISNUMBER($BB$298),$B$258=1),$BB$298,HLOOKUP(INDIRECT(ADDRESS(2,COLUMN())),OFFSET($BN$2,0,0,ROW()-1,60),ROW()-1,FALSE))</f>
        <v>11.009950999999999</v>
      </c>
      <c r="BC45">
        <f ca="1">IF(AND(ISNUMBER($BC$298),$B$258=1),$BC$298,HLOOKUP(INDIRECT(ADDRESS(2,COLUMN())),OFFSET($BN$2,0,0,ROW()-1,60),ROW()-1,FALSE))</f>
        <v>9.1078279999999996</v>
      </c>
      <c r="BD45">
        <f ca="1">IF(AND(ISNUMBER($BD$298),$B$258=1),$BD$298,HLOOKUP(INDIRECT(ADDRESS(2,COLUMN())),OFFSET($BN$2,0,0,ROW()-1,60),ROW()-1,FALSE))</f>
        <v>8.9728580000000004</v>
      </c>
      <c r="BE45">
        <f ca="1">IF(AND(ISNUMBER($BE$298),$B$258=1),$BE$298,HLOOKUP(INDIRECT(ADDRESS(2,COLUMN())),OFFSET($BN$2,0,0,ROW()-1,60),ROW()-1,FALSE))</f>
        <v>7.5999908449999998</v>
      </c>
      <c r="BF45">
        <f ca="1">IF(AND(ISNUMBER($BF$298),$B$258=1),$BF$298,HLOOKUP(INDIRECT(ADDRESS(2,COLUMN())),OFFSET($BN$2,0,0,ROW()-1,60),ROW()-1,FALSE))</f>
        <v>6.8629999159999997</v>
      </c>
      <c r="BG45" t="str">
        <f ca="1">IF(AND(ISNUMBER($BG$298),$B$258=1),$BG$298,HLOOKUP(INDIRECT(ADDRESS(2,COLUMN())),OFFSET($BN$2,0,0,ROW()-1,60),ROW()-1,FALSE))</f>
        <v/>
      </c>
      <c r="BH45" t="str">
        <f ca="1">IF(AND(ISNUMBER($BH$298),$B$258=1),$BH$298,HLOOKUP(INDIRECT(ADDRESS(2,COLUMN())),OFFSET($BN$2,0,0,ROW()-1,60),ROW()-1,FALSE))</f>
        <v/>
      </c>
      <c r="BI45" t="str">
        <f ca="1">IF(AND(ISNUMBER($BI$298),$B$258=1),$BI$298,HLOOKUP(INDIRECT(ADDRESS(2,COLUMN())),OFFSET($BN$2,0,0,ROW()-1,60),ROW()-1,FALSE))</f>
        <v/>
      </c>
      <c r="BJ45" t="str">
        <f ca="1">IF(AND(ISNUMBER($BJ$298),$B$258=1),$BJ$298,HLOOKUP(INDIRECT(ADDRESS(2,COLUMN())),OFFSET($BN$2,0,0,ROW()-1,60),ROW()-1,FALSE))</f>
        <v/>
      </c>
      <c r="BK45" t="str">
        <f ca="1">IF(AND(ISNUMBER($BK$298),$B$258=1),$BK$298,HLOOKUP(INDIRECT(ADDRESS(2,COLUMN())),OFFSET($BN$2,0,0,ROW()-1,60),ROW()-1,FALSE))</f>
        <v/>
      </c>
      <c r="BL45" t="str">
        <f ca="1">IF(AND(ISNUMBER($BL$298),$B$258=1),$BL$298,HLOOKUP(INDIRECT(ADDRESS(2,COLUMN())),OFFSET($BN$2,0,0,ROW()-1,60),ROW()-1,FALSE))</f>
        <v/>
      </c>
      <c r="BM45" t="str">
        <f ca="1">IF(AND(ISNUMBER($BM$298),$B$258=1),$BM$298,HLOOKUP(INDIRECT(ADDRESS(2,COLUMN())),OFFSET($BN$2,0,0,ROW()-1,60),ROW()-1,FALSE))</f>
        <v/>
      </c>
      <c r="BN45" t="str">
        <f>""</f>
        <v/>
      </c>
      <c r="BO45">
        <f>204.961</f>
        <v>204.96100000000001</v>
      </c>
      <c r="BP45">
        <f>176.58</f>
        <v>176.58</v>
      </c>
      <c r="BQ45">
        <f>166.807</f>
        <v>166.80699999999999</v>
      </c>
      <c r="BR45">
        <f>156.397</f>
        <v>156.39699999999999</v>
      </c>
      <c r="BS45">
        <f>153.283</f>
        <v>153.28299999999999</v>
      </c>
      <c r="BT45">
        <f>126.555</f>
        <v>126.55500000000001</v>
      </c>
      <c r="BU45">
        <f>126.3</f>
        <v>126.3</v>
      </c>
      <c r="BV45">
        <f>134.999</f>
        <v>134.999</v>
      </c>
      <c r="BW45">
        <f>131.546</f>
        <v>131.54599999999999</v>
      </c>
      <c r="BX45">
        <f>114.57</f>
        <v>114.57</v>
      </c>
      <c r="BY45">
        <f>99.801</f>
        <v>99.801000000000002</v>
      </c>
      <c r="BZ45">
        <f>95.961</f>
        <v>95.960999999999999</v>
      </c>
      <c r="CA45">
        <f>82.105402</f>
        <v>82.105401999999998</v>
      </c>
      <c r="CB45">
        <f>80.777</f>
        <v>80.777000000000001</v>
      </c>
      <c r="CC45">
        <f>76.56</f>
        <v>76.56</v>
      </c>
      <c r="CD45">
        <f>73.089</f>
        <v>73.088999999999999</v>
      </c>
      <c r="CE45">
        <f>67.679485</f>
        <v>67.679485</v>
      </c>
      <c r="CF45">
        <f>60.106</f>
        <v>60.106000000000002</v>
      </c>
      <c r="CG45">
        <f>57.124</f>
        <v>57.124000000000002</v>
      </c>
      <c r="CH45">
        <f>57.613</f>
        <v>57.613</v>
      </c>
      <c r="CI45">
        <f>56.597331</f>
        <v>56.597330999999997</v>
      </c>
      <c r="CJ45">
        <f>52.853</f>
        <v>52.853000000000002</v>
      </c>
      <c r="CK45">
        <f>48.918</f>
        <v>48.917999999999999</v>
      </c>
      <c r="CL45">
        <f>41.267</f>
        <v>41.267000000000003</v>
      </c>
      <c r="CM45">
        <f>34.41745</f>
        <v>34.417450000000002</v>
      </c>
      <c r="CN45">
        <f>34.632</f>
        <v>34.631999999999998</v>
      </c>
      <c r="CO45">
        <f>34.956</f>
        <v>34.956000000000003</v>
      </c>
      <c r="CP45">
        <f>34.347</f>
        <v>34.347000000000001</v>
      </c>
      <c r="CQ45">
        <f>30.676684</f>
        <v>30.676684000000002</v>
      </c>
      <c r="CR45">
        <f>28.644</f>
        <v>28.643999999999998</v>
      </c>
      <c r="CS45">
        <f>30.593</f>
        <v>30.593</v>
      </c>
      <c r="CT45">
        <f>30.858</f>
        <v>30.858000000000001</v>
      </c>
      <c r="CU45">
        <f>30.069489</f>
        <v>30.069489000000001</v>
      </c>
      <c r="CV45">
        <f>31.339</f>
        <v>31.338999999999999</v>
      </c>
      <c r="CW45">
        <f>29.34</f>
        <v>29.34</v>
      </c>
      <c r="CX45">
        <f>31.973</f>
        <v>31.972999999999999</v>
      </c>
      <c r="CY45">
        <f>29.540704</f>
        <v>29.540704000000002</v>
      </c>
      <c r="CZ45">
        <f>33.117</f>
        <v>33.116999999999997</v>
      </c>
      <c r="DA45">
        <f>31.171</f>
        <v>31.170999999999999</v>
      </c>
      <c r="DB45">
        <f>23.341</f>
        <v>23.341000000000001</v>
      </c>
      <c r="DC45">
        <f>24.338347</f>
        <v>24.338346999999999</v>
      </c>
      <c r="DD45">
        <f>21.511612</f>
        <v>21.511612</v>
      </c>
      <c r="DE45">
        <f>21.384904</f>
        <v>21.384903999999999</v>
      </c>
      <c r="DF45">
        <f>14.911667</f>
        <v>14.911667</v>
      </c>
      <c r="DG45">
        <f>15.966319</f>
        <v>15.966319</v>
      </c>
      <c r="DH45">
        <f>12.915675</f>
        <v>12.915675</v>
      </c>
      <c r="DI45">
        <f>11.2316</f>
        <v>11.2316</v>
      </c>
      <c r="DJ45">
        <f>11.009951</f>
        <v>11.009950999999999</v>
      </c>
      <c r="DK45">
        <f>9.107828</f>
        <v>9.1078279999999996</v>
      </c>
      <c r="DL45">
        <f>8.972858</f>
        <v>8.9728580000000004</v>
      </c>
      <c r="DM45">
        <f>7.599990845</f>
        <v>7.5999908449999998</v>
      </c>
      <c r="DN45">
        <f>6.862999916</f>
        <v>6.8629999159999997</v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>
      <c r="A46" t="str">
        <f>"    Omega Healthcare Investors Inc"</f>
        <v xml:space="preserve">    Omega Healthcare Investors Inc</v>
      </c>
      <c r="B46" t="str">
        <f>"OHI US Equity"</f>
        <v>OHI US Equity</v>
      </c>
      <c r="C46" t="str">
        <f t="shared" si="9"/>
        <v>IS010</v>
      </c>
      <c r="D46" t="str">
        <f t="shared" si="10"/>
        <v>SALES_REV_TURN</v>
      </c>
      <c r="E46" t="str">
        <f t="shared" si="11"/>
        <v>动态</v>
      </c>
      <c r="F46" t="str">
        <f ca="1">IF(AND(ISNUMBER($F$299),$B$258=1),$F$299,HLOOKUP(INDIRECT(ADDRESS(2,COLUMN())),OFFSET($BN$2,0,0,ROW()-1,60),ROW()-1,FALSE))</f>
        <v/>
      </c>
      <c r="G46">
        <f ca="1">IF(AND(ISNUMBER($G$299),$B$258=1),$G$299,HLOOKUP(INDIRECT(ADDRESS(2,COLUMN())),OFFSET($BN$2,0,0,ROW()-1,60),ROW()-1,FALSE))</f>
        <v>221.20599999999999</v>
      </c>
      <c r="H46">
        <f ca="1">IF(AND(ISNUMBER($H$299),$B$258=1),$H$299,HLOOKUP(INDIRECT(ADDRESS(2,COLUMN())),OFFSET($BN$2,0,0,ROW()-1,60),ROW()-1,FALSE))</f>
        <v>219.63800000000001</v>
      </c>
      <c r="I46">
        <f ca="1">IF(AND(ISNUMBER($I$299),$B$258=1),$I$299,HLOOKUP(INDIRECT(ADDRESS(2,COLUMN())),OFFSET($BN$2,0,0,ROW()-1,60),ROW()-1,FALSE))</f>
        <v>235.797</v>
      </c>
      <c r="J46">
        <f ca="1">IF(AND(ISNUMBER($J$299),$B$258=1),$J$299,HLOOKUP(INDIRECT(ADDRESS(2,COLUMN())),OFFSET($BN$2,0,0,ROW()-1,60),ROW()-1,FALSE))</f>
        <v>231.744</v>
      </c>
      <c r="K46">
        <f ca="1">IF(AND(ISNUMBER($K$299),$B$258=1),$K$299,HLOOKUP(INDIRECT(ADDRESS(2,COLUMN())),OFFSET($BN$2,0,0,ROW()-1,60),ROW()-1,FALSE))</f>
        <v>234.48599999999999</v>
      </c>
      <c r="L46">
        <f ca="1">IF(AND(ISNUMBER($L$299),$B$258=1),$L$299,HLOOKUP(INDIRECT(ADDRESS(2,COLUMN())),OFFSET($BN$2,0,0,ROW()-1,60),ROW()-1,FALSE))</f>
        <v>224.63800000000001</v>
      </c>
      <c r="M46">
        <f ca="1">IF(AND(ISNUMBER($M$299),$B$258=1),$M$299,HLOOKUP(INDIRECT(ADDRESS(2,COLUMN())),OFFSET($BN$2,0,0,ROW()-1,60),ROW()-1,FALSE))</f>
        <v>228.82400000000001</v>
      </c>
      <c r="N46">
        <f ca="1">IF(AND(ISNUMBER($N$299),$B$258=1),$N$299,HLOOKUP(INDIRECT(ADDRESS(2,COLUMN())),OFFSET($BN$2,0,0,ROW()-1,60),ROW()-1,FALSE))</f>
        <v>212.87899999999999</v>
      </c>
      <c r="O46">
        <f ca="1">IF(AND(ISNUMBER($O$299),$B$258=1),$O$299,HLOOKUP(INDIRECT(ADDRESS(2,COLUMN())),OFFSET($BN$2,0,0,ROW()-1,60),ROW()-1,FALSE))</f>
        <v>210.512</v>
      </c>
      <c r="P46">
        <f ca="1">IF(AND(ISNUMBER($P$299),$B$258=1),$P$299,HLOOKUP(INDIRECT(ADDRESS(2,COLUMN())),OFFSET($BN$2,0,0,ROW()-1,60),ROW()-1,FALSE))</f>
        <v>201.97399999999999</v>
      </c>
      <c r="Q46">
        <f ca="1">IF(AND(ISNUMBER($Q$299),$B$258=1),$Q$299,HLOOKUP(INDIRECT(ADDRESS(2,COLUMN())),OFFSET($BN$2,0,0,ROW()-1,60),ROW()-1,FALSE))</f>
        <v>197.71100000000001</v>
      </c>
      <c r="R46">
        <f ca="1">IF(AND(ISNUMBER($R$299),$B$258=1),$R$299,HLOOKUP(INDIRECT(ADDRESS(2,COLUMN())),OFFSET($BN$2,0,0,ROW()-1,60),ROW()-1,FALSE))</f>
        <v>133.41999999999999</v>
      </c>
      <c r="S46">
        <f ca="1">IF(AND(ISNUMBER($S$299),$B$258=1),$S$299,HLOOKUP(INDIRECT(ADDRESS(2,COLUMN())),OFFSET($BN$2,0,0,ROW()-1,60),ROW()-1,FALSE))</f>
        <v>131.321</v>
      </c>
      <c r="T46">
        <f ca="1">IF(AND(ISNUMBER($T$299),$B$258=1),$T$299,HLOOKUP(INDIRECT(ADDRESS(2,COLUMN())),OFFSET($BN$2,0,0,ROW()-1,60),ROW()-1,FALSE))</f>
        <v>130.66499999999999</v>
      </c>
      <c r="U46">
        <f ca="1">IF(AND(ISNUMBER($U$299),$B$258=1),$U$299,HLOOKUP(INDIRECT(ADDRESS(2,COLUMN())),OFFSET($BN$2,0,0,ROW()-1,60),ROW()-1,FALSE))</f>
        <v>121.8</v>
      </c>
      <c r="V46">
        <f ca="1">IF(AND(ISNUMBER($V$299),$B$258=1),$V$299,HLOOKUP(INDIRECT(ADDRESS(2,COLUMN())),OFFSET($BN$2,0,0,ROW()-1,60),ROW()-1,FALSE))</f>
        <v>121.001</v>
      </c>
      <c r="W46">
        <f ca="1">IF(AND(ISNUMBER($W$299),$B$258=1),$W$299,HLOOKUP(INDIRECT(ADDRESS(2,COLUMN())),OFFSET($BN$2,0,0,ROW()-1,60),ROW()-1,FALSE))</f>
        <v>111.137</v>
      </c>
      <c r="X46">
        <f ca="1">IF(AND(ISNUMBER($X$299),$B$258=1),$X$299,HLOOKUP(INDIRECT(ADDRESS(2,COLUMN())),OFFSET($BN$2,0,0,ROW()-1,60),ROW()-1,FALSE))</f>
        <v>103.301</v>
      </c>
      <c r="Y46">
        <f ca="1">IF(AND(ISNUMBER($Y$299),$B$258=1),$Y$299,HLOOKUP(INDIRECT(ADDRESS(2,COLUMN())),OFFSET($BN$2,0,0,ROW()-1,60),ROW()-1,FALSE))</f>
        <v>102.515</v>
      </c>
      <c r="Z46">
        <f ca="1">IF(AND(ISNUMBER($Z$299),$B$258=1),$Z$299,HLOOKUP(INDIRECT(ADDRESS(2,COLUMN())),OFFSET($BN$2,0,0,ROW()-1,60),ROW()-1,FALSE))</f>
        <v>101.761</v>
      </c>
      <c r="AA46">
        <f ca="1">IF(AND(ISNUMBER($AA$299),$B$258=1),$AA$299,HLOOKUP(INDIRECT(ADDRESS(2,COLUMN())),OFFSET($BN$2,0,0,ROW()-1,60),ROW()-1,FALSE))</f>
        <v>95.012</v>
      </c>
      <c r="AB46">
        <f ca="1">IF(AND(ISNUMBER($AB$299),$B$258=1),$AB$299,HLOOKUP(INDIRECT(ADDRESS(2,COLUMN())),OFFSET($BN$2,0,0,ROW()-1,60),ROW()-1,FALSE))</f>
        <v>87.108000000000004</v>
      </c>
      <c r="AC46">
        <f ca="1">IF(AND(ISNUMBER($AC$299),$B$258=1),$AC$299,HLOOKUP(INDIRECT(ADDRESS(2,COLUMN())),OFFSET($BN$2,0,0,ROW()-1,60),ROW()-1,FALSE))</f>
        <v>83.825000000000003</v>
      </c>
      <c r="AD46">
        <f ca="1">IF(AND(ISNUMBER($AD$299),$B$258=1),$AD$299,HLOOKUP(INDIRECT(ADDRESS(2,COLUMN())),OFFSET($BN$2,0,0,ROW()-1,60),ROW()-1,FALSE))</f>
        <v>84.515000000000001</v>
      </c>
      <c r="AE46">
        <f ca="1">IF(AND(ISNUMBER($AE$299),$B$258=1),$AE$299,HLOOKUP(INDIRECT(ADDRESS(2,COLUMN())),OFFSET($BN$2,0,0,ROW()-1,60),ROW()-1,FALSE))</f>
        <v>76.304000000000002</v>
      </c>
      <c r="AF46">
        <f ca="1">IF(AND(ISNUMBER($AF$299),$B$258=1),$AF$299,HLOOKUP(INDIRECT(ADDRESS(2,COLUMN())),OFFSET($BN$2,0,0,ROW()-1,60),ROW()-1,FALSE))</f>
        <v>72.817999999999998</v>
      </c>
      <c r="AG46">
        <f ca="1">IF(AND(ISNUMBER($AG$299),$B$258=1),$AG$299,HLOOKUP(INDIRECT(ADDRESS(2,COLUMN())),OFFSET($BN$2,0,0,ROW()-1,60),ROW()-1,FALSE))</f>
        <v>72.605999999999995</v>
      </c>
      <c r="AH46">
        <f ca="1">IF(AND(ISNUMBER($AH$299),$B$258=1),$AH$299,HLOOKUP(INDIRECT(ADDRESS(2,COLUMN())),OFFSET($BN$2,0,0,ROW()-1,60),ROW()-1,FALSE))</f>
        <v>70.475999999999999</v>
      </c>
      <c r="AI46">
        <f ca="1">IF(AND(ISNUMBER($AI$299),$B$258=1),$AI$299,HLOOKUP(INDIRECT(ADDRESS(2,COLUMN())),OFFSET($BN$2,0,0,ROW()-1,60),ROW()-1,FALSE))</f>
        <v>71.114000000000004</v>
      </c>
      <c r="AJ46">
        <f ca="1">IF(AND(ISNUMBER($AJ$299),$B$258=1),$AJ$299,HLOOKUP(INDIRECT(ADDRESS(2,COLUMN())),OFFSET($BN$2,0,0,ROW()-1,60),ROW()-1,FALSE))</f>
        <v>69.724000000000004</v>
      </c>
      <c r="AK46">
        <f ca="1">IF(AND(ISNUMBER($AK$299),$B$258=1),$AK$299,HLOOKUP(INDIRECT(ADDRESS(2,COLUMN())),OFFSET($BN$2,0,0,ROW()-1,60),ROW()-1,FALSE))</f>
        <v>58.805</v>
      </c>
      <c r="AL46">
        <f ca="1">IF(AND(ISNUMBER($AL$299),$B$258=1),$AL$299,HLOOKUP(INDIRECT(ADDRESS(2,COLUMN())),OFFSET($BN$2,0,0,ROW()-1,60),ROW()-1,FALSE))</f>
        <v>58.677999999999997</v>
      </c>
      <c r="AM46">
        <f ca="1">IF(AND(ISNUMBER($AM$299),$B$258=1),$AM$299,HLOOKUP(INDIRECT(ADDRESS(2,COLUMN())),OFFSET($BN$2,0,0,ROW()-1,60),ROW()-1,FALSE))</f>
        <v>49.372999999999998</v>
      </c>
      <c r="AN46">
        <f ca="1">IF(AND(ISNUMBER($AN$299),$B$258=1),$AN$299,HLOOKUP(INDIRECT(ADDRESS(2,COLUMN())),OFFSET($BN$2,0,0,ROW()-1,60),ROW()-1,FALSE))</f>
        <v>49.753</v>
      </c>
      <c r="AO46">
        <f ca="1">IF(AND(ISNUMBER($AO$299),$B$258=1),$AO$299,HLOOKUP(INDIRECT(ADDRESS(2,COLUMN())),OFFSET($BN$2,0,0,ROW()-1,60),ROW()-1,FALSE))</f>
        <v>49.152000000000001</v>
      </c>
      <c r="AP46">
        <f ca="1">IF(AND(ISNUMBER($AP$299),$B$258=1),$AP$299,HLOOKUP(INDIRECT(ADDRESS(2,COLUMN())),OFFSET($BN$2,0,0,ROW()-1,60),ROW()-1,FALSE))</f>
        <v>49.16</v>
      </c>
      <c r="AQ46">
        <f ca="1">IF(AND(ISNUMBER($AQ$299),$B$258=1),$AQ$299,HLOOKUP(INDIRECT(ADDRESS(2,COLUMN())),OFFSET($BN$2,0,0,ROW()-1,60),ROW()-1,FALSE))</f>
        <v>49.161999999999999</v>
      </c>
      <c r="AR46">
        <f ca="1">IF(AND(ISNUMBER($AR$299),$B$258=1),$AR$299,HLOOKUP(INDIRECT(ADDRESS(2,COLUMN())),OFFSET($BN$2,0,0,ROW()-1,60),ROW()-1,FALSE))</f>
        <v>59.999000000000002</v>
      </c>
      <c r="AS46">
        <f ca="1">IF(AND(ISNUMBER($AS$299),$B$258=1),$AS$299,HLOOKUP(INDIRECT(ADDRESS(2,COLUMN())),OFFSET($BN$2,0,0,ROW()-1,60),ROW()-1,FALSE))</f>
        <v>43.734999999999999</v>
      </c>
      <c r="AT46">
        <f ca="1">IF(AND(ISNUMBER($AT$299),$B$258=1),$AT$299,HLOOKUP(INDIRECT(ADDRESS(2,COLUMN())),OFFSET($BN$2,0,0,ROW()-1,60),ROW()-1,FALSE))</f>
        <v>40.930999999999997</v>
      </c>
      <c r="AU46">
        <f ca="1">IF(AND(ISNUMBER($AU$299),$B$258=1),$AU$299,HLOOKUP(INDIRECT(ADDRESS(2,COLUMN())),OFFSET($BN$2,0,0,ROW()-1,60),ROW()-1,FALSE))</f>
        <v>39.716999999999999</v>
      </c>
      <c r="AV46">
        <f ca="1">IF(AND(ISNUMBER($AV$299),$B$258=1),$AV$299,HLOOKUP(INDIRECT(ADDRESS(2,COLUMN())),OFFSET($BN$2,0,0,ROW()-1,60),ROW()-1,FALSE))</f>
        <v>39.26</v>
      </c>
      <c r="AW46">
        <f ca="1">IF(AND(ISNUMBER($AW$299),$B$258=1),$AW$299,HLOOKUP(INDIRECT(ADDRESS(2,COLUMN())),OFFSET($BN$2,0,0,ROW()-1,60),ROW()-1,FALSE))</f>
        <v>38.116999999999997</v>
      </c>
      <c r="AX46">
        <f ca="1">IF(AND(ISNUMBER($AX$299),$B$258=1),$AX$299,HLOOKUP(INDIRECT(ADDRESS(2,COLUMN())),OFFSET($BN$2,0,0,ROW()-1,60),ROW()-1,FALSE))</f>
        <v>42.662999999999997</v>
      </c>
      <c r="AY46">
        <f ca="1">IF(AND(ISNUMBER($AY$299),$B$258=1),$AY$299,HLOOKUP(INDIRECT(ADDRESS(2,COLUMN())),OFFSET($BN$2,0,0,ROW()-1,60),ROW()-1,FALSE))</f>
        <v>36.158000000000001</v>
      </c>
      <c r="AZ46">
        <f ca="1">IF(AND(ISNUMBER($AZ$299),$B$258=1),$AZ$299,HLOOKUP(INDIRECT(ADDRESS(2,COLUMN())),OFFSET($BN$2,0,0,ROW()-1,60),ROW()-1,FALSE))</f>
        <v>35.295000000000002</v>
      </c>
      <c r="BA46">
        <f ca="1">IF(AND(ISNUMBER($BA$299),$B$258=1),$BA$299,HLOOKUP(INDIRECT(ADDRESS(2,COLUMN())),OFFSET($BN$2,0,0,ROW()-1,60),ROW()-1,FALSE))</f>
        <v>32.381999999999998</v>
      </c>
      <c r="BB46">
        <f ca="1">IF(AND(ISNUMBER($BB$299),$B$258=1),$BB$299,HLOOKUP(INDIRECT(ADDRESS(2,COLUMN())),OFFSET($BN$2,0,0,ROW()-1,60),ROW()-1,FALSE))</f>
        <v>32.18</v>
      </c>
      <c r="BC46">
        <f ca="1">IF(AND(ISNUMBER($BC$299),$B$258=1),$BC$299,HLOOKUP(INDIRECT(ADDRESS(2,COLUMN())),OFFSET($BN$2,0,0,ROW()-1,60),ROW()-1,FALSE))</f>
        <v>30.236000000000001</v>
      </c>
      <c r="BD46">
        <f ca="1">IF(AND(ISNUMBER($BD$299),$B$258=1),$BD$299,HLOOKUP(INDIRECT(ADDRESS(2,COLUMN())),OFFSET($BN$2,0,0,ROW()-1,60),ROW()-1,FALSE))</f>
        <v>27.111999999999998</v>
      </c>
      <c r="BE46">
        <f ca="1">IF(AND(ISNUMBER($BE$299),$B$258=1),$BE$299,HLOOKUP(INDIRECT(ADDRESS(2,COLUMN())),OFFSET($BN$2,0,0,ROW()-1,60),ROW()-1,FALSE))</f>
        <v>25.309000000000001</v>
      </c>
      <c r="BF46">
        <f ca="1">IF(AND(ISNUMBER($BF$299),$B$258=1),$BF$299,HLOOKUP(INDIRECT(ADDRESS(2,COLUMN())),OFFSET($BN$2,0,0,ROW()-1,60),ROW()-1,FALSE))</f>
        <v>27.166</v>
      </c>
      <c r="BG46">
        <f ca="1">IF(AND(ISNUMBER($BG$299),$B$258=1),$BG$299,HLOOKUP(INDIRECT(ADDRESS(2,COLUMN())),OFFSET($BN$2,0,0,ROW()-1,60),ROW()-1,FALSE))</f>
        <v>18.303999999999998</v>
      </c>
      <c r="BH46">
        <f ca="1">IF(AND(ISNUMBER($BH$299),$B$258=1),$BH$299,HLOOKUP(INDIRECT(ADDRESS(2,COLUMN())),OFFSET($BN$2,0,0,ROW()-1,60),ROW()-1,FALSE))</f>
        <v>22.60700035</v>
      </c>
      <c r="BI46">
        <f ca="1">IF(AND(ISNUMBER($BI$299),$B$258=1),$BI$299,HLOOKUP(INDIRECT(ADDRESS(2,COLUMN())),OFFSET($BN$2,0,0,ROW()-1,60),ROW()-1,FALSE))</f>
        <v>22.344999309999999</v>
      </c>
      <c r="BJ46">
        <f ca="1">IF(AND(ISNUMBER($BJ$299),$B$258=1),$BJ$299,HLOOKUP(INDIRECT(ADDRESS(2,COLUMN())),OFFSET($BN$2,0,0,ROW()-1,60),ROW()-1,FALSE))</f>
        <v>21.5359993</v>
      </c>
      <c r="BK46">
        <f ca="1">IF(AND(ISNUMBER($BK$299),$B$258=1),$BK$299,HLOOKUP(INDIRECT(ADDRESS(2,COLUMN())),OFFSET($BN$2,0,0,ROW()-1,60),ROW()-1,FALSE))</f>
        <v>21.691998999999999</v>
      </c>
      <c r="BL46">
        <f ca="1">IF(AND(ISNUMBER($BL$299),$B$258=1),$BL$299,HLOOKUP(INDIRECT(ADDRESS(2,COLUMN())),OFFSET($BN$2,0,0,ROW()-1,60),ROW()-1,FALSE))</f>
        <v>20.926000599999998</v>
      </c>
      <c r="BM46">
        <f ca="1">IF(AND(ISNUMBER($BM$299),$B$258=1),$BM$299,HLOOKUP(INDIRECT(ADDRESS(2,COLUMN())),OFFSET($BN$2,0,0,ROW()-1,60),ROW()-1,FALSE))</f>
        <v>20.788999560000001</v>
      </c>
      <c r="BN46" t="str">
        <f>""</f>
        <v/>
      </c>
      <c r="BO46">
        <f>221.206</f>
        <v>221.20599999999999</v>
      </c>
      <c r="BP46">
        <f>219.638</f>
        <v>219.63800000000001</v>
      </c>
      <c r="BQ46">
        <f>235.797</f>
        <v>235.797</v>
      </c>
      <c r="BR46">
        <f>231.744</f>
        <v>231.744</v>
      </c>
      <c r="BS46">
        <f>234.486</f>
        <v>234.48599999999999</v>
      </c>
      <c r="BT46">
        <f>224.638</f>
        <v>224.63800000000001</v>
      </c>
      <c r="BU46">
        <f>228.824</f>
        <v>228.82400000000001</v>
      </c>
      <c r="BV46">
        <f>212.879</f>
        <v>212.87899999999999</v>
      </c>
      <c r="BW46">
        <f>210.512</f>
        <v>210.512</v>
      </c>
      <c r="BX46">
        <f>201.974</f>
        <v>201.97399999999999</v>
      </c>
      <c r="BY46">
        <f>197.711</f>
        <v>197.71100000000001</v>
      </c>
      <c r="BZ46">
        <f>133.42</f>
        <v>133.41999999999999</v>
      </c>
      <c r="CA46">
        <f>131.321</f>
        <v>131.321</v>
      </c>
      <c r="CB46">
        <f>130.665</f>
        <v>130.66499999999999</v>
      </c>
      <c r="CC46">
        <f>121.8</f>
        <v>121.8</v>
      </c>
      <c r="CD46">
        <f>121.001</f>
        <v>121.001</v>
      </c>
      <c r="CE46">
        <f>111.137</f>
        <v>111.137</v>
      </c>
      <c r="CF46">
        <f>103.301</f>
        <v>103.301</v>
      </c>
      <c r="CG46">
        <f>102.515</f>
        <v>102.515</v>
      </c>
      <c r="CH46">
        <f>101.761</f>
        <v>101.761</v>
      </c>
      <c r="CI46">
        <f>95.012</f>
        <v>95.012</v>
      </c>
      <c r="CJ46">
        <f>87.108</f>
        <v>87.108000000000004</v>
      </c>
      <c r="CK46">
        <f>83.825</f>
        <v>83.825000000000003</v>
      </c>
      <c r="CL46">
        <f>84.515</f>
        <v>84.515000000000001</v>
      </c>
      <c r="CM46">
        <f>76.304</f>
        <v>76.304000000000002</v>
      </c>
      <c r="CN46">
        <f>72.818</f>
        <v>72.817999999999998</v>
      </c>
      <c r="CO46">
        <f>72.606</f>
        <v>72.605999999999995</v>
      </c>
      <c r="CP46">
        <f>70.476</f>
        <v>70.475999999999999</v>
      </c>
      <c r="CQ46">
        <f>71.114</f>
        <v>71.114000000000004</v>
      </c>
      <c r="CR46">
        <f>69.724</f>
        <v>69.724000000000004</v>
      </c>
      <c r="CS46">
        <f>58.805</f>
        <v>58.805</v>
      </c>
      <c r="CT46">
        <f>58.678</f>
        <v>58.677999999999997</v>
      </c>
      <c r="CU46">
        <f>49.373</f>
        <v>49.372999999999998</v>
      </c>
      <c r="CV46">
        <f>49.753</f>
        <v>49.753</v>
      </c>
      <c r="CW46">
        <f>49.152</f>
        <v>49.152000000000001</v>
      </c>
      <c r="CX46">
        <f>49.16</f>
        <v>49.16</v>
      </c>
      <c r="CY46">
        <f>49.162</f>
        <v>49.161999999999999</v>
      </c>
      <c r="CZ46">
        <f>59.999</f>
        <v>59.999000000000002</v>
      </c>
      <c r="DA46">
        <f>43.735</f>
        <v>43.734999999999999</v>
      </c>
      <c r="DB46">
        <f>40.931</f>
        <v>40.930999999999997</v>
      </c>
      <c r="DC46">
        <f>39.717</f>
        <v>39.716999999999999</v>
      </c>
      <c r="DD46">
        <f>39.26</f>
        <v>39.26</v>
      </c>
      <c r="DE46">
        <f>38.117</f>
        <v>38.116999999999997</v>
      </c>
      <c r="DF46">
        <f>42.663</f>
        <v>42.662999999999997</v>
      </c>
      <c r="DG46">
        <f>36.158</f>
        <v>36.158000000000001</v>
      </c>
      <c r="DH46">
        <f>35.295</f>
        <v>35.295000000000002</v>
      </c>
      <c r="DI46">
        <f>32.382</f>
        <v>32.381999999999998</v>
      </c>
      <c r="DJ46">
        <f>32.18</f>
        <v>32.18</v>
      </c>
      <c r="DK46">
        <f>30.236</f>
        <v>30.236000000000001</v>
      </c>
      <c r="DL46">
        <f>27.112</f>
        <v>27.111999999999998</v>
      </c>
      <c r="DM46">
        <f>25.309</f>
        <v>25.309000000000001</v>
      </c>
      <c r="DN46">
        <f>27.166</f>
        <v>27.166</v>
      </c>
      <c r="DO46">
        <f>18.304</f>
        <v>18.303999999999998</v>
      </c>
      <c r="DP46">
        <f>22.60700035</f>
        <v>22.60700035</v>
      </c>
      <c r="DQ46">
        <f>22.34499931</f>
        <v>22.344999309999999</v>
      </c>
      <c r="DR46">
        <f>21.5359993</f>
        <v>21.5359993</v>
      </c>
      <c r="DS46">
        <f>21.691999</f>
        <v>21.691998999999999</v>
      </c>
      <c r="DT46">
        <f>20.9260006</f>
        <v>20.926000599999998</v>
      </c>
      <c r="DU46">
        <f>20.78899956</f>
        <v>20.788999560000001</v>
      </c>
    </row>
    <row r="47" spans="1:125">
      <c r="A47" t="str">
        <f>"    Sabra Health Care REIT Inc"</f>
        <v xml:space="preserve">    Sabra Health Care REIT Inc</v>
      </c>
      <c r="B47" t="str">
        <f>"SBRA US Equity"</f>
        <v>SBRA US Equity</v>
      </c>
      <c r="C47" t="str">
        <f t="shared" si="9"/>
        <v>IS010</v>
      </c>
      <c r="D47" t="str">
        <f t="shared" si="10"/>
        <v>SALES_REV_TURN</v>
      </c>
      <c r="E47" t="str">
        <f t="shared" si="11"/>
        <v>动态</v>
      </c>
      <c r="F47" t="str">
        <f ca="1">IF(AND(ISNUMBER($F$300),$B$258=1),$F$300,HLOOKUP(INDIRECT(ADDRESS(2,COLUMN())),OFFSET($BN$2,0,0,ROW()-1,60),ROW()-1,FALSE))</f>
        <v/>
      </c>
      <c r="G47">
        <f ca="1">IF(AND(ISNUMBER($G$300),$B$258=1),$G$300,HLOOKUP(INDIRECT(ADDRESS(2,COLUMN())),OFFSET($BN$2,0,0,ROW()-1,60),ROW()-1,FALSE))</f>
        <v>166.47200000000001</v>
      </c>
      <c r="H47">
        <f ca="1">IF(AND(ISNUMBER($H$300),$B$258=1),$H$300,HLOOKUP(INDIRECT(ADDRESS(2,COLUMN())),OFFSET($BN$2,0,0,ROW()-1,60),ROW()-1,FALSE))</f>
        <v>111.789</v>
      </c>
      <c r="I47">
        <f ca="1">IF(AND(ISNUMBER($I$300),$B$258=1),$I$300,HLOOKUP(INDIRECT(ADDRESS(2,COLUMN())),OFFSET($BN$2,0,0,ROW()-1,60),ROW()-1,FALSE))</f>
        <v>64.736000000000004</v>
      </c>
      <c r="J47">
        <f ca="1">IF(AND(ISNUMBER($J$300),$B$258=1),$J$300,HLOOKUP(INDIRECT(ADDRESS(2,COLUMN())),OFFSET($BN$2,0,0,ROW()-1,60),ROW()-1,FALSE))</f>
        <v>62.65</v>
      </c>
      <c r="K47">
        <f ca="1">IF(AND(ISNUMBER($K$300),$B$258=1),$K$300,HLOOKUP(INDIRECT(ADDRESS(2,COLUMN())),OFFSET($BN$2,0,0,ROW()-1,60),ROW()-1,FALSE))</f>
        <v>61.790999999999997</v>
      </c>
      <c r="L47">
        <f ca="1">IF(AND(ISNUMBER($L$300),$B$258=1),$L$300,HLOOKUP(INDIRECT(ADDRESS(2,COLUMN())),OFFSET($BN$2,0,0,ROW()-1,60),ROW()-1,FALSE))</f>
        <v>61.927</v>
      </c>
      <c r="M47">
        <f ca="1">IF(AND(ISNUMBER($M$300),$B$258=1),$M$300,HLOOKUP(INDIRECT(ADDRESS(2,COLUMN())),OFFSET($BN$2,0,0,ROW()-1,60),ROW()-1,FALSE))</f>
        <v>74.248999999999995</v>
      </c>
      <c r="N47">
        <f ca="1">IF(AND(ISNUMBER($N$300),$B$258=1),$N$300,HLOOKUP(INDIRECT(ADDRESS(2,COLUMN())),OFFSET($BN$2,0,0,ROW()-1,60),ROW()-1,FALSE))</f>
        <v>62.558999999999997</v>
      </c>
      <c r="O47">
        <f ca="1">IF(AND(ISNUMBER($O$300),$B$258=1),$O$300,HLOOKUP(INDIRECT(ADDRESS(2,COLUMN())),OFFSET($BN$2,0,0,ROW()-1,60),ROW()-1,FALSE))</f>
        <v>66.772000000000006</v>
      </c>
      <c r="P47">
        <f ca="1">IF(AND(ISNUMBER($P$300),$B$258=1),$P$300,HLOOKUP(INDIRECT(ADDRESS(2,COLUMN())),OFFSET($BN$2,0,0,ROW()-1,60),ROW()-1,FALSE))</f>
        <v>59.933999999999997</v>
      </c>
      <c r="Q47">
        <f ca="1">IF(AND(ISNUMBER($Q$300),$B$258=1),$Q$300,HLOOKUP(INDIRECT(ADDRESS(2,COLUMN())),OFFSET($BN$2,0,0,ROW()-1,60),ROW()-1,FALSE))</f>
        <v>56.585999999999999</v>
      </c>
      <c r="R47">
        <f ca="1">IF(AND(ISNUMBER($R$300),$B$258=1),$R$300,HLOOKUP(INDIRECT(ADDRESS(2,COLUMN())),OFFSET($BN$2,0,0,ROW()-1,60),ROW()-1,FALSE))</f>
        <v>55.572000000000003</v>
      </c>
      <c r="S47">
        <f ca="1">IF(AND(ISNUMBER($S$300),$B$258=1),$S$300,HLOOKUP(INDIRECT(ADDRESS(2,COLUMN())),OFFSET($BN$2,0,0,ROW()-1,60),ROW()-1,FALSE))</f>
        <v>55.710999999999999</v>
      </c>
      <c r="T47">
        <f ca="1">IF(AND(ISNUMBER($T$300),$B$258=1),$T$300,HLOOKUP(INDIRECT(ADDRESS(2,COLUMN())),OFFSET($BN$2,0,0,ROW()-1,60),ROW()-1,FALSE))</f>
        <v>43.984000000000002</v>
      </c>
      <c r="U47">
        <f ca="1">IF(AND(ISNUMBER($U$300),$B$258=1),$U$300,HLOOKUP(INDIRECT(ADDRESS(2,COLUMN())),OFFSET($BN$2,0,0,ROW()-1,60),ROW()-1,FALSE))</f>
        <v>42.972999999999999</v>
      </c>
      <c r="V47">
        <f ca="1">IF(AND(ISNUMBER($V$300),$B$258=1),$V$300,HLOOKUP(INDIRECT(ADDRESS(2,COLUMN())),OFFSET($BN$2,0,0,ROW()-1,60),ROW()-1,FALSE))</f>
        <v>40.85</v>
      </c>
      <c r="W47">
        <f ca="1">IF(AND(ISNUMBER($W$300),$B$258=1),$W$300,HLOOKUP(INDIRECT(ADDRESS(2,COLUMN())),OFFSET($BN$2,0,0,ROW()-1,60),ROW()-1,FALSE))</f>
        <v>37.557000000000002</v>
      </c>
      <c r="X47">
        <f ca="1">IF(AND(ISNUMBER($X$300),$B$258=1),$X$300,HLOOKUP(INDIRECT(ADDRESS(2,COLUMN())),OFFSET($BN$2,0,0,ROW()-1,60),ROW()-1,FALSE))</f>
        <v>32.926000000000002</v>
      </c>
      <c r="Y47">
        <f ca="1">IF(AND(ISNUMBER($Y$300),$B$258=1),$Y$300,HLOOKUP(INDIRECT(ADDRESS(2,COLUMN())),OFFSET($BN$2,0,0,ROW()-1,60),ROW()-1,FALSE))</f>
        <v>32.274999999999999</v>
      </c>
      <c r="Z47">
        <f ca="1">IF(AND(ISNUMBER($Z$300),$B$258=1),$Z$300,HLOOKUP(INDIRECT(ADDRESS(2,COLUMN())),OFFSET($BN$2,0,0,ROW()-1,60),ROW()-1,FALSE))</f>
        <v>32.021999999999998</v>
      </c>
      <c r="AA47">
        <f ca="1">IF(AND(ISNUMBER($AA$300),$B$258=1),$AA$300,HLOOKUP(INDIRECT(ADDRESS(2,COLUMN())),OFFSET($BN$2,0,0,ROW()-1,60),ROW()-1,FALSE))</f>
        <v>28.288</v>
      </c>
      <c r="AB47">
        <f ca="1">IF(AND(ISNUMBER($AB$300),$B$258=1),$AB$300,HLOOKUP(INDIRECT(ADDRESS(2,COLUMN())),OFFSET($BN$2,0,0,ROW()-1,60),ROW()-1,FALSE))</f>
        <v>26.038</v>
      </c>
      <c r="AC47">
        <f ca="1">IF(AND(ISNUMBER($AC$300),$B$258=1),$AC$300,HLOOKUP(INDIRECT(ADDRESS(2,COLUMN())),OFFSET($BN$2,0,0,ROW()-1,60),ROW()-1,FALSE))</f>
        <v>25.117000000000001</v>
      </c>
      <c r="AD47">
        <f ca="1">IF(AND(ISNUMBER($AD$300),$B$258=1),$AD$300,HLOOKUP(INDIRECT(ADDRESS(2,COLUMN())),OFFSET($BN$2,0,0,ROW()-1,60),ROW()-1,FALSE))</f>
        <v>23.727</v>
      </c>
      <c r="AE47">
        <f ca="1">IF(AND(ISNUMBER($AE$300),$B$258=1),$AE$300,HLOOKUP(INDIRECT(ADDRESS(2,COLUMN())),OFFSET($BN$2,0,0,ROW()-1,60),ROW()-1,FALSE))</f>
        <v>26.349</v>
      </c>
      <c r="AF47">
        <f ca="1">IF(AND(ISNUMBER($AF$300),$B$258=1),$AF$300,HLOOKUP(INDIRECT(ADDRESS(2,COLUMN())),OFFSET($BN$2,0,0,ROW()-1,60),ROW()-1,FALSE))</f>
        <v>21.47</v>
      </c>
      <c r="AG47">
        <f ca="1">IF(AND(ISNUMBER($AG$300),$B$258=1),$AG$300,HLOOKUP(INDIRECT(ADDRESS(2,COLUMN())),OFFSET($BN$2,0,0,ROW()-1,60),ROW()-1,FALSE))</f>
        <v>18.805</v>
      </c>
      <c r="AH47">
        <f ca="1">IF(AND(ISNUMBER($AH$300),$B$258=1),$AH$300,HLOOKUP(INDIRECT(ADDRESS(2,COLUMN())),OFFSET($BN$2,0,0,ROW()-1,60),ROW()-1,FALSE))</f>
        <v>17.600999999999999</v>
      </c>
      <c r="AI47" t="str">
        <f ca="1">IF(AND(ISNUMBER($AI$300),$B$258=1),$AI$300,HLOOKUP(INDIRECT(ADDRESS(2,COLUMN())),OFFSET($BN$2,0,0,ROW()-1,60),ROW()-1,FALSE))</f>
        <v/>
      </c>
      <c r="AJ47">
        <f ca="1">IF(AND(ISNUMBER($AJ$300),$B$258=1),$AJ$300,HLOOKUP(INDIRECT(ADDRESS(2,COLUMN())),OFFSET($BN$2,0,0,ROW()-1,60),ROW()-1,FALSE))</f>
        <v>475.99700000000001</v>
      </c>
      <c r="AK47">
        <f ca="1">IF(AND(ISNUMBER($AK$300),$B$258=1),$AK$300,HLOOKUP(INDIRECT(ADDRESS(2,COLUMN())),OFFSET($BN$2,0,0,ROW()-1,60),ROW()-1,FALSE))</f>
        <v>474.61799999999999</v>
      </c>
      <c r="AL47">
        <f ca="1">IF(AND(ISNUMBER($AL$300),$B$258=1),$AL$300,HLOOKUP(INDIRECT(ADDRESS(2,COLUMN())),OFFSET($BN$2,0,0,ROW()-1,60),ROW()-1,FALSE))</f>
        <v>473.255</v>
      </c>
      <c r="AM47">
        <f ca="1">IF(AND(ISNUMBER($AM$300),$B$258=1),$AM$300,HLOOKUP(INDIRECT(ADDRESS(2,COLUMN())),OFFSET($BN$2,0,0,ROW()-1,60),ROW()-1,FALSE))</f>
        <v>474.06400000000002</v>
      </c>
      <c r="AN47">
        <f ca="1">IF(AND(ISNUMBER($AN$300),$B$258=1),$AN$300,HLOOKUP(INDIRECT(ADDRESS(2,COLUMN())),OFFSET($BN$2,0,0,ROW()-1,60),ROW()-1,FALSE))</f>
        <v>470.89299999999997</v>
      </c>
      <c r="AO47">
        <f ca="1">IF(AND(ISNUMBER($AO$300),$B$258=1),$AO$300,HLOOKUP(INDIRECT(ADDRESS(2,COLUMN())),OFFSET($BN$2,0,0,ROW()-1,60),ROW()-1,FALSE))</f>
        <v>468.88400000000001</v>
      </c>
      <c r="AP47">
        <f ca="1">IF(AND(ISNUMBER($AP$300),$B$258=1),$AP$300,HLOOKUP(INDIRECT(ADDRESS(2,COLUMN())),OFFSET($BN$2,0,0,ROW()-1,60),ROW()-1,FALSE))</f>
        <v>468.29599999999999</v>
      </c>
      <c r="AQ47">
        <f ca="1">IF(AND(ISNUMBER($AQ$300),$B$258=1),$AQ$300,HLOOKUP(INDIRECT(ADDRESS(2,COLUMN())),OFFSET($BN$2,0,0,ROW()-1,60),ROW()-1,FALSE))</f>
        <v>466.96800000000002</v>
      </c>
      <c r="AR47">
        <f ca="1">IF(AND(ISNUMBER($AR$300),$B$258=1),$AR$300,HLOOKUP(INDIRECT(ADDRESS(2,COLUMN())),OFFSET($BN$2,0,0,ROW()-1,60),ROW()-1,FALSE))</f>
        <v>456.72199999999998</v>
      </c>
      <c r="AS47">
        <f ca="1">IF(AND(ISNUMBER($AS$300),$B$258=1),$AS$300,HLOOKUP(INDIRECT(ADDRESS(2,COLUMN())),OFFSET($BN$2,0,0,ROW()-1,60),ROW()-1,FALSE))</f>
        <v>454.19200000000001</v>
      </c>
      <c r="AT47">
        <f ca="1">IF(AND(ISNUMBER($AT$300),$B$258=1),$AT$300,HLOOKUP(INDIRECT(ADDRESS(2,COLUMN())),OFFSET($BN$2,0,0,ROW()-1,60),ROW()-1,FALSE))</f>
        <v>458.24200000000002</v>
      </c>
      <c r="AU47">
        <f ca="1">IF(AND(ISNUMBER($AU$300),$B$258=1),$AU$300,HLOOKUP(INDIRECT(ADDRESS(2,COLUMN())),OFFSET($BN$2,0,0,ROW()-1,60),ROW()-1,FALSE))</f>
        <v>450.54899999999998</v>
      </c>
      <c r="AV47">
        <f ca="1">IF(AND(ISNUMBER($AV$300),$B$258=1),$AV$300,HLOOKUP(INDIRECT(ADDRESS(2,COLUMN())),OFFSET($BN$2,0,0,ROW()-1,60),ROW()-1,FALSE))</f>
        <v>439.57</v>
      </c>
      <c r="AW47">
        <f ca="1">IF(AND(ISNUMBER($AW$300),$B$258=1),$AW$300,HLOOKUP(INDIRECT(ADDRESS(2,COLUMN())),OFFSET($BN$2,0,0,ROW()-1,60),ROW()-1,FALSE))</f>
        <v>446.66500000000002</v>
      </c>
      <c r="AX47">
        <f ca="1">IF(AND(ISNUMBER($AX$300),$B$258=1),$AX$300,HLOOKUP(INDIRECT(ADDRESS(2,COLUMN())),OFFSET($BN$2,0,0,ROW()-1,60),ROW()-1,FALSE))</f>
        <v>273.56900000000002</v>
      </c>
      <c r="AY47">
        <f ca="1">IF(AND(ISNUMBER($AY$300),$B$258=1),$AY$300,HLOOKUP(INDIRECT(ADDRESS(2,COLUMN())),OFFSET($BN$2,0,0,ROW()-1,60),ROW()-1,FALSE))</f>
        <v>268.30399999999997</v>
      </c>
      <c r="AZ47" t="str">
        <f ca="1">IF(AND(ISNUMBER($AZ$300),$B$258=1),$AZ$300,HLOOKUP(INDIRECT(ADDRESS(2,COLUMN())),OFFSET($BN$2,0,0,ROW()-1,60),ROW()-1,FALSE))</f>
        <v/>
      </c>
      <c r="BA47" t="str">
        <f ca="1">IF(AND(ISNUMBER($BA$300),$B$258=1),$BA$300,HLOOKUP(INDIRECT(ADDRESS(2,COLUMN())),OFFSET($BN$2,0,0,ROW()-1,60),ROW()-1,FALSE))</f>
        <v/>
      </c>
      <c r="BB47" t="str">
        <f ca="1">IF(AND(ISNUMBER($BB$300),$B$258=1),$BB$300,HLOOKUP(INDIRECT(ADDRESS(2,COLUMN())),OFFSET($BN$2,0,0,ROW()-1,60),ROW()-1,FALSE))</f>
        <v/>
      </c>
      <c r="BC47" t="str">
        <f ca="1">IF(AND(ISNUMBER($BC$300),$B$258=1),$BC$300,HLOOKUP(INDIRECT(ADDRESS(2,COLUMN())),OFFSET($BN$2,0,0,ROW()-1,60),ROW()-1,FALSE))</f>
        <v/>
      </c>
      <c r="BD47" t="str">
        <f ca="1">IF(AND(ISNUMBER($BD$300),$B$258=1),$BD$300,HLOOKUP(INDIRECT(ADDRESS(2,COLUMN())),OFFSET($BN$2,0,0,ROW()-1,60),ROW()-1,FALSE))</f>
        <v/>
      </c>
      <c r="BE47" t="str">
        <f ca="1">IF(AND(ISNUMBER($BE$300),$B$258=1),$BE$300,HLOOKUP(INDIRECT(ADDRESS(2,COLUMN())),OFFSET($BN$2,0,0,ROW()-1,60),ROW()-1,FALSE))</f>
        <v/>
      </c>
      <c r="BF47" t="str">
        <f ca="1">IF(AND(ISNUMBER($BF$300),$B$258=1),$BF$300,HLOOKUP(INDIRECT(ADDRESS(2,COLUMN())),OFFSET($BN$2,0,0,ROW()-1,60),ROW()-1,FALSE))</f>
        <v/>
      </c>
      <c r="BG47" t="str">
        <f ca="1">IF(AND(ISNUMBER($BG$300),$B$258=1),$BG$300,HLOOKUP(INDIRECT(ADDRESS(2,COLUMN())),OFFSET($BN$2,0,0,ROW()-1,60),ROW()-1,FALSE))</f>
        <v/>
      </c>
      <c r="BH47" t="str">
        <f ca="1">IF(AND(ISNUMBER($BH$300),$B$258=1),$BH$300,HLOOKUP(INDIRECT(ADDRESS(2,COLUMN())),OFFSET($BN$2,0,0,ROW()-1,60),ROW()-1,FALSE))</f>
        <v/>
      </c>
      <c r="BI47" t="str">
        <f ca="1">IF(AND(ISNUMBER($BI$300),$B$258=1),$BI$300,HLOOKUP(INDIRECT(ADDRESS(2,COLUMN())),OFFSET($BN$2,0,0,ROW()-1,60),ROW()-1,FALSE))</f>
        <v/>
      </c>
      <c r="BJ47" t="str">
        <f ca="1">IF(AND(ISNUMBER($BJ$300),$B$258=1),$BJ$300,HLOOKUP(INDIRECT(ADDRESS(2,COLUMN())),OFFSET($BN$2,0,0,ROW()-1,60),ROW()-1,FALSE))</f>
        <v/>
      </c>
      <c r="BK47" t="str">
        <f ca="1">IF(AND(ISNUMBER($BK$300),$B$258=1),$BK$300,HLOOKUP(INDIRECT(ADDRESS(2,COLUMN())),OFFSET($BN$2,0,0,ROW()-1,60),ROW()-1,FALSE))</f>
        <v/>
      </c>
      <c r="BL47" t="str">
        <f ca="1">IF(AND(ISNUMBER($BL$300),$B$258=1),$BL$300,HLOOKUP(INDIRECT(ADDRESS(2,COLUMN())),OFFSET($BN$2,0,0,ROW()-1,60),ROW()-1,FALSE))</f>
        <v/>
      </c>
      <c r="BM47" t="str">
        <f ca="1">IF(AND(ISNUMBER($BM$300),$B$258=1),$BM$300,HLOOKUP(INDIRECT(ADDRESS(2,COLUMN())),OFFSET($BN$2,0,0,ROW()-1,60),ROW()-1,FALSE))</f>
        <v/>
      </c>
      <c r="BN47" t="str">
        <f>""</f>
        <v/>
      </c>
      <c r="BO47">
        <f>166.472</f>
        <v>166.47200000000001</v>
      </c>
      <c r="BP47">
        <f>111.789</f>
        <v>111.789</v>
      </c>
      <c r="BQ47">
        <f>64.736</f>
        <v>64.736000000000004</v>
      </c>
      <c r="BR47">
        <f>62.65</f>
        <v>62.65</v>
      </c>
      <c r="BS47">
        <f>61.791</f>
        <v>61.790999999999997</v>
      </c>
      <c r="BT47">
        <f>61.927</f>
        <v>61.927</v>
      </c>
      <c r="BU47">
        <f>74.249</f>
        <v>74.248999999999995</v>
      </c>
      <c r="BV47">
        <f>62.559</f>
        <v>62.558999999999997</v>
      </c>
      <c r="BW47">
        <f>66.772</f>
        <v>66.772000000000006</v>
      </c>
      <c r="BX47">
        <f>59.934</f>
        <v>59.933999999999997</v>
      </c>
      <c r="BY47">
        <f>56.586</f>
        <v>56.585999999999999</v>
      </c>
      <c r="BZ47">
        <f>55.572</f>
        <v>55.572000000000003</v>
      </c>
      <c r="CA47">
        <f>55.711</f>
        <v>55.710999999999999</v>
      </c>
      <c r="CB47">
        <f>43.984</f>
        <v>43.984000000000002</v>
      </c>
      <c r="CC47">
        <f>42.973</f>
        <v>42.972999999999999</v>
      </c>
      <c r="CD47">
        <f>40.85</f>
        <v>40.85</v>
      </c>
      <c r="CE47">
        <f>37.557</f>
        <v>37.557000000000002</v>
      </c>
      <c r="CF47">
        <f>32.926</f>
        <v>32.926000000000002</v>
      </c>
      <c r="CG47">
        <f>32.275</f>
        <v>32.274999999999999</v>
      </c>
      <c r="CH47">
        <f>32.022</f>
        <v>32.021999999999998</v>
      </c>
      <c r="CI47">
        <f>28.288</f>
        <v>28.288</v>
      </c>
      <c r="CJ47">
        <f>26.038</f>
        <v>26.038</v>
      </c>
      <c r="CK47">
        <f>25.117</f>
        <v>25.117000000000001</v>
      </c>
      <c r="CL47">
        <f>23.727</f>
        <v>23.727</v>
      </c>
      <c r="CM47">
        <f>26.349</f>
        <v>26.349</v>
      </c>
      <c r="CN47">
        <f>21.47</f>
        <v>21.47</v>
      </c>
      <c r="CO47">
        <f>18.805</f>
        <v>18.805</v>
      </c>
      <c r="CP47">
        <f>17.601</f>
        <v>17.600999999999999</v>
      </c>
      <c r="CQ47" t="str">
        <f>""</f>
        <v/>
      </c>
      <c r="CR47">
        <f>475.997</f>
        <v>475.99700000000001</v>
      </c>
      <c r="CS47">
        <f>474.618</f>
        <v>474.61799999999999</v>
      </c>
      <c r="CT47">
        <f>473.255</f>
        <v>473.255</v>
      </c>
      <c r="CU47">
        <f>474.064</f>
        <v>474.06400000000002</v>
      </c>
      <c r="CV47">
        <f>470.893</f>
        <v>470.89299999999997</v>
      </c>
      <c r="CW47">
        <f>468.884</f>
        <v>468.88400000000001</v>
      </c>
      <c r="CX47">
        <f>468.296</f>
        <v>468.29599999999999</v>
      </c>
      <c r="CY47">
        <f>466.968</f>
        <v>466.96800000000002</v>
      </c>
      <c r="CZ47">
        <f>456.722</f>
        <v>456.72199999999998</v>
      </c>
      <c r="DA47">
        <f>454.192</f>
        <v>454.19200000000001</v>
      </c>
      <c r="DB47">
        <f>458.242</f>
        <v>458.24200000000002</v>
      </c>
      <c r="DC47">
        <f>450.549</f>
        <v>450.54899999999998</v>
      </c>
      <c r="DD47">
        <f>439.57</f>
        <v>439.57</v>
      </c>
      <c r="DE47">
        <f>446.665</f>
        <v>446.66500000000002</v>
      </c>
      <c r="DF47">
        <f>273.569</f>
        <v>273.56900000000002</v>
      </c>
      <c r="DG47">
        <f>268.304</f>
        <v>268.30399999999997</v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>
      <c r="A48" t="str">
        <f>"    Senior Housing Properties Trus"</f>
        <v xml:space="preserve">    Senior Housing Properties Trus</v>
      </c>
      <c r="B48" t="str">
        <f>"SNH US Equity"</f>
        <v>SNH US Equity</v>
      </c>
      <c r="C48" t="str">
        <f t="shared" si="9"/>
        <v>IS010</v>
      </c>
      <c r="D48" t="str">
        <f t="shared" si="10"/>
        <v>SALES_REV_TURN</v>
      </c>
      <c r="E48" t="str">
        <f t="shared" si="11"/>
        <v>动态</v>
      </c>
      <c r="F48" t="str">
        <f ca="1">IF(AND(ISNUMBER($F$301),$B$258=1),$F$301,HLOOKUP(INDIRECT(ADDRESS(2,COLUMN())),OFFSET($BN$2,0,0,ROW()-1,60),ROW()-1,FALSE))</f>
        <v/>
      </c>
      <c r="G48">
        <f ca="1">IF(AND(ISNUMBER($G$301),$B$258=1),$G$301,HLOOKUP(INDIRECT(ADDRESS(2,COLUMN())),OFFSET($BN$2,0,0,ROW()-1,60),ROW()-1,FALSE))</f>
        <v>278.56599999999997</v>
      </c>
      <c r="H48">
        <f ca="1">IF(AND(ISNUMBER($H$301),$B$258=1),$H$301,HLOOKUP(INDIRECT(ADDRESS(2,COLUMN())),OFFSET($BN$2,0,0,ROW()-1,60),ROW()-1,FALSE))</f>
        <v>266.67899999999997</v>
      </c>
      <c r="I48">
        <f ca="1">IF(AND(ISNUMBER($I$301),$B$258=1),$I$301,HLOOKUP(INDIRECT(ADDRESS(2,COLUMN())),OFFSET($BN$2,0,0,ROW()-1,60),ROW()-1,FALSE))</f>
        <v>265.01299999999998</v>
      </c>
      <c r="J48">
        <f ca="1">IF(AND(ISNUMBER($J$301),$B$258=1),$J$301,HLOOKUP(INDIRECT(ADDRESS(2,COLUMN())),OFFSET($BN$2,0,0,ROW()-1,60),ROW()-1,FALSE))</f>
        <v>264.56099999999998</v>
      </c>
      <c r="K48">
        <f ca="1">IF(AND(ISNUMBER($K$301),$B$258=1),$K$301,HLOOKUP(INDIRECT(ADDRESS(2,COLUMN())),OFFSET($BN$2,0,0,ROW()-1,60),ROW()-1,FALSE))</f>
        <v>274.29599999999999</v>
      </c>
      <c r="L48">
        <f ca="1">IF(AND(ISNUMBER($L$301),$B$258=1),$L$301,HLOOKUP(INDIRECT(ADDRESS(2,COLUMN())),OFFSET($BN$2,0,0,ROW()-1,60),ROW()-1,FALSE))</f>
        <v>263.983</v>
      </c>
      <c r="M48">
        <f ca="1">IF(AND(ISNUMBER($M$301),$B$258=1),$M$301,HLOOKUP(INDIRECT(ADDRESS(2,COLUMN())),OFFSET($BN$2,0,0,ROW()-1,60),ROW()-1,FALSE))</f>
        <v>261.36700000000002</v>
      </c>
      <c r="N48">
        <f ca="1">IF(AND(ISNUMBER($N$301),$B$258=1),$N$301,HLOOKUP(INDIRECT(ADDRESS(2,COLUMN())),OFFSET($BN$2,0,0,ROW()-1,60),ROW()-1,FALSE))</f>
        <v>258.375</v>
      </c>
      <c r="O48">
        <f ca="1">IF(AND(ISNUMBER($O$301),$B$258=1),$O$301,HLOOKUP(INDIRECT(ADDRESS(2,COLUMN())),OFFSET($BN$2,0,0,ROW()-1,60),ROW()-1,FALSE))</f>
        <v>267.51900000000001</v>
      </c>
      <c r="P48">
        <f ca="1">IF(AND(ISNUMBER($P$301),$B$258=1),$P$301,HLOOKUP(INDIRECT(ADDRESS(2,COLUMN())),OFFSET($BN$2,0,0,ROW()-1,60),ROW()-1,FALSE))</f>
        <v>255.27500000000001</v>
      </c>
      <c r="Q48">
        <f ca="1">IF(AND(ISNUMBER($Q$301),$B$258=1),$Q$301,HLOOKUP(INDIRECT(ADDRESS(2,COLUMN())),OFFSET($BN$2,0,0,ROW()-1,60),ROW()-1,FALSE))</f>
        <v>247.40199999999999</v>
      </c>
      <c r="R48">
        <f ca="1">IF(AND(ISNUMBER($R$301),$B$258=1),$R$301,HLOOKUP(INDIRECT(ADDRESS(2,COLUMN())),OFFSET($BN$2,0,0,ROW()-1,60),ROW()-1,FALSE))</f>
        <v>228.577</v>
      </c>
      <c r="S48">
        <f ca="1">IF(AND(ISNUMBER($S$301),$B$258=1),$S$301,HLOOKUP(INDIRECT(ADDRESS(2,COLUMN())),OFFSET($BN$2,0,0,ROW()-1,60),ROW()-1,FALSE))</f>
        <v>229.809</v>
      </c>
      <c r="T48">
        <f ca="1">IF(AND(ISNUMBER($T$301),$B$258=1),$T$301,HLOOKUP(INDIRECT(ADDRESS(2,COLUMN())),OFFSET($BN$2,0,0,ROW()-1,60),ROW()-1,FALSE))</f>
        <v>216.87299999999999</v>
      </c>
      <c r="U48">
        <f ca="1">IF(AND(ISNUMBER($U$301),$B$258=1),$U$301,HLOOKUP(INDIRECT(ADDRESS(2,COLUMN())),OFFSET($BN$2,0,0,ROW()-1,60),ROW()-1,FALSE))</f>
        <v>206.708</v>
      </c>
      <c r="V48">
        <f ca="1">IF(AND(ISNUMBER($V$301),$B$258=1),$V$301,HLOOKUP(INDIRECT(ADDRESS(2,COLUMN())),OFFSET($BN$2,0,0,ROW()-1,60),ROW()-1,FALSE))</f>
        <v>191.49700000000001</v>
      </c>
      <c r="W48">
        <f ca="1">IF(AND(ISNUMBER($W$301),$B$258=1),$W$301,HLOOKUP(INDIRECT(ADDRESS(2,COLUMN())),OFFSET($BN$2,0,0,ROW()-1,60),ROW()-1,FALSE))</f>
        <v>200.33600000000001</v>
      </c>
      <c r="X48">
        <f ca="1">IF(AND(ISNUMBER($X$301),$B$258=1),$X$301,HLOOKUP(INDIRECT(ADDRESS(2,COLUMN())),OFFSET($BN$2,0,0,ROW()-1,60),ROW()-1,FALSE))</f>
        <v>187.26499999999999</v>
      </c>
      <c r="Y48">
        <f ca="1">IF(AND(ISNUMBER($Y$301),$B$258=1),$Y$301,HLOOKUP(INDIRECT(ADDRESS(2,COLUMN())),OFFSET($BN$2,0,0,ROW()-1,60),ROW()-1,FALSE))</f>
        <v>186.928</v>
      </c>
      <c r="Z48">
        <f ca="1">IF(AND(ISNUMBER($Z$301),$B$258=1),$Z$301,HLOOKUP(INDIRECT(ADDRESS(2,COLUMN())),OFFSET($BN$2,0,0,ROW()-1,60),ROW()-1,FALSE))</f>
        <v>186.90799999999999</v>
      </c>
      <c r="AA48">
        <f ca="1">IF(AND(ISNUMBER($AA$301),$B$258=1),$AA$301,HLOOKUP(INDIRECT(ADDRESS(2,COLUMN())),OFFSET($BN$2,0,0,ROW()-1,60),ROW()-1,FALSE))</f>
        <v>194.16399999999999</v>
      </c>
      <c r="AB48">
        <f ca="1">IF(AND(ISNUMBER($AB$301),$B$258=1),$AB$301,HLOOKUP(INDIRECT(ADDRESS(2,COLUMN())),OFFSET($BN$2,0,0,ROW()-1,60),ROW()-1,FALSE))</f>
        <v>156.108</v>
      </c>
      <c r="AC48">
        <f ca="1">IF(AND(ISNUMBER($AC$301),$B$258=1),$AC$301,HLOOKUP(INDIRECT(ADDRESS(2,COLUMN())),OFFSET($BN$2,0,0,ROW()-1,60),ROW()-1,FALSE))</f>
        <v>144.393</v>
      </c>
      <c r="AD48">
        <f ca="1">IF(AND(ISNUMBER($AD$301),$B$258=1),$AD$301,HLOOKUP(INDIRECT(ADDRESS(2,COLUMN())),OFFSET($BN$2,0,0,ROW()-1,60),ROW()-1,FALSE))</f>
        <v>145.07300000000001</v>
      </c>
      <c r="AE48">
        <f ca="1">IF(AND(ISNUMBER($AE$301),$B$258=1),$AE$301,HLOOKUP(INDIRECT(ADDRESS(2,COLUMN())),OFFSET($BN$2,0,0,ROW()-1,60),ROW()-1,FALSE))</f>
        <v>136.60300000000001</v>
      </c>
      <c r="AF48">
        <f ca="1">IF(AND(ISNUMBER($AF$301),$B$258=1),$AF$301,HLOOKUP(INDIRECT(ADDRESS(2,COLUMN())),OFFSET($BN$2,0,0,ROW()-1,60),ROW()-1,FALSE))</f>
        <v>113.7</v>
      </c>
      <c r="AG48">
        <f ca="1">IF(AND(ISNUMBER($AG$301),$B$258=1),$AG$301,HLOOKUP(INDIRECT(ADDRESS(2,COLUMN())),OFFSET($BN$2,0,0,ROW()-1,60),ROW()-1,FALSE))</f>
        <v>101.16200000000001</v>
      </c>
      <c r="AH48">
        <f ca="1">IF(AND(ISNUMBER($AH$301),$B$258=1),$AH$301,HLOOKUP(INDIRECT(ADDRESS(2,COLUMN())),OFFSET($BN$2,0,0,ROW()-1,60),ROW()-1,FALSE))</f>
        <v>98.552000000000007</v>
      </c>
      <c r="AI48">
        <f ca="1">IF(AND(ISNUMBER($AI$301),$B$258=1),$AI$301,HLOOKUP(INDIRECT(ADDRESS(2,COLUMN())),OFFSET($BN$2,0,0,ROW()-1,60),ROW()-1,FALSE))</f>
        <v>97.363</v>
      </c>
      <c r="AJ48">
        <f ca="1">IF(AND(ISNUMBER($AJ$301),$B$258=1),$AJ$301,HLOOKUP(INDIRECT(ADDRESS(2,COLUMN())),OFFSET($BN$2,0,0,ROW()-1,60),ROW()-1,FALSE))</f>
        <v>80.960999999999999</v>
      </c>
      <c r="AK48">
        <f ca="1">IF(AND(ISNUMBER($AK$301),$B$258=1),$AK$301,HLOOKUP(INDIRECT(ADDRESS(2,COLUMN())),OFFSET($BN$2,0,0,ROW()-1,60),ROW()-1,FALSE))</f>
        <v>80.765000000000001</v>
      </c>
      <c r="AL48">
        <f ca="1">IF(AND(ISNUMBER($AL$301),$B$258=1),$AL$301,HLOOKUP(INDIRECT(ADDRESS(2,COLUMN())),OFFSET($BN$2,0,0,ROW()-1,60),ROW()-1,FALSE))</f>
        <v>80.447000000000003</v>
      </c>
      <c r="AM48">
        <f ca="1">IF(AND(ISNUMBER($AM$301),$B$258=1),$AM$301,HLOOKUP(INDIRECT(ADDRESS(2,COLUMN())),OFFSET($BN$2,0,0,ROW()-1,60),ROW()-1,FALSE))</f>
        <v>86.992000000000004</v>
      </c>
      <c r="AN48">
        <f ca="1">IF(AND(ISNUMBER($AN$301),$B$258=1),$AN$301,HLOOKUP(INDIRECT(ADDRESS(2,COLUMN())),OFFSET($BN$2,0,0,ROW()-1,60),ROW()-1,FALSE))</f>
        <v>72.010000000000005</v>
      </c>
      <c r="AO48">
        <f ca="1">IF(AND(ISNUMBER($AO$301),$B$258=1),$AO$301,HLOOKUP(INDIRECT(ADDRESS(2,COLUMN())),OFFSET($BN$2,0,0,ROW()-1,60),ROW()-1,FALSE))</f>
        <v>69.399000000000001</v>
      </c>
      <c r="AP48">
        <f ca="1">IF(AND(ISNUMBER($AP$301),$B$258=1),$AP$301,HLOOKUP(INDIRECT(ADDRESS(2,COLUMN())),OFFSET($BN$2,0,0,ROW()-1,60),ROW()-1,FALSE))</f>
        <v>68.376999999999995</v>
      </c>
      <c r="AQ48">
        <f ca="1">IF(AND(ISNUMBER($AQ$301),$B$258=1),$AQ$301,HLOOKUP(INDIRECT(ADDRESS(2,COLUMN())),OFFSET($BN$2,0,0,ROW()-1,60),ROW()-1,FALSE))</f>
        <v>72.921000000000006</v>
      </c>
      <c r="AR48">
        <f ca="1">IF(AND(ISNUMBER($AR$301),$B$258=1),$AR$301,HLOOKUP(INDIRECT(ADDRESS(2,COLUMN())),OFFSET($BN$2,0,0,ROW()-1,60),ROW()-1,FALSE))</f>
        <v>59.673000000000002</v>
      </c>
      <c r="AS48">
        <f ca="1">IF(AND(ISNUMBER($AS$301),$B$258=1),$AS$301,HLOOKUP(INDIRECT(ADDRESS(2,COLUMN())),OFFSET($BN$2,0,0,ROW()-1,60),ROW()-1,FALSE))</f>
        <v>53.39</v>
      </c>
      <c r="AT48">
        <f ca="1">IF(AND(ISNUMBER($AT$301),$B$258=1),$AT$301,HLOOKUP(INDIRECT(ADDRESS(2,COLUMN())),OFFSET($BN$2,0,0,ROW()-1,60),ROW()-1,FALSE))</f>
        <v>49.552999999999997</v>
      </c>
      <c r="AU48">
        <f ca="1">IF(AND(ISNUMBER($AU$301),$B$258=1),$AU$301,HLOOKUP(INDIRECT(ADDRESS(2,COLUMN())),OFFSET($BN$2,0,0,ROW()-1,60),ROW()-1,FALSE))</f>
        <v>53.084000000000003</v>
      </c>
      <c r="AV48">
        <f ca="1">IF(AND(ISNUMBER($AV$301),$B$258=1),$AV$301,HLOOKUP(INDIRECT(ADDRESS(2,COLUMN())),OFFSET($BN$2,0,0,ROW()-1,60),ROW()-1,FALSE))</f>
        <v>45.223999999999997</v>
      </c>
      <c r="AW48">
        <f ca="1">IF(AND(ISNUMBER($AW$301),$B$258=1),$AW$301,HLOOKUP(INDIRECT(ADDRESS(2,COLUMN())),OFFSET($BN$2,0,0,ROW()-1,60),ROW()-1,FALSE))</f>
        <v>44.962000000000003</v>
      </c>
      <c r="AX48">
        <f ca="1">IF(AND(ISNUMBER($AX$301),$B$258=1),$AX$301,HLOOKUP(INDIRECT(ADDRESS(2,COLUMN())),OFFSET($BN$2,0,0,ROW()-1,60),ROW()-1,FALSE))</f>
        <v>44.752000000000002</v>
      </c>
      <c r="AY48">
        <f ca="1">IF(AND(ISNUMBER($AY$301),$B$258=1),$AY$301,HLOOKUP(INDIRECT(ADDRESS(2,COLUMN())),OFFSET($BN$2,0,0,ROW()-1,60),ROW()-1,FALSE))</f>
        <v>55.043999999999997</v>
      </c>
      <c r="AZ48">
        <f ca="1">IF(AND(ISNUMBER($AZ$301),$B$258=1),$AZ$301,HLOOKUP(INDIRECT(ADDRESS(2,COLUMN())),OFFSET($BN$2,0,0,ROW()-1,60),ROW()-1,FALSE))</f>
        <v>42.317</v>
      </c>
      <c r="BA48">
        <f ca="1">IF(AND(ISNUMBER($BA$301),$B$258=1),$BA$301,HLOOKUP(INDIRECT(ADDRESS(2,COLUMN())),OFFSET($BN$2,0,0,ROW()-1,60),ROW()-1,FALSE))</f>
        <v>41.276000000000003</v>
      </c>
      <c r="BB48">
        <f ca="1">IF(AND(ISNUMBER($BB$301),$B$258=1),$BB$301,HLOOKUP(INDIRECT(ADDRESS(2,COLUMN())),OFFSET($BN$2,0,0,ROW()-1,60),ROW()-1,FALSE))</f>
        <v>41.168999999999997</v>
      </c>
      <c r="BC48">
        <f ca="1">IF(AND(ISNUMBER($BC$301),$B$258=1),$BC$301,HLOOKUP(INDIRECT(ADDRESS(2,COLUMN())),OFFSET($BN$2,0,0,ROW()-1,60),ROW()-1,FALSE))</f>
        <v>44.110999999999997</v>
      </c>
      <c r="BD48">
        <f ca="1">IF(AND(ISNUMBER($BD$301),$B$258=1),$BD$301,HLOOKUP(INDIRECT(ADDRESS(2,COLUMN())),OFFSET($BN$2,0,0,ROW()-1,60),ROW()-1,FALSE))</f>
        <v>40.243999479999999</v>
      </c>
      <c r="BE48">
        <f ca="1">IF(AND(ISNUMBER($BE$301),$B$258=1),$BE$301,HLOOKUP(INDIRECT(ADDRESS(2,COLUMN())),OFFSET($BN$2,0,0,ROW()-1,60),ROW()-1,FALSE))</f>
        <v>39.604999540000001</v>
      </c>
      <c r="BF48">
        <f ca="1">IF(AND(ISNUMBER($BF$301),$B$258=1),$BF$301,HLOOKUP(INDIRECT(ADDRESS(2,COLUMN())),OFFSET($BN$2,0,0,ROW()-1,60),ROW()-1,FALSE))</f>
        <v>39.227001190000003</v>
      </c>
      <c r="BG48">
        <f ca="1">IF(AND(ISNUMBER($BG$301),$B$258=1),$BG$301,HLOOKUP(INDIRECT(ADDRESS(2,COLUMN())),OFFSET($BN$2,0,0,ROW()-1,60),ROW()-1,FALSE))</f>
        <v>40.729999999999997</v>
      </c>
      <c r="BH48">
        <f ca="1">IF(AND(ISNUMBER($BH$301),$B$258=1),$BH$301,HLOOKUP(INDIRECT(ADDRESS(2,COLUMN())),OFFSET($BN$2,0,0,ROW()-1,60),ROW()-1,FALSE))</f>
        <v>35.743999479999999</v>
      </c>
      <c r="BI48">
        <f ca="1">IF(AND(ISNUMBER($BI$301),$B$258=1),$BI$301,HLOOKUP(INDIRECT(ADDRESS(2,COLUMN())),OFFSET($BN$2,0,0,ROW()-1,60),ROW()-1,FALSE))</f>
        <v>35.506000520000001</v>
      </c>
      <c r="BJ48">
        <f ca="1">IF(AND(ISNUMBER($BJ$301),$B$258=1),$BJ$301,HLOOKUP(INDIRECT(ADDRESS(2,COLUMN())),OFFSET($BN$2,0,0,ROW()-1,60),ROW()-1,FALSE))</f>
        <v>36.542999270000003</v>
      </c>
      <c r="BK48">
        <f ca="1">IF(AND(ISNUMBER($BK$301),$B$258=1),$BK$301,HLOOKUP(INDIRECT(ADDRESS(2,COLUMN())),OFFSET($BN$2,0,0,ROW()-1,60),ROW()-1,FALSE))</f>
        <v>35.854999540000001</v>
      </c>
      <c r="BL48">
        <f ca="1">IF(AND(ISNUMBER($BL$301),$B$258=1),$BL$301,HLOOKUP(INDIRECT(ADDRESS(2,COLUMN())),OFFSET($BN$2,0,0,ROW()-1,60),ROW()-1,FALSE))</f>
        <v>32.100999999999999</v>
      </c>
      <c r="BM48">
        <f ca="1">IF(AND(ISNUMBER($BM$301),$B$258=1),$BM$301,HLOOKUP(INDIRECT(ADDRESS(2,COLUMN())),OFFSET($BN$2,0,0,ROW()-1,60),ROW()-1,FALSE))</f>
        <v>31.841999999999999</v>
      </c>
      <c r="BN48" t="str">
        <f>""</f>
        <v/>
      </c>
      <c r="BO48">
        <f>278.566</f>
        <v>278.56599999999997</v>
      </c>
      <c r="BP48">
        <f>266.679</f>
        <v>266.67899999999997</v>
      </c>
      <c r="BQ48">
        <f>265.013</f>
        <v>265.01299999999998</v>
      </c>
      <c r="BR48">
        <f>264.561</f>
        <v>264.56099999999998</v>
      </c>
      <c r="BS48">
        <f>274.296</f>
        <v>274.29599999999999</v>
      </c>
      <c r="BT48">
        <f>263.983</f>
        <v>263.983</v>
      </c>
      <c r="BU48">
        <f>261.367</f>
        <v>261.36700000000002</v>
      </c>
      <c r="BV48">
        <f>258.375</f>
        <v>258.375</v>
      </c>
      <c r="BW48">
        <f>267.519</f>
        <v>267.51900000000001</v>
      </c>
      <c r="BX48">
        <f>255.275</f>
        <v>255.27500000000001</v>
      </c>
      <c r="BY48">
        <f>247.402</f>
        <v>247.40199999999999</v>
      </c>
      <c r="BZ48">
        <f>228.577</f>
        <v>228.577</v>
      </c>
      <c r="CA48">
        <f>229.809</f>
        <v>229.809</v>
      </c>
      <c r="CB48">
        <f>216.873</f>
        <v>216.87299999999999</v>
      </c>
      <c r="CC48">
        <f>206.708</f>
        <v>206.708</v>
      </c>
      <c r="CD48">
        <f>191.497</f>
        <v>191.49700000000001</v>
      </c>
      <c r="CE48">
        <f>200.336</f>
        <v>200.33600000000001</v>
      </c>
      <c r="CF48">
        <f>187.265</f>
        <v>187.26499999999999</v>
      </c>
      <c r="CG48">
        <f>186.928</f>
        <v>186.928</v>
      </c>
      <c r="CH48">
        <f>186.908</f>
        <v>186.90799999999999</v>
      </c>
      <c r="CI48">
        <f>194.164</f>
        <v>194.16399999999999</v>
      </c>
      <c r="CJ48">
        <f>156.108</f>
        <v>156.108</v>
      </c>
      <c r="CK48">
        <f>144.393</f>
        <v>144.393</v>
      </c>
      <c r="CL48">
        <f>145.073</f>
        <v>145.07300000000001</v>
      </c>
      <c r="CM48">
        <f>136.603</f>
        <v>136.60300000000001</v>
      </c>
      <c r="CN48">
        <f>113.7</f>
        <v>113.7</v>
      </c>
      <c r="CO48">
        <f>101.162</f>
        <v>101.16200000000001</v>
      </c>
      <c r="CP48">
        <f>98.552</f>
        <v>98.552000000000007</v>
      </c>
      <c r="CQ48">
        <f>97.363</f>
        <v>97.363</v>
      </c>
      <c r="CR48">
        <f>80.961</f>
        <v>80.960999999999999</v>
      </c>
      <c r="CS48">
        <f>80.765</f>
        <v>80.765000000000001</v>
      </c>
      <c r="CT48">
        <f>80.447</f>
        <v>80.447000000000003</v>
      </c>
      <c r="CU48">
        <f>86.992</f>
        <v>86.992000000000004</v>
      </c>
      <c r="CV48">
        <f>72.01</f>
        <v>72.010000000000005</v>
      </c>
      <c r="CW48">
        <f>69.399</f>
        <v>69.399000000000001</v>
      </c>
      <c r="CX48">
        <f>68.377</f>
        <v>68.376999999999995</v>
      </c>
      <c r="CY48">
        <f>72.921</f>
        <v>72.921000000000006</v>
      </c>
      <c r="CZ48">
        <f>59.673</f>
        <v>59.673000000000002</v>
      </c>
      <c r="DA48">
        <f>53.39</f>
        <v>53.39</v>
      </c>
      <c r="DB48">
        <f>49.553</f>
        <v>49.552999999999997</v>
      </c>
      <c r="DC48">
        <f>53.084</f>
        <v>53.084000000000003</v>
      </c>
      <c r="DD48">
        <f>45.224</f>
        <v>45.223999999999997</v>
      </c>
      <c r="DE48">
        <f>44.962</f>
        <v>44.962000000000003</v>
      </c>
      <c r="DF48">
        <f>44.752</f>
        <v>44.752000000000002</v>
      </c>
      <c r="DG48">
        <f>55.044</f>
        <v>55.043999999999997</v>
      </c>
      <c r="DH48">
        <f>42.317</f>
        <v>42.317</v>
      </c>
      <c r="DI48">
        <f>41.276</f>
        <v>41.276000000000003</v>
      </c>
      <c r="DJ48">
        <f>41.169</f>
        <v>41.168999999999997</v>
      </c>
      <c r="DK48">
        <f>44.111</f>
        <v>44.110999999999997</v>
      </c>
      <c r="DL48">
        <f>40.24399948</f>
        <v>40.243999479999999</v>
      </c>
      <c r="DM48">
        <f>39.60499954</f>
        <v>39.604999540000001</v>
      </c>
      <c r="DN48">
        <f>39.22700119</f>
        <v>39.227001190000003</v>
      </c>
      <c r="DO48">
        <f>40.73</f>
        <v>40.729999999999997</v>
      </c>
      <c r="DP48">
        <f>35.74399948</f>
        <v>35.743999479999999</v>
      </c>
      <c r="DQ48">
        <f>35.50600052</f>
        <v>35.506000520000001</v>
      </c>
      <c r="DR48">
        <f>36.54299927</f>
        <v>36.542999270000003</v>
      </c>
      <c r="DS48">
        <f>35.85499954</f>
        <v>35.854999540000001</v>
      </c>
      <c r="DT48">
        <f>32.101</f>
        <v>32.100999999999999</v>
      </c>
      <c r="DU48">
        <f>31.842</f>
        <v>31.841999999999999</v>
      </c>
    </row>
    <row r="49" spans="1:125">
      <c r="A49" t="str">
        <f>"    Ventas Inc"</f>
        <v xml:space="preserve">    Ventas Inc</v>
      </c>
      <c r="B49" t="str">
        <f>"VTR US Equity"</f>
        <v>VTR US Equity</v>
      </c>
      <c r="C49" t="str">
        <f t="shared" si="9"/>
        <v>IS010</v>
      </c>
      <c r="D49" t="str">
        <f t="shared" si="10"/>
        <v>SALES_REV_TURN</v>
      </c>
      <c r="E49" t="str">
        <f t="shared" si="11"/>
        <v>动态</v>
      </c>
      <c r="F49" t="str">
        <f ca="1">IF(AND(ISNUMBER($F$302),$B$258=1),$F$302,HLOOKUP(INDIRECT(ADDRESS(2,COLUMN())),OFFSET($BN$2,0,0,ROW()-1,60),ROW()-1,FALSE))</f>
        <v/>
      </c>
      <c r="G49">
        <f ca="1">IF(AND(ISNUMBER($G$302),$B$258=1),$G$302,HLOOKUP(INDIRECT(ADDRESS(2,COLUMN())),OFFSET($BN$2,0,0,ROW()-1,60),ROW()-1,FALSE))</f>
        <v>895.28800000000001</v>
      </c>
      <c r="H49">
        <f ca="1">IF(AND(ISNUMBER($H$302),$B$258=1),$H$302,HLOOKUP(INDIRECT(ADDRESS(2,COLUMN())),OFFSET($BN$2,0,0,ROW()-1,60),ROW()-1,FALSE))</f>
        <v>899.928</v>
      </c>
      <c r="I49">
        <f ca="1">IF(AND(ISNUMBER($I$302),$B$258=1),$I$302,HLOOKUP(INDIRECT(ADDRESS(2,COLUMN())),OFFSET($BN$2,0,0,ROW()-1,60),ROW()-1,FALSE))</f>
        <v>895.49</v>
      </c>
      <c r="J49">
        <f ca="1">IF(AND(ISNUMBER($J$302),$B$258=1),$J$302,HLOOKUP(INDIRECT(ADDRESS(2,COLUMN())),OFFSET($BN$2,0,0,ROW()-1,60),ROW()-1,FALSE))</f>
        <v>883.44299999999998</v>
      </c>
      <c r="K49">
        <f ca="1">IF(AND(ISNUMBER($K$302),$B$258=1),$K$302,HLOOKUP(INDIRECT(ADDRESS(2,COLUMN())),OFFSET($BN$2,0,0,ROW()-1,60),ROW()-1,FALSE))</f>
        <v>875.71299999999997</v>
      </c>
      <c r="L49">
        <f ca="1">IF(AND(ISNUMBER($L$302),$B$258=1),$L$302,HLOOKUP(INDIRECT(ADDRESS(2,COLUMN())),OFFSET($BN$2,0,0,ROW()-1,60),ROW()-1,FALSE))</f>
        <v>867.11599999999999</v>
      </c>
      <c r="M49">
        <f ca="1">IF(AND(ISNUMBER($M$302),$B$258=1),$M$302,HLOOKUP(INDIRECT(ADDRESS(2,COLUMN())),OFFSET($BN$2,0,0,ROW()-1,60),ROW()-1,FALSE))</f>
        <v>848.404</v>
      </c>
      <c r="N49">
        <f ca="1">IF(AND(ISNUMBER($N$302),$B$258=1),$N$302,HLOOKUP(INDIRECT(ADDRESS(2,COLUMN())),OFFSET($BN$2,0,0,ROW()-1,60),ROW()-1,FALSE))</f>
        <v>852.28899999999999</v>
      </c>
      <c r="O49">
        <f ca="1">IF(AND(ISNUMBER($O$302),$B$258=1),$O$302,HLOOKUP(INDIRECT(ADDRESS(2,COLUMN())),OFFSET($BN$2,0,0,ROW()-1,60),ROW()-1,FALSE))</f>
        <v>841.274</v>
      </c>
      <c r="P49">
        <f ca="1">IF(AND(ISNUMBER($P$302),$B$258=1),$P$302,HLOOKUP(INDIRECT(ADDRESS(2,COLUMN())),OFFSET($BN$2,0,0,ROW()-1,60),ROW()-1,FALSE))</f>
        <v>827.60599999999999</v>
      </c>
      <c r="Q49">
        <f ca="1">IF(AND(ISNUMBER($Q$302),$B$258=1),$Q$302,HLOOKUP(INDIRECT(ADDRESS(2,COLUMN())),OFFSET($BN$2,0,0,ROW()-1,60),ROW()-1,FALSE))</f>
        <v>811.92</v>
      </c>
      <c r="R49">
        <f ca="1">IF(AND(ISNUMBER($R$302),$B$258=1),$R$302,HLOOKUP(INDIRECT(ADDRESS(2,COLUMN())),OFFSET($BN$2,0,0,ROW()-1,60),ROW()-1,FALSE))</f>
        <v>805.59799999999996</v>
      </c>
      <c r="S49">
        <f ca="1">IF(AND(ISNUMBER($S$302),$B$258=1),$S$302,HLOOKUP(INDIRECT(ADDRESS(2,COLUMN())),OFFSET($BN$2,0,0,ROW()-1,60),ROW()-1,FALSE))</f>
        <v>732.09</v>
      </c>
      <c r="T49">
        <f ca="1">IF(AND(ISNUMBER($T$302),$B$258=1),$T$302,HLOOKUP(INDIRECT(ADDRESS(2,COLUMN())),OFFSET($BN$2,0,0,ROW()-1,60),ROW()-1,FALSE))</f>
        <v>704.93200000000002</v>
      </c>
      <c r="U49">
        <f ca="1">IF(AND(ISNUMBER($U$302),$B$258=1),$U$302,HLOOKUP(INDIRECT(ADDRESS(2,COLUMN())),OFFSET($BN$2,0,0,ROW()-1,60),ROW()-1,FALSE))</f>
        <v>751.25400000000002</v>
      </c>
      <c r="V49">
        <f ca="1">IF(AND(ISNUMBER($V$302),$B$258=1),$V$302,HLOOKUP(INDIRECT(ADDRESS(2,COLUMN())),OFFSET($BN$2,0,0,ROW()-1,60),ROW()-1,FALSE))</f>
        <v>741.47</v>
      </c>
      <c r="W49">
        <f ca="1">IF(AND(ISNUMBER($W$302),$B$258=1),$W$302,HLOOKUP(INDIRECT(ADDRESS(2,COLUMN())),OFFSET($BN$2,0,0,ROW()-1,60),ROW()-1,FALSE))</f>
        <v>733.18499999999995</v>
      </c>
      <c r="X49">
        <f ca="1">IF(AND(ISNUMBER($X$302),$B$258=1),$X$302,HLOOKUP(INDIRECT(ADDRESS(2,COLUMN())),OFFSET($BN$2,0,0,ROW()-1,60),ROW()-1,FALSE))</f>
        <v>711.24900000000002</v>
      </c>
      <c r="Y49">
        <f ca="1">IF(AND(ISNUMBER($Y$302),$B$258=1),$Y$302,HLOOKUP(INDIRECT(ADDRESS(2,COLUMN())),OFFSET($BN$2,0,0,ROW()-1,60),ROW()-1,FALSE))</f>
        <v>684.10900000000004</v>
      </c>
      <c r="Z49">
        <f ca="1">IF(AND(ISNUMBER($Z$302),$B$258=1),$Z$302,HLOOKUP(INDIRECT(ADDRESS(2,COLUMN())),OFFSET($BN$2,0,0,ROW()-1,60),ROW()-1,FALSE))</f>
        <v>682.90899999999999</v>
      </c>
      <c r="AA49">
        <f ca="1">IF(AND(ISNUMBER($AA$302),$B$258=1),$AA$302,HLOOKUP(INDIRECT(ADDRESS(2,COLUMN())),OFFSET($BN$2,0,0,ROW()-1,60),ROW()-1,FALSE))</f>
        <v>655.73</v>
      </c>
      <c r="AB49">
        <f ca="1">IF(AND(ISNUMBER($AB$302),$B$258=1),$AB$302,HLOOKUP(INDIRECT(ADDRESS(2,COLUMN())),OFFSET($BN$2,0,0,ROW()-1,60),ROW()-1,FALSE))</f>
        <v>638.65499999999997</v>
      </c>
      <c r="AC49">
        <f ca="1">IF(AND(ISNUMBER($AC$302),$B$258=1),$AC$302,HLOOKUP(INDIRECT(ADDRESS(2,COLUMN())),OFFSET($BN$2,0,0,ROW()-1,60),ROW()-1,FALSE))</f>
        <v>611.96400000000006</v>
      </c>
      <c r="AD49">
        <f ca="1">IF(AND(ISNUMBER($AD$302),$B$258=1),$AD$302,HLOOKUP(INDIRECT(ADDRESS(2,COLUMN())),OFFSET($BN$2,0,0,ROW()-1,60),ROW()-1,FALSE))</f>
        <v>566.42399999999998</v>
      </c>
      <c r="AE49">
        <f ca="1">IF(AND(ISNUMBER($AE$302),$B$258=1),$AE$302,HLOOKUP(INDIRECT(ADDRESS(2,COLUMN())),OFFSET($BN$2,0,0,ROW()-1,60),ROW()-1,FALSE))</f>
        <v>563.14499999999998</v>
      </c>
      <c r="AF49">
        <f ca="1">IF(AND(ISNUMBER($AF$302),$B$258=1),$AF$302,HLOOKUP(INDIRECT(ADDRESS(2,COLUMN())),OFFSET($BN$2,0,0,ROW()-1,60),ROW()-1,FALSE))</f>
        <v>555.37800000000004</v>
      </c>
      <c r="AG49">
        <f ca="1">IF(AND(ISNUMBER($AG$302),$B$258=1),$AG$302,HLOOKUP(INDIRECT(ADDRESS(2,COLUMN())),OFFSET($BN$2,0,0,ROW()-1,60),ROW()-1,FALSE))</f>
        <v>359.50599999999997</v>
      </c>
      <c r="AH49">
        <f ca="1">IF(AND(ISNUMBER($AH$302),$B$258=1),$AH$302,HLOOKUP(INDIRECT(ADDRESS(2,COLUMN())),OFFSET($BN$2,0,0,ROW()-1,60),ROW()-1,FALSE))</f>
        <v>268.43200000000002</v>
      </c>
      <c r="AI49">
        <f ca="1">IF(AND(ISNUMBER($AI$302),$B$258=1),$AI$302,HLOOKUP(INDIRECT(ADDRESS(2,COLUMN())),OFFSET($BN$2,0,0,ROW()-1,60),ROW()-1,FALSE))</f>
        <v>265.96499999999997</v>
      </c>
      <c r="AJ49">
        <f ca="1">IF(AND(ISNUMBER($AJ$302),$B$258=1),$AJ$302,HLOOKUP(INDIRECT(ADDRESS(2,COLUMN())),OFFSET($BN$2,0,0,ROW()-1,60),ROW()-1,FALSE))</f>
        <v>264.66500000000002</v>
      </c>
      <c r="AK49">
        <f ca="1">IF(AND(ISNUMBER($AK$302),$B$258=1),$AK$302,HLOOKUP(INDIRECT(ADDRESS(2,COLUMN())),OFFSET($BN$2,0,0,ROW()-1,60),ROW()-1,FALSE))</f>
        <v>243.32</v>
      </c>
      <c r="AL49">
        <f ca="1">IF(AND(ISNUMBER($AL$302),$B$258=1),$AL$302,HLOOKUP(INDIRECT(ADDRESS(2,COLUMN())),OFFSET($BN$2,0,0,ROW()-1,60),ROW()-1,FALSE))</f>
        <v>240.88800000000001</v>
      </c>
      <c r="AM49">
        <f ca="1">IF(AND(ISNUMBER($AM$302),$B$258=1),$AM$302,HLOOKUP(INDIRECT(ADDRESS(2,COLUMN())),OFFSET($BN$2,0,0,ROW()-1,60),ROW()-1,FALSE))</f>
        <v>237.89599999999999</v>
      </c>
      <c r="AN49">
        <f ca="1">IF(AND(ISNUMBER($AN$302),$B$258=1),$AN$302,HLOOKUP(INDIRECT(ADDRESS(2,COLUMN())),OFFSET($BN$2,0,0,ROW()-1,60),ROW()-1,FALSE))</f>
        <v>234.637</v>
      </c>
      <c r="AO49">
        <f ca="1">IF(AND(ISNUMBER($AO$302),$B$258=1),$AO$302,HLOOKUP(INDIRECT(ADDRESS(2,COLUMN())),OFFSET($BN$2,0,0,ROW()-1,60),ROW()-1,FALSE))</f>
        <v>231.452</v>
      </c>
      <c r="AP49">
        <f ca="1">IF(AND(ISNUMBER($AP$302),$B$258=1),$AP$302,HLOOKUP(INDIRECT(ADDRESS(2,COLUMN())),OFFSET($BN$2,0,0,ROW()-1,60),ROW()-1,FALSE))</f>
        <v>228.904</v>
      </c>
      <c r="AQ49">
        <f ca="1">IF(AND(ISNUMBER($AQ$302),$B$258=1),$AQ$302,HLOOKUP(INDIRECT(ADDRESS(2,COLUMN())),OFFSET($BN$2,0,0,ROW()-1,60),ROW()-1,FALSE))</f>
        <v>232.453</v>
      </c>
      <c r="AR49">
        <f ca="1">IF(AND(ISNUMBER($AR$302),$B$258=1),$AR$302,HLOOKUP(INDIRECT(ADDRESS(2,COLUMN())),OFFSET($BN$2,0,0,ROW()-1,60),ROW()-1,FALSE))</f>
        <v>235.12100000000001</v>
      </c>
      <c r="AS49">
        <f ca="1">IF(AND(ISNUMBER($AS$302),$B$258=1),$AS$302,HLOOKUP(INDIRECT(ADDRESS(2,COLUMN())),OFFSET($BN$2,0,0,ROW()-1,60),ROW()-1,FALSE))</f>
        <v>229.03100000000001</v>
      </c>
      <c r="AT49">
        <f ca="1">IF(AND(ISNUMBER($AT$302),$B$258=1),$AT$302,HLOOKUP(INDIRECT(ADDRESS(2,COLUMN())),OFFSET($BN$2,0,0,ROW()-1,60),ROW()-1,FALSE))</f>
        <v>228.672</v>
      </c>
      <c r="AU49">
        <f ca="1">IF(AND(ISNUMBER($AU$302),$B$258=1),$AU$302,HLOOKUP(INDIRECT(ADDRESS(2,COLUMN())),OFFSET($BN$2,0,0,ROW()-1,60),ROW()-1,FALSE))</f>
        <v>227.74100000000001</v>
      </c>
      <c r="AV49">
        <f ca="1">IF(AND(ISNUMBER($AV$302),$B$258=1),$AV$302,HLOOKUP(INDIRECT(ADDRESS(2,COLUMN())),OFFSET($BN$2,0,0,ROW()-1,60),ROW()-1,FALSE))</f>
        <v>223.49199999999999</v>
      </c>
      <c r="AW49">
        <f ca="1">IF(AND(ISNUMBER($AW$302),$B$258=1),$AW$302,HLOOKUP(INDIRECT(ADDRESS(2,COLUMN())),OFFSET($BN$2,0,0,ROW()-1,60),ROW()-1,FALSE))</f>
        <v>191.917</v>
      </c>
      <c r="AX49">
        <f ca="1">IF(AND(ISNUMBER($AX$302),$B$258=1),$AX$302,HLOOKUP(INDIRECT(ADDRESS(2,COLUMN())),OFFSET($BN$2,0,0,ROW()-1,60),ROW()-1,FALSE))</f>
        <v>117.417</v>
      </c>
      <c r="AY49">
        <f ca="1">IF(AND(ISNUMBER($AY$302),$B$258=1),$AY$302,HLOOKUP(INDIRECT(ADDRESS(2,COLUMN())),OFFSET($BN$2,0,0,ROW()-1,60),ROW()-1,FALSE))</f>
        <v>114.447</v>
      </c>
      <c r="AZ49">
        <f ca="1">IF(AND(ISNUMBER($AZ$302),$B$258=1),$AZ$302,HLOOKUP(INDIRECT(ADDRESS(2,COLUMN())),OFFSET($BN$2,0,0,ROW()-1,60),ROW()-1,FALSE))</f>
        <v>106.85523000000001</v>
      </c>
      <c r="BA49">
        <f ca="1">IF(AND(ISNUMBER($BA$302),$B$258=1),$BA$302,HLOOKUP(INDIRECT(ADDRESS(2,COLUMN())),OFFSET($BN$2,0,0,ROW()-1,60),ROW()-1,FALSE))</f>
        <v>96.736000000000004</v>
      </c>
      <c r="BB49">
        <f ca="1">IF(AND(ISNUMBER($BB$302),$B$258=1),$BB$302,HLOOKUP(INDIRECT(ADDRESS(2,COLUMN())),OFFSET($BN$2,0,0,ROW()-1,60),ROW()-1,FALSE))</f>
        <v>97.813999999999993</v>
      </c>
      <c r="BC49">
        <f ca="1">IF(AND(ISNUMBER($BC$302),$B$258=1),$BC$302,HLOOKUP(INDIRECT(ADDRESS(2,COLUMN())),OFFSET($BN$2,0,0,ROW()-1,60),ROW()-1,FALSE))</f>
        <v>98.302999999999997</v>
      </c>
      <c r="BD49">
        <f ca="1">IF(AND(ISNUMBER($BD$302),$B$258=1),$BD$302,HLOOKUP(INDIRECT(ADDRESS(2,COLUMN())),OFFSET($BN$2,0,0,ROW()-1,60),ROW()-1,FALSE))</f>
        <v>95.933000000000007</v>
      </c>
      <c r="BE49">
        <f ca="1">IF(AND(ISNUMBER($BE$302),$B$258=1),$BE$302,HLOOKUP(INDIRECT(ADDRESS(2,COLUMN())),OFFSET($BN$2,0,0,ROW()-1,60),ROW()-1,FALSE))</f>
        <v>74.951999999999998</v>
      </c>
      <c r="BF49">
        <f ca="1">IF(AND(ISNUMBER($BF$302),$B$258=1),$BF$302,HLOOKUP(INDIRECT(ADDRESS(2,COLUMN())),OFFSET($BN$2,0,0,ROW()-1,60),ROW()-1,FALSE))</f>
        <v>64.003</v>
      </c>
      <c r="BG49">
        <f ca="1">IF(AND(ISNUMBER($BG$302),$B$258=1),$BG$302,HLOOKUP(INDIRECT(ADDRESS(2,COLUMN())),OFFSET($BN$2,0,0,ROW()-1,60),ROW()-1,FALSE))</f>
        <v>62.225999999999999</v>
      </c>
      <c r="BH49">
        <f ca="1">IF(AND(ISNUMBER($BH$302),$B$258=1),$BH$302,HLOOKUP(INDIRECT(ADDRESS(2,COLUMN())),OFFSET($BN$2,0,0,ROW()-1,60),ROW()-1,FALSE))</f>
        <v>61.262</v>
      </c>
      <c r="BI49">
        <f ca="1">IF(AND(ISNUMBER($BI$302),$B$258=1),$BI$302,HLOOKUP(INDIRECT(ADDRESS(2,COLUMN())),OFFSET($BN$2,0,0,ROW()-1,60),ROW()-1,FALSE))</f>
        <v>59.767000000000003</v>
      </c>
      <c r="BJ49">
        <f ca="1">IF(AND(ISNUMBER($BJ$302),$B$258=1),$BJ$302,HLOOKUP(INDIRECT(ADDRESS(2,COLUMN())),OFFSET($BN$2,0,0,ROW()-1,60),ROW()-1,FALSE))</f>
        <v>54.277000000000001</v>
      </c>
      <c r="BK49">
        <f ca="1">IF(AND(ISNUMBER($BK$302),$B$258=1),$BK$302,HLOOKUP(INDIRECT(ADDRESS(2,COLUMN())),OFFSET($BN$2,0,0,ROW()-1,60),ROW()-1,FALSE))</f>
        <v>50.209999080000003</v>
      </c>
      <c r="BL49">
        <f ca="1">IF(AND(ISNUMBER($BL$302),$B$258=1),$BL$302,HLOOKUP(INDIRECT(ADDRESS(2,COLUMN())),OFFSET($BN$2,0,0,ROW()-1,60),ROW()-1,FALSE))</f>
        <v>50.401000979999999</v>
      </c>
      <c r="BM49">
        <f ca="1">IF(AND(ISNUMBER($BM$302),$B$258=1),$BM$302,HLOOKUP(INDIRECT(ADDRESS(2,COLUMN())),OFFSET($BN$2,0,0,ROW()-1,60),ROW()-1,FALSE))</f>
        <v>48.015999999999998</v>
      </c>
      <c r="BN49" t="str">
        <f>""</f>
        <v/>
      </c>
      <c r="BO49">
        <f>895.288</f>
        <v>895.28800000000001</v>
      </c>
      <c r="BP49">
        <f>899.928</f>
        <v>899.928</v>
      </c>
      <c r="BQ49">
        <f>895.49</f>
        <v>895.49</v>
      </c>
      <c r="BR49">
        <f>883.443</f>
        <v>883.44299999999998</v>
      </c>
      <c r="BS49">
        <f>875.713</f>
        <v>875.71299999999997</v>
      </c>
      <c r="BT49">
        <f>867.116</f>
        <v>867.11599999999999</v>
      </c>
      <c r="BU49">
        <f>848.404</f>
        <v>848.404</v>
      </c>
      <c r="BV49">
        <f>852.289</f>
        <v>852.28899999999999</v>
      </c>
      <c r="BW49">
        <f>841.274</f>
        <v>841.274</v>
      </c>
      <c r="BX49">
        <f>827.606</f>
        <v>827.60599999999999</v>
      </c>
      <c r="BY49">
        <f>811.92</f>
        <v>811.92</v>
      </c>
      <c r="BZ49">
        <f>805.598</f>
        <v>805.59799999999996</v>
      </c>
      <c r="CA49">
        <f>732.09</f>
        <v>732.09</v>
      </c>
      <c r="CB49">
        <f>704.932</f>
        <v>704.93200000000002</v>
      </c>
      <c r="CC49">
        <f>751.254</f>
        <v>751.25400000000002</v>
      </c>
      <c r="CD49">
        <f>741.47</f>
        <v>741.47</v>
      </c>
      <c r="CE49">
        <f>733.185</f>
        <v>733.18499999999995</v>
      </c>
      <c r="CF49">
        <f>711.249</f>
        <v>711.24900000000002</v>
      </c>
      <c r="CG49">
        <f>684.109</f>
        <v>684.10900000000004</v>
      </c>
      <c r="CH49">
        <f>682.909</f>
        <v>682.90899999999999</v>
      </c>
      <c r="CI49">
        <f>655.73</f>
        <v>655.73</v>
      </c>
      <c r="CJ49">
        <f>638.655</f>
        <v>638.65499999999997</v>
      </c>
      <c r="CK49">
        <f>611.964</f>
        <v>611.96400000000006</v>
      </c>
      <c r="CL49">
        <f>566.424</f>
        <v>566.42399999999998</v>
      </c>
      <c r="CM49">
        <f>563.145</f>
        <v>563.14499999999998</v>
      </c>
      <c r="CN49">
        <f>555.378</f>
        <v>555.37800000000004</v>
      </c>
      <c r="CO49">
        <f>359.506</f>
        <v>359.50599999999997</v>
      </c>
      <c r="CP49">
        <f>268.432</f>
        <v>268.43200000000002</v>
      </c>
      <c r="CQ49">
        <f>265.965</f>
        <v>265.96499999999997</v>
      </c>
      <c r="CR49">
        <f>264.665</f>
        <v>264.66500000000002</v>
      </c>
      <c r="CS49">
        <f>243.32</f>
        <v>243.32</v>
      </c>
      <c r="CT49">
        <f>240.888</f>
        <v>240.88800000000001</v>
      </c>
      <c r="CU49">
        <f>237.896</f>
        <v>237.89599999999999</v>
      </c>
      <c r="CV49">
        <f>234.637</f>
        <v>234.637</v>
      </c>
      <c r="CW49">
        <f>231.452</f>
        <v>231.452</v>
      </c>
      <c r="CX49">
        <f>228.904</f>
        <v>228.904</v>
      </c>
      <c r="CY49">
        <f>232.453</f>
        <v>232.453</v>
      </c>
      <c r="CZ49">
        <f>235.121</f>
        <v>235.12100000000001</v>
      </c>
      <c r="DA49">
        <f>229.031</f>
        <v>229.03100000000001</v>
      </c>
      <c r="DB49">
        <f>228.672</f>
        <v>228.672</v>
      </c>
      <c r="DC49">
        <f>227.741</f>
        <v>227.74100000000001</v>
      </c>
      <c r="DD49">
        <f>223.492</f>
        <v>223.49199999999999</v>
      </c>
      <c r="DE49">
        <f>191.917</f>
        <v>191.917</v>
      </c>
      <c r="DF49">
        <f>117.417</f>
        <v>117.417</v>
      </c>
      <c r="DG49">
        <f>114.447</f>
        <v>114.447</v>
      </c>
      <c r="DH49">
        <f>106.85523</f>
        <v>106.85523000000001</v>
      </c>
      <c r="DI49">
        <f>96.736</f>
        <v>96.736000000000004</v>
      </c>
      <c r="DJ49">
        <f>97.814</f>
        <v>97.813999999999993</v>
      </c>
      <c r="DK49">
        <f>98.303</f>
        <v>98.302999999999997</v>
      </c>
      <c r="DL49">
        <f>95.933</f>
        <v>95.933000000000007</v>
      </c>
      <c r="DM49">
        <f>74.952</f>
        <v>74.951999999999998</v>
      </c>
      <c r="DN49">
        <f>64.003</f>
        <v>64.003</v>
      </c>
      <c r="DO49">
        <f>62.226</f>
        <v>62.225999999999999</v>
      </c>
      <c r="DP49">
        <f>61.262</f>
        <v>61.262</v>
      </c>
      <c r="DQ49">
        <f>59.767</f>
        <v>59.767000000000003</v>
      </c>
      <c r="DR49">
        <f>54.277</f>
        <v>54.277000000000001</v>
      </c>
      <c r="DS49">
        <f>50.20999908</f>
        <v>50.209999080000003</v>
      </c>
      <c r="DT49">
        <f>50.40100098</f>
        <v>50.401000979999999</v>
      </c>
      <c r="DU49">
        <f>48.016</f>
        <v>48.015999999999998</v>
      </c>
    </row>
    <row r="50" spans="1:125">
      <c r="A50" t="str">
        <f>"    Welltower Inc"</f>
        <v xml:space="preserve">    Welltower Inc</v>
      </c>
      <c r="B50" t="str">
        <f>"HCN US Equity"</f>
        <v>HCN US Equity</v>
      </c>
      <c r="C50" t="str">
        <f t="shared" si="9"/>
        <v>IS010</v>
      </c>
      <c r="D50" t="str">
        <f t="shared" si="10"/>
        <v>SALES_REV_TURN</v>
      </c>
      <c r="E50" t="str">
        <f t="shared" si="11"/>
        <v>动态</v>
      </c>
      <c r="F50" t="str">
        <f ca="1">IF(AND(ISNUMBER($F$303),$B$258=1),$F$303,HLOOKUP(INDIRECT(ADDRESS(2,COLUMN())),OFFSET($BN$2,0,0,ROW()-1,60),ROW()-1,FALSE))</f>
        <v/>
      </c>
      <c r="G50">
        <f ca="1">IF(AND(ISNUMBER($G$303),$B$258=1),$G$303,HLOOKUP(INDIRECT(ADDRESS(2,COLUMN())),OFFSET($BN$2,0,0,ROW()-1,60),ROW()-1,FALSE))</f>
        <v>1104.2570000000001</v>
      </c>
      <c r="H50">
        <f ca="1">IF(AND(ISNUMBER($H$303),$B$258=1),$H$303,HLOOKUP(INDIRECT(ADDRESS(2,COLUMN())),OFFSET($BN$2,0,0,ROW()-1,60),ROW()-1,FALSE))</f>
        <v>1091.4829999999999</v>
      </c>
      <c r="I50">
        <f ca="1">IF(AND(ISNUMBER($I$303),$B$258=1),$I$303,HLOOKUP(INDIRECT(ADDRESS(2,COLUMN())),OFFSET($BN$2,0,0,ROW()-1,60),ROW()-1,FALSE))</f>
        <v>1058.6020000000001</v>
      </c>
      <c r="J50">
        <f ca="1">IF(AND(ISNUMBER($J$303),$B$258=1),$J$303,HLOOKUP(INDIRECT(ADDRESS(2,COLUMN())),OFFSET($BN$2,0,0,ROW()-1,60),ROW()-1,FALSE))</f>
        <v>1062.298</v>
      </c>
      <c r="K50">
        <f ca="1">IF(AND(ISNUMBER($K$303),$B$258=1),$K$303,HLOOKUP(INDIRECT(ADDRESS(2,COLUMN())),OFFSET($BN$2,0,0,ROW()-1,60),ROW()-1,FALSE))</f>
        <v>1078.3209999999999</v>
      </c>
      <c r="L50">
        <f ca="1">IF(AND(ISNUMBER($L$303),$B$258=1),$L$303,HLOOKUP(INDIRECT(ADDRESS(2,COLUMN())),OFFSET($BN$2,0,0,ROW()-1,60),ROW()-1,FALSE))</f>
        <v>1079.133</v>
      </c>
      <c r="M50">
        <f ca="1">IF(AND(ISNUMBER($M$303),$B$258=1),$M$303,HLOOKUP(INDIRECT(ADDRESS(2,COLUMN())),OFFSET($BN$2,0,0,ROW()-1,60),ROW()-1,FALSE))</f>
        <v>1076.6569999999999</v>
      </c>
      <c r="N50">
        <f ca="1">IF(AND(ISNUMBER($N$303),$B$258=1),$N$303,HLOOKUP(INDIRECT(ADDRESS(2,COLUMN())),OFFSET($BN$2,0,0,ROW()-1,60),ROW()-1,FALSE))</f>
        <v>1047.05</v>
      </c>
      <c r="O50">
        <f ca="1">IF(AND(ISNUMBER($O$303),$B$258=1),$O$303,HLOOKUP(INDIRECT(ADDRESS(2,COLUMN())),OFFSET($BN$2,0,0,ROW()-1,60),ROW()-1,FALSE))</f>
        <v>1029.4839999999999</v>
      </c>
      <c r="P50">
        <f ca="1">IF(AND(ISNUMBER($P$303),$B$258=1),$P$303,HLOOKUP(INDIRECT(ADDRESS(2,COLUMN())),OFFSET($BN$2,0,0,ROW()-1,60),ROW()-1,FALSE))</f>
        <v>978.99699999999996</v>
      </c>
      <c r="Q50">
        <f ca="1">IF(AND(ISNUMBER($Q$303),$B$258=1),$Q$303,HLOOKUP(INDIRECT(ADDRESS(2,COLUMN())),OFFSET($BN$2,0,0,ROW()-1,60),ROW()-1,FALSE))</f>
        <v>957.16899999999998</v>
      </c>
      <c r="R50">
        <f ca="1">IF(AND(ISNUMBER($R$303),$B$258=1),$R$303,HLOOKUP(INDIRECT(ADDRESS(2,COLUMN())),OFFSET($BN$2,0,0,ROW()-1,60),ROW()-1,FALSE))</f>
        <v>894.17700000000002</v>
      </c>
      <c r="S50">
        <f ca="1">IF(AND(ISNUMBER($S$303),$B$258=1),$S$303,HLOOKUP(INDIRECT(ADDRESS(2,COLUMN())),OFFSET($BN$2,0,0,ROW()-1,60),ROW()-1,FALSE))</f>
        <v>867.76900000000001</v>
      </c>
      <c r="T50">
        <f ca="1">IF(AND(ISNUMBER($T$303),$B$258=1),$T$303,HLOOKUP(INDIRECT(ADDRESS(2,COLUMN())),OFFSET($BN$2,0,0,ROW()-1,60),ROW()-1,FALSE))</f>
        <v>847.52300000000002</v>
      </c>
      <c r="U50">
        <f ca="1">IF(AND(ISNUMBER($U$303),$B$258=1),$U$303,HLOOKUP(INDIRECT(ADDRESS(2,COLUMN())),OFFSET($BN$2,0,0,ROW()-1,60),ROW()-1,FALSE))</f>
        <v>826.44600000000003</v>
      </c>
      <c r="V50">
        <f ca="1">IF(AND(ISNUMBER($V$303),$B$258=1),$V$303,HLOOKUP(INDIRECT(ADDRESS(2,COLUMN())),OFFSET($BN$2,0,0,ROW()-1,60),ROW()-1,FALSE))</f>
        <v>801.80700000000002</v>
      </c>
      <c r="W50">
        <f ca="1">IF(AND(ISNUMBER($W$303),$B$258=1),$W$303,HLOOKUP(INDIRECT(ADDRESS(2,COLUMN())),OFFSET($BN$2,0,0,ROW()-1,60),ROW()-1,FALSE))</f>
        <v>788.577</v>
      </c>
      <c r="X50">
        <f ca="1">IF(AND(ISNUMBER($X$303),$B$258=1),$X$303,HLOOKUP(INDIRECT(ADDRESS(2,COLUMN())),OFFSET($BN$2,0,0,ROW()-1,60),ROW()-1,FALSE))</f>
        <v>783.71100000000001</v>
      </c>
      <c r="Y50">
        <f ca="1">IF(AND(ISNUMBER($Y$303),$B$258=1),$Y$303,HLOOKUP(INDIRECT(ADDRESS(2,COLUMN())),OFFSET($BN$2,0,0,ROW()-1,60),ROW()-1,FALSE))</f>
        <v>678.53300000000002</v>
      </c>
      <c r="Z50">
        <f ca="1">IF(AND(ISNUMBER($Z$303),$B$258=1),$Z$303,HLOOKUP(INDIRECT(ADDRESS(2,COLUMN())),OFFSET($BN$2,0,0,ROW()-1,60),ROW()-1,FALSE))</f>
        <v>629.72400000000005</v>
      </c>
      <c r="AA50">
        <f ca="1">IF(AND(ISNUMBER($AA$303),$B$258=1),$AA$303,HLOOKUP(INDIRECT(ADDRESS(2,COLUMN())),OFFSET($BN$2,0,0,ROW()-1,60),ROW()-1,FALSE))</f>
        <v>496.964</v>
      </c>
      <c r="AB50">
        <f ca="1">IF(AND(ISNUMBER($AB$303),$B$258=1),$AB$303,HLOOKUP(INDIRECT(ADDRESS(2,COLUMN())),OFFSET($BN$2,0,0,ROW()-1,60),ROW()-1,FALSE))</f>
        <v>461.83300000000003</v>
      </c>
      <c r="AC50">
        <f ca="1">IF(AND(ISNUMBER($AC$303),$B$258=1),$AC$303,HLOOKUP(INDIRECT(ADDRESS(2,COLUMN())),OFFSET($BN$2,0,0,ROW()-1,60),ROW()-1,FALSE))</f>
        <v>438.71899999999999</v>
      </c>
      <c r="AD50">
        <f ca="1">IF(AND(ISNUMBER($AD$303),$B$258=1),$AD$303,HLOOKUP(INDIRECT(ADDRESS(2,COLUMN())),OFFSET($BN$2,0,0,ROW()-1,60),ROW()-1,FALSE))</f>
        <v>417.99599999999998</v>
      </c>
      <c r="AE50">
        <f ca="1">IF(AND(ISNUMBER($AE$303),$B$258=1),$AE$303,HLOOKUP(INDIRECT(ADDRESS(2,COLUMN())),OFFSET($BN$2,0,0,ROW()-1,60),ROW()-1,FALSE))</f>
        <v>384.565</v>
      </c>
      <c r="AF50">
        <f ca="1">IF(AND(ISNUMBER($AF$303),$B$258=1),$AF$303,HLOOKUP(INDIRECT(ADDRESS(2,COLUMN())),OFFSET($BN$2,0,0,ROW()-1,60),ROW()-1,FALSE))</f>
        <v>370.73</v>
      </c>
      <c r="AG50">
        <f ca="1">IF(AND(ISNUMBER($AG$303),$B$258=1),$AG$303,HLOOKUP(INDIRECT(ADDRESS(2,COLUMN())),OFFSET($BN$2,0,0,ROW()-1,60),ROW()-1,FALSE))</f>
        <v>369.60199999999998</v>
      </c>
      <c r="AH50">
        <f ca="1">IF(AND(ISNUMBER($AH$303),$B$258=1),$AH$303,HLOOKUP(INDIRECT(ADDRESS(2,COLUMN())),OFFSET($BN$2,0,0,ROW()-1,60),ROW()-1,FALSE))</f>
        <v>245.756</v>
      </c>
      <c r="AI50">
        <f ca="1">IF(AND(ISNUMBER($AI$303),$B$258=1),$AI$303,HLOOKUP(INDIRECT(ADDRESS(2,COLUMN())),OFFSET($BN$2,0,0,ROW()-1,60),ROW()-1,FALSE))</f>
        <v>196.423</v>
      </c>
      <c r="AJ50">
        <f ca="1">IF(AND(ISNUMBER($AJ$303),$B$258=1),$AJ$303,HLOOKUP(INDIRECT(ADDRESS(2,COLUMN())),OFFSET($BN$2,0,0,ROW()-1,60),ROW()-1,FALSE))</f>
        <v>168.94300000000001</v>
      </c>
      <c r="AK50">
        <f ca="1">IF(AND(ISNUMBER($AK$303),$B$258=1),$AK$303,HLOOKUP(INDIRECT(ADDRESS(2,COLUMN())),OFFSET($BN$2,0,0,ROW()-1,60),ROW()-1,FALSE))</f>
        <v>153.749</v>
      </c>
      <c r="AL50">
        <f ca="1">IF(AND(ISNUMBER($AL$303),$B$258=1),$AL$303,HLOOKUP(INDIRECT(ADDRESS(2,COLUMN())),OFFSET($BN$2,0,0,ROW()-1,60),ROW()-1,FALSE))</f>
        <v>145.37700000000001</v>
      </c>
      <c r="AM50">
        <f ca="1">IF(AND(ISNUMBER($AM$303),$B$258=1),$AM$303,HLOOKUP(INDIRECT(ADDRESS(2,COLUMN())),OFFSET($BN$2,0,0,ROW()-1,60),ROW()-1,FALSE))</f>
        <v>141.40299999999999</v>
      </c>
      <c r="AN50">
        <f ca="1">IF(AND(ISNUMBER($AN$303),$B$258=1),$AN$303,HLOOKUP(INDIRECT(ADDRESS(2,COLUMN())),OFFSET($BN$2,0,0,ROW()-1,60),ROW()-1,FALSE))</f>
        <v>140.14400000000001</v>
      </c>
      <c r="AO50">
        <f ca="1">IF(AND(ISNUMBER($AO$303),$B$258=1),$AO$303,HLOOKUP(INDIRECT(ADDRESS(2,COLUMN())),OFFSET($BN$2,0,0,ROW()-1,60),ROW()-1,FALSE))</f>
        <v>139.03899999999999</v>
      </c>
      <c r="AP50">
        <f ca="1">IF(AND(ISNUMBER($AP$303),$B$258=1),$AP$303,HLOOKUP(INDIRECT(ADDRESS(2,COLUMN())),OFFSET($BN$2,0,0,ROW()-1,60),ROW()-1,FALSE))</f>
        <v>138.846</v>
      </c>
      <c r="AQ50">
        <f ca="1">IF(AND(ISNUMBER($AQ$303),$B$258=1),$AQ$303,HLOOKUP(INDIRECT(ADDRESS(2,COLUMN())),OFFSET($BN$2,0,0,ROW()-1,60),ROW()-1,FALSE))</f>
        <v>131.239</v>
      </c>
      <c r="AR50">
        <f ca="1">IF(AND(ISNUMBER($AR$303),$B$258=1),$AR$303,HLOOKUP(INDIRECT(ADDRESS(2,COLUMN())),OFFSET($BN$2,0,0,ROW()-1,60),ROW()-1,FALSE))</f>
        <v>139.34899999999999</v>
      </c>
      <c r="AS50">
        <f ca="1">IF(AND(ISNUMBER($AS$303),$B$258=1),$AS$303,HLOOKUP(INDIRECT(ADDRESS(2,COLUMN())),OFFSET($BN$2,0,0,ROW()-1,60),ROW()-1,FALSE))</f>
        <v>129.185</v>
      </c>
      <c r="AT50">
        <f ca="1">IF(AND(ISNUMBER($AT$303),$B$258=1),$AT$303,HLOOKUP(INDIRECT(ADDRESS(2,COLUMN())),OFFSET($BN$2,0,0,ROW()-1,60),ROW()-1,FALSE))</f>
        <v>126.633</v>
      </c>
      <c r="AU50">
        <f ca="1">IF(AND(ISNUMBER($AU$303),$B$258=1),$AU$303,HLOOKUP(INDIRECT(ADDRESS(2,COLUMN())),OFFSET($BN$2,0,0,ROW()-1,60),ROW()-1,FALSE))</f>
        <v>125.286</v>
      </c>
      <c r="AV50">
        <f ca="1">IF(AND(ISNUMBER($AV$303),$B$258=1),$AV$303,HLOOKUP(INDIRECT(ADDRESS(2,COLUMN())),OFFSET($BN$2,0,0,ROW()-1,60),ROW()-1,FALSE))</f>
        <v>118.745</v>
      </c>
      <c r="AW50">
        <f ca="1">IF(AND(ISNUMBER($AW$303),$B$258=1),$AW$303,HLOOKUP(INDIRECT(ADDRESS(2,COLUMN())),OFFSET($BN$2,0,0,ROW()-1,60),ROW()-1,FALSE))</f>
        <v>112.74299999999999</v>
      </c>
      <c r="AX50">
        <f ca="1">IF(AND(ISNUMBER($AX$303),$B$258=1),$AX$303,HLOOKUP(INDIRECT(ADDRESS(2,COLUMN())),OFFSET($BN$2,0,0,ROW()-1,60),ROW()-1,FALSE))</f>
        <v>110.23699999999999</v>
      </c>
      <c r="AY50">
        <f ca="1">IF(AND(ISNUMBER($AY$303),$B$258=1),$AY$303,HLOOKUP(INDIRECT(ADDRESS(2,COLUMN())),OFFSET($BN$2,0,0,ROW()-1,60),ROW()-1,FALSE))</f>
        <v>87.787000000000006</v>
      </c>
      <c r="AZ50">
        <f ca="1">IF(AND(ISNUMBER($AZ$303),$B$258=1),$AZ$303,HLOOKUP(INDIRECT(ADDRESS(2,COLUMN())),OFFSET($BN$2,0,0,ROW()-1,60),ROW()-1,FALSE))</f>
        <v>78.783000000000001</v>
      </c>
      <c r="BA50">
        <f ca="1">IF(AND(ISNUMBER($BA$303),$B$258=1),$BA$303,HLOOKUP(INDIRECT(ADDRESS(2,COLUMN())),OFFSET($BN$2,0,0,ROW()-1,60),ROW()-1,FALSE))</f>
        <v>77.902000000000001</v>
      </c>
      <c r="BB50">
        <f ca="1">IF(AND(ISNUMBER($BB$303),$B$258=1),$BB$303,HLOOKUP(INDIRECT(ADDRESS(2,COLUMN())),OFFSET($BN$2,0,0,ROW()-1,60),ROW()-1,FALSE))</f>
        <v>76.007999999999996</v>
      </c>
      <c r="BC50">
        <f ca="1">IF(AND(ISNUMBER($BC$303),$B$258=1),$BC$303,HLOOKUP(INDIRECT(ADDRESS(2,COLUMN())),OFFSET($BN$2,0,0,ROW()-1,60),ROW()-1,FALSE))</f>
        <v>76.013999999999996</v>
      </c>
      <c r="BD50">
        <f ca="1">IF(AND(ISNUMBER($BD$303),$B$258=1),$BD$303,HLOOKUP(INDIRECT(ADDRESS(2,COLUMN())),OFFSET($BN$2,0,0,ROW()-1,60),ROW()-1,FALSE))</f>
        <v>70.286000000000001</v>
      </c>
      <c r="BE50">
        <f ca="1">IF(AND(ISNUMBER($BE$303),$B$258=1),$BE$303,HLOOKUP(INDIRECT(ADDRESS(2,COLUMN())),OFFSET($BN$2,0,0,ROW()-1,60),ROW()-1,FALSE))</f>
        <v>65.393000000000001</v>
      </c>
      <c r="BF50">
        <f ca="1">IF(AND(ISNUMBER($BF$303),$B$258=1),$BF$303,HLOOKUP(INDIRECT(ADDRESS(2,COLUMN())),OFFSET($BN$2,0,0,ROW()-1,60),ROW()-1,FALSE))</f>
        <v>65.197999999999993</v>
      </c>
      <c r="BG50">
        <f ca="1">IF(AND(ISNUMBER($BG$303),$B$258=1),$BG$303,HLOOKUP(INDIRECT(ADDRESS(2,COLUMN())),OFFSET($BN$2,0,0,ROW()-1,60),ROW()-1,FALSE))</f>
        <v>55.131</v>
      </c>
      <c r="BH50">
        <f ca="1">IF(AND(ISNUMBER($BH$303),$B$258=1),$BH$303,HLOOKUP(INDIRECT(ADDRESS(2,COLUMN())),OFFSET($BN$2,0,0,ROW()-1,60),ROW()-1,FALSE))</f>
        <v>63.628999999999998</v>
      </c>
      <c r="BI50">
        <f ca="1">IF(AND(ISNUMBER($BI$303),$B$258=1),$BI$303,HLOOKUP(INDIRECT(ADDRESS(2,COLUMN())),OFFSET($BN$2,0,0,ROW()-1,60),ROW()-1,FALSE))</f>
        <v>59.334000000000003</v>
      </c>
      <c r="BJ50">
        <f ca="1">IF(AND(ISNUMBER($BJ$303),$B$258=1),$BJ$303,HLOOKUP(INDIRECT(ADDRESS(2,COLUMN())),OFFSET($BN$2,0,0,ROW()-1,60),ROW()-1,FALSE))</f>
        <v>60.960999999999999</v>
      </c>
      <c r="BK50">
        <f ca="1">IF(AND(ISNUMBER($BK$303),$B$258=1),$BK$303,HLOOKUP(INDIRECT(ADDRESS(2,COLUMN())),OFFSET($BN$2,0,0,ROW()-1,60),ROW()-1,FALSE))</f>
        <v>61.240001999999997</v>
      </c>
      <c r="BL50">
        <f ca="1">IF(AND(ISNUMBER($BL$303),$B$258=1),$BL$303,HLOOKUP(INDIRECT(ADDRESS(2,COLUMN())),OFFSET($BN$2,0,0,ROW()-1,60),ROW()-1,FALSE))</f>
        <v>49.085999999999999</v>
      </c>
      <c r="BM50">
        <f ca="1">IF(AND(ISNUMBER($BM$303),$B$258=1),$BM$303,HLOOKUP(INDIRECT(ADDRESS(2,COLUMN())),OFFSET($BN$2,0,0,ROW()-1,60),ROW()-1,FALSE))</f>
        <v>44.822000000000003</v>
      </c>
      <c r="BN50" t="str">
        <f>""</f>
        <v/>
      </c>
      <c r="BO50">
        <f>1104.257</f>
        <v>1104.2570000000001</v>
      </c>
      <c r="BP50">
        <f>1091.483</f>
        <v>1091.4829999999999</v>
      </c>
      <c r="BQ50">
        <f>1058.602</f>
        <v>1058.6020000000001</v>
      </c>
      <c r="BR50">
        <f>1062.298</f>
        <v>1062.298</v>
      </c>
      <c r="BS50">
        <f>1078.321</f>
        <v>1078.3209999999999</v>
      </c>
      <c r="BT50">
        <f>1079.133</f>
        <v>1079.133</v>
      </c>
      <c r="BU50">
        <f>1076.657</f>
        <v>1076.6569999999999</v>
      </c>
      <c r="BV50">
        <f>1047.05</f>
        <v>1047.05</v>
      </c>
      <c r="BW50">
        <f>1029.484</f>
        <v>1029.4839999999999</v>
      </c>
      <c r="BX50">
        <f>978.997</f>
        <v>978.99699999999996</v>
      </c>
      <c r="BY50">
        <f>957.169</f>
        <v>957.16899999999998</v>
      </c>
      <c r="BZ50">
        <f>894.177</f>
        <v>894.17700000000002</v>
      </c>
      <c r="CA50">
        <f>867.769</f>
        <v>867.76900000000001</v>
      </c>
      <c r="CB50">
        <f>847.523</f>
        <v>847.52300000000002</v>
      </c>
      <c r="CC50">
        <f>826.446</f>
        <v>826.44600000000003</v>
      </c>
      <c r="CD50">
        <f>801.807</f>
        <v>801.80700000000002</v>
      </c>
      <c r="CE50">
        <f>788.577</f>
        <v>788.577</v>
      </c>
      <c r="CF50">
        <f>783.711</f>
        <v>783.71100000000001</v>
      </c>
      <c r="CG50">
        <f>678.533</f>
        <v>678.53300000000002</v>
      </c>
      <c r="CH50">
        <f>629.724</f>
        <v>629.72400000000005</v>
      </c>
      <c r="CI50">
        <f>496.964</f>
        <v>496.964</v>
      </c>
      <c r="CJ50">
        <f>461.833</f>
        <v>461.83300000000003</v>
      </c>
      <c r="CK50">
        <f>438.719</f>
        <v>438.71899999999999</v>
      </c>
      <c r="CL50">
        <f>417.996</f>
        <v>417.99599999999998</v>
      </c>
      <c r="CM50">
        <f>384.565</f>
        <v>384.565</v>
      </c>
      <c r="CN50">
        <f>370.73</f>
        <v>370.73</v>
      </c>
      <c r="CO50">
        <f>369.602</f>
        <v>369.60199999999998</v>
      </c>
      <c r="CP50">
        <f>245.756</f>
        <v>245.756</v>
      </c>
      <c r="CQ50">
        <f>196.423</f>
        <v>196.423</v>
      </c>
      <c r="CR50">
        <f>168.943</f>
        <v>168.94300000000001</v>
      </c>
      <c r="CS50">
        <f>153.749</f>
        <v>153.749</v>
      </c>
      <c r="CT50">
        <f>145.377</f>
        <v>145.37700000000001</v>
      </c>
      <c r="CU50">
        <f>141.403</f>
        <v>141.40299999999999</v>
      </c>
      <c r="CV50">
        <f>140.144</f>
        <v>140.14400000000001</v>
      </c>
      <c r="CW50">
        <f>139.039</f>
        <v>139.03899999999999</v>
      </c>
      <c r="CX50">
        <f>138.846</f>
        <v>138.846</v>
      </c>
      <c r="CY50">
        <f>131.239</f>
        <v>131.239</v>
      </c>
      <c r="CZ50">
        <f>139.349</f>
        <v>139.34899999999999</v>
      </c>
      <c r="DA50">
        <f>129.185</f>
        <v>129.185</v>
      </c>
      <c r="DB50">
        <f>126.633</f>
        <v>126.633</v>
      </c>
      <c r="DC50">
        <f>125.286</f>
        <v>125.286</v>
      </c>
      <c r="DD50">
        <f>118.745</f>
        <v>118.745</v>
      </c>
      <c r="DE50">
        <f>112.743</f>
        <v>112.74299999999999</v>
      </c>
      <c r="DF50">
        <f>110.237</f>
        <v>110.23699999999999</v>
      </c>
      <c r="DG50">
        <f>87.787</f>
        <v>87.787000000000006</v>
      </c>
      <c r="DH50">
        <f>78.783</f>
        <v>78.783000000000001</v>
      </c>
      <c r="DI50">
        <f>77.902</f>
        <v>77.902000000000001</v>
      </c>
      <c r="DJ50">
        <f>76.008</f>
        <v>76.007999999999996</v>
      </c>
      <c r="DK50">
        <f>76.014</f>
        <v>76.013999999999996</v>
      </c>
      <c r="DL50">
        <f>70.286</f>
        <v>70.286000000000001</v>
      </c>
      <c r="DM50">
        <f>65.393</f>
        <v>65.393000000000001</v>
      </c>
      <c r="DN50">
        <f>65.198</f>
        <v>65.197999999999993</v>
      </c>
      <c r="DO50">
        <f>55.131</f>
        <v>55.131</v>
      </c>
      <c r="DP50">
        <f>63.629</f>
        <v>63.628999999999998</v>
      </c>
      <c r="DQ50">
        <f>59.334</f>
        <v>59.334000000000003</v>
      </c>
      <c r="DR50">
        <f>60.961</f>
        <v>60.960999999999999</v>
      </c>
      <c r="DS50">
        <f>61.240002</f>
        <v>61.240001999999997</v>
      </c>
      <c r="DT50">
        <f>49.086</f>
        <v>49.085999999999999</v>
      </c>
      <c r="DU50">
        <f>44.822</f>
        <v>44.822000000000003</v>
      </c>
    </row>
    <row r="51" spans="1:125">
      <c r="A51" t="str">
        <f>"营业净利润"</f>
        <v>营业净利润</v>
      </c>
      <c r="B51" t="str">
        <f>""</f>
        <v/>
      </c>
      <c r="E51" t="str">
        <f>"Median"</f>
        <v>Median</v>
      </c>
      <c r="F51" t="str">
        <f ca="1">IF(ISERROR(IF(MEDIAN($F$52:$F$62) = 0, "", MEDIAN($F$52:$F$62))), "", (IF(MEDIAN($F$52:$F$62) = 0, "", MEDIAN($F$52:$F$62))))</f>
        <v/>
      </c>
      <c r="G51">
        <f ca="1">IF(ISERROR(IF(MEDIAN($G$52:$G$62) = 0, "", MEDIAN($G$52:$G$62))), "", (IF(MEDIAN($G$52:$G$62) = 0, "", MEDIAN($G$52:$G$62))))</f>
        <v>178.05950000000001</v>
      </c>
      <c r="H51">
        <f ca="1">IF(ISERROR(IF(MEDIAN($H$52:$H$62) = 0, "", MEDIAN($H$52:$H$62))), "", (IF(MEDIAN($H$52:$H$62) = 0, "", MEDIAN($H$52:$H$62))))</f>
        <v>170.35399999999998</v>
      </c>
      <c r="I51">
        <f ca="1">IF(ISERROR(IF(MEDIAN($I$52:$I$62) = 0, "", MEDIAN($I$52:$I$62))), "", (IF(MEDIAN($I$52:$I$62) = 0, "", MEDIAN($I$52:$I$62))))</f>
        <v>166.1575</v>
      </c>
      <c r="J51">
        <f ca="1">IF(ISERROR(IF(MEDIAN($J$52:$J$62) = 0, "", MEDIAN($J$52:$J$62))), "", (IF(MEDIAN($J$52:$J$62) = 0, "", MEDIAN($J$52:$J$62))))</f>
        <v>158.773</v>
      </c>
      <c r="K51">
        <f ca="1">IF(ISERROR(IF(MEDIAN($K$52:$K$62) = 0, "", MEDIAN($K$52:$K$62))), "", (IF(MEDIAN($K$52:$K$62) = 0, "", MEDIAN($K$52:$K$62))))</f>
        <v>123.425</v>
      </c>
      <c r="L51">
        <f ca="1">IF(ISERROR(IF(MEDIAN($L$52:$L$62) = 0, "", MEDIAN($L$52:$L$62))), "", (IF(MEDIAN($L$52:$L$62) = 0, "", MEDIAN($L$52:$L$62))))</f>
        <v>106.899</v>
      </c>
      <c r="M51">
        <f ca="1">IF(ISERROR(IF(MEDIAN($M$52:$M$62) = 0, "", MEDIAN($M$52:$M$62))), "", (IF(MEDIAN($M$52:$M$62) = 0, "", MEDIAN($M$52:$M$62))))</f>
        <v>99.278999999999996</v>
      </c>
      <c r="N51">
        <f ca="1">IF(ISERROR(IF(MEDIAN($N$52:$N$62) = 0, "", MEDIAN($N$52:$N$62))), "", (IF(MEDIAN($N$52:$N$62) = 0, "", MEDIAN($N$52:$N$62))))</f>
        <v>100.328</v>
      </c>
      <c r="O51">
        <f ca="1">IF(ISERROR(IF(MEDIAN($O$52:$O$62) = 0, "", MEDIAN($O$52:$O$62))), "", (IF(MEDIAN($O$52:$O$62) = 0, "", MEDIAN($O$52:$O$62))))</f>
        <v>96.100999999999999</v>
      </c>
      <c r="P51">
        <f ca="1">IF(ISERROR(IF(MEDIAN($P$52:$P$62) = 0, "", MEDIAN($P$52:$P$62))), "", (IF(MEDIAN($P$52:$P$62) = 0, "", MEDIAN($P$52:$P$62))))</f>
        <v>88.346000000000004</v>
      </c>
      <c r="Q51">
        <f ca="1">IF(ISERROR(IF(MEDIAN($Q$52:$Q$62) = 0, "", MEDIAN($Q$52:$Q$62))), "", (IF(MEDIAN($Q$52:$Q$62) = 0, "", MEDIAN($Q$52:$Q$62))))</f>
        <v>78.968000000000004</v>
      </c>
      <c r="R51">
        <f ca="1">IF(ISERROR(IF(MEDIAN($R$52:$R$62) = 0, "", MEDIAN($R$52:$R$62))), "", (IF(MEDIAN($R$52:$R$62) = 0, "", MEDIAN($R$52:$R$62))))</f>
        <v>92.670999999999992</v>
      </c>
      <c r="S51">
        <f ca="1">IF(ISERROR(IF(MEDIAN($S$52:$S$62) = 0, "", MEDIAN($S$52:$S$62))), "", (IF(MEDIAN($S$52:$S$62) = 0, "", MEDIAN($S$52:$S$62))))</f>
        <v>89.795999999999992</v>
      </c>
      <c r="T51">
        <f ca="1">IF(ISERROR(IF(MEDIAN($T$52:$T$62) = 0, "", MEDIAN($T$52:$T$62))), "", (IF(MEDIAN($T$52:$T$62) = 0, "", MEDIAN($T$52:$T$62))))</f>
        <v>89.248999999999995</v>
      </c>
      <c r="U51">
        <f ca="1">IF(ISERROR(IF(MEDIAN($U$52:$U$62) = 0, "", MEDIAN($U$52:$U$62))), "", (IF(MEDIAN($U$52:$U$62) = 0, "", MEDIAN($U$52:$U$62))))</f>
        <v>86.135000000000005</v>
      </c>
      <c r="V51">
        <f ca="1">IF(ISERROR(IF(MEDIAN($V$52:$V$62) = 0, "", MEDIAN($V$52:$V$62))), "", (IF(MEDIAN($V$52:$V$62) = 0, "", MEDIAN($V$52:$V$62))))</f>
        <v>85.432500000000005</v>
      </c>
      <c r="W51">
        <f ca="1">IF(ISERROR(IF(MEDIAN($W$52:$W$62) = 0, "", MEDIAN($W$52:$W$62))), "", (IF(MEDIAN($W$52:$W$62) = 0, "", MEDIAN($W$52:$W$62))))</f>
        <v>79.444999999999993</v>
      </c>
      <c r="X51">
        <f ca="1">IF(ISERROR(IF(MEDIAN($X$52:$X$62) = 0, "", MEDIAN($X$52:$X$62))), "", (IF(MEDIAN($X$52:$X$62) = 0, "", MEDIAN($X$52:$X$62))))</f>
        <v>74.984499999999997</v>
      </c>
      <c r="Y51">
        <f ca="1">IF(ISERROR(IF(MEDIAN($Y$52:$Y$62) = 0, "", MEDIAN($Y$52:$Y$62))), "", (IF(MEDIAN($Y$52:$Y$62) = 0, "", MEDIAN($Y$52:$Y$62))))</f>
        <v>73.722499999999997</v>
      </c>
      <c r="Z51">
        <f ca="1">IF(ISERROR(IF(MEDIAN($Z$52:$Z$62) = 0, "", MEDIAN($Z$52:$Z$62))), "", (IF(MEDIAN($Z$52:$Z$62) = 0, "", MEDIAN($Z$52:$Z$62))))</f>
        <v>72.6905</v>
      </c>
      <c r="AA51">
        <f ca="1">IF(ISERROR(IF(MEDIAN($AA$52:$AA$62) = 0, "", MEDIAN($AA$52:$AA$62))), "", (IF(MEDIAN($AA$52:$AA$62) = 0, "", MEDIAN($AA$52:$AA$62))))</f>
        <v>67.960999999999999</v>
      </c>
      <c r="AB51">
        <f ca="1">IF(ISERROR(IF(MEDIAN($AB$52:$AB$62) = 0, "", MEDIAN($AB$52:$AB$62))), "", (IF(MEDIAN($AB$52:$AB$62) = 0, "", MEDIAN($AB$52:$AB$62))))</f>
        <v>72.56049999999999</v>
      </c>
      <c r="AC51">
        <f ca="1">IF(ISERROR(IF(MEDIAN($AC$52:$AC$62) = 0, "", MEDIAN($AC$52:$AC$62))), "", (IF(MEDIAN($AC$52:$AC$62) = 0, "", MEDIAN($AC$52:$AC$62))))</f>
        <v>71.908500000000004</v>
      </c>
      <c r="AD51">
        <f ca="1">IF(ISERROR(IF(MEDIAN($AD$52:$AD$62) = 0, "", MEDIAN($AD$52:$AD$62))), "", (IF(MEDIAN($AD$52:$AD$62) = 0, "", MEDIAN($AD$52:$AD$62))))</f>
        <v>73.073000000000008</v>
      </c>
      <c r="AE51">
        <f ca="1">IF(ISERROR(IF(MEDIAN($AE$52:$AE$62) = 0, "", MEDIAN($AE$52:$AE$62))), "", (IF(MEDIAN($AE$52:$AE$62) = 0, "", MEDIAN($AE$52:$AE$62))))</f>
        <v>81.659500000000008</v>
      </c>
      <c r="AF51">
        <f ca="1">IF(ISERROR(IF(MEDIAN($AF$52:$AF$62) = 0, "", MEDIAN($AF$52:$AF$62))), "", (IF(MEDIAN($AF$52:$AF$62) = 0, "", MEDIAN($AF$52:$AF$62))))</f>
        <v>81.084499999999991</v>
      </c>
      <c r="AG51">
        <f ca="1">IF(ISERROR(IF(MEDIAN($AG$52:$AG$62) = 0, "", MEDIAN($AG$52:$AG$62))), "", (IF(MEDIAN($AG$52:$AG$62) = 0, "", MEDIAN($AG$52:$AG$62))))</f>
        <v>78.751499999999993</v>
      </c>
      <c r="AH51">
        <f ca="1">IF(ISERROR(IF(MEDIAN($AH$52:$AH$62) = 0, "", MEDIAN($AH$52:$AH$62))), "", (IF(MEDIAN($AH$52:$AH$62) = 0, "", MEDIAN($AH$52:$AH$62))))</f>
        <v>77.228000000000009</v>
      </c>
      <c r="AI51">
        <f ca="1">IF(ISERROR(IF(MEDIAN($AI$52:$AI$62) = 0, "", MEDIAN($AI$52:$AI$62))), "", (IF(MEDIAN($AI$52:$AI$62) = 0, "", MEDIAN($AI$52:$AI$62))))</f>
        <v>90.959000000000003</v>
      </c>
      <c r="AJ51">
        <f ca="1">IF(ISERROR(IF(MEDIAN($AJ$52:$AJ$62) = 0, "", MEDIAN($AJ$52:$AJ$62))), "", (IF(MEDIAN($AJ$52:$AJ$62) = 0, "", MEDIAN($AJ$52:$AJ$62))))</f>
        <v>76.366</v>
      </c>
      <c r="AK51">
        <f ca="1">IF(ISERROR(IF(MEDIAN($AK$52:$AK$62) = 0, "", MEDIAN($AK$52:$AK$62))), "", (IF(MEDIAN($AK$52:$AK$62) = 0, "", MEDIAN($AK$52:$AK$62))))</f>
        <v>76.620999999999995</v>
      </c>
      <c r="AL51">
        <f ca="1">IF(ISERROR(IF(MEDIAN($AL$52:$AL$62) = 0, "", MEDIAN($AL$52:$AL$62))), "", (IF(MEDIAN($AL$52:$AL$62) = 0, "", MEDIAN($AL$52:$AL$62))))</f>
        <v>76.072000000000003</v>
      </c>
      <c r="AM51">
        <f ca="1">IF(ISERROR(IF(MEDIAN($AM$52:$AM$62) = 0, "", MEDIAN($AM$52:$AM$62))), "", (IF(MEDIAN($AM$52:$AM$62) = 0, "", MEDIAN($AM$52:$AM$62))))</f>
        <v>83.81049999999999</v>
      </c>
      <c r="AN51">
        <f ca="1">IF(ISERROR(IF(MEDIAN($AN$52:$AN$62) = 0, "", MEDIAN($AN$52:$AN$62))), "", (IF(MEDIAN($AN$52:$AN$62) = 0, "", MEDIAN($AN$52:$AN$62))))</f>
        <v>75.664500000000004</v>
      </c>
      <c r="AO51">
        <f ca="1">IF(ISERROR(IF(MEDIAN($AO$52:$AO$62) = 0, "", MEDIAN($AO$52:$AO$62))), "", (IF(MEDIAN($AO$52:$AO$62) = 0, "", MEDIAN($AO$52:$AO$62))))</f>
        <v>74.542500000000004</v>
      </c>
      <c r="AP51">
        <f ca="1">IF(ISERROR(IF(MEDIAN($AP$52:$AP$62) = 0, "", MEDIAN($AP$52:$AP$62))), "", (IF(MEDIAN($AP$52:$AP$62) = 0, "", MEDIAN($AP$52:$AP$62))))</f>
        <v>81.897500000000008</v>
      </c>
      <c r="AQ51">
        <f ca="1">IF(ISERROR(IF(MEDIAN($AQ$52:$AQ$62) = 0, "", MEDIAN($AQ$52:$AQ$62))), "", (IF(MEDIAN($AQ$52:$AQ$62) = 0, "", MEDIAN($AQ$52:$AQ$62))))</f>
        <v>82.28</v>
      </c>
      <c r="AR51">
        <f ca="1">IF(ISERROR(IF(MEDIAN($AR$52:$AR$62) = 0, "", MEDIAN($AR$52:$AR$62))), "", (IF(MEDIAN($AR$52:$AR$62) = 0, "", MEDIAN($AR$52:$AR$62))))</f>
        <v>69.353499999999997</v>
      </c>
      <c r="AS51">
        <f ca="1">IF(ISERROR(IF(MEDIAN($AS$52:$AS$62) = 0, "", MEDIAN($AS$52:$AS$62))), "", (IF(MEDIAN($AS$52:$AS$62) = 0, "", MEDIAN($AS$52:$AS$62))))</f>
        <v>78.742000000000004</v>
      </c>
      <c r="AT51">
        <f ca="1">IF(ISERROR(IF(MEDIAN($AT$52:$AT$62) = 0, "", MEDIAN($AT$52:$AT$62))), "", (IF(MEDIAN($AT$52:$AT$62) = 0, "", MEDIAN($AT$52:$AT$62))))</f>
        <v>63.516999999999996</v>
      </c>
      <c r="AU51">
        <f ca="1">IF(ISERROR(IF(MEDIAN($AU$52:$AU$62) = 0, "", MEDIAN($AU$52:$AU$62))), "", (IF(MEDIAN($AU$52:$AU$62) = 0, "", MEDIAN($AU$52:$AU$62))))</f>
        <v>64.649500000000003</v>
      </c>
      <c r="AV51">
        <f ca="1">IF(ISERROR(IF(MEDIAN($AV$52:$AV$62) = 0, "", MEDIAN($AV$52:$AV$62))), "", (IF(MEDIAN($AV$52:$AV$62) = 0, "", MEDIAN($AV$52:$AV$62))))</f>
        <v>59.049499999999995</v>
      </c>
      <c r="AW51">
        <f ca="1">IF(ISERROR(IF(MEDIAN($AW$52:$AW$62) = 0, "", MEDIAN($AW$52:$AW$62))), "", (IF(MEDIAN($AW$52:$AW$62) = 0, "", MEDIAN($AW$52:$AW$62))))</f>
        <v>68.200999999999993</v>
      </c>
      <c r="AX51">
        <f ca="1">IF(ISERROR(IF(MEDIAN($AX$52:$AX$62) = 0, "", MEDIAN($AX$52:$AX$62))), "", (IF(MEDIAN($AX$52:$AX$62) = 0, "", MEDIAN($AX$52:$AX$62))))</f>
        <v>56.036000000000001</v>
      </c>
      <c r="AY51">
        <f ca="1">IF(ISERROR(IF(MEDIAN($AY$52:$AY$62) = 0, "", MEDIAN($AY$52:$AY$62))), "", (IF(MEDIAN($AY$52:$AY$62) = 0, "", MEDIAN($AY$52:$AY$62))))</f>
        <v>60.504500000000007</v>
      </c>
      <c r="AZ51">
        <f ca="1">IF(ISERROR(IF(MEDIAN($AZ$52:$AZ$62) = 0, "", MEDIAN($AZ$52:$AZ$62))), "", (IF(MEDIAN($AZ$52:$AZ$62) = 0, "", MEDIAN($AZ$52:$AZ$62))))</f>
        <v>51.7545</v>
      </c>
      <c r="BA51">
        <f ca="1">IF(ISERROR(IF(MEDIAN($BA$52:$BA$62) = 0, "", MEDIAN($BA$52:$BA$62))), "", (IF(MEDIAN($BA$52:$BA$62) = 0, "", MEDIAN($BA$52:$BA$62))))</f>
        <v>47.1995</v>
      </c>
      <c r="BB51">
        <f ca="1">IF(ISERROR(IF(MEDIAN($BB$52:$BB$62) = 0, "", MEDIAN($BB$52:$BB$62))), "", (IF(MEDIAN($BB$52:$BB$62) = 0, "", MEDIAN($BB$52:$BB$62))))</f>
        <v>45.883499999999998</v>
      </c>
      <c r="BC51">
        <f ca="1">IF(ISERROR(IF(MEDIAN($BC$52:$BC$62) = 0, "", MEDIAN($BC$52:$BC$62))), "", (IF(MEDIAN($BC$52:$BC$62) = 0, "", MEDIAN($BC$52:$BC$62))))</f>
        <v>45.814</v>
      </c>
      <c r="BD51">
        <f ca="1">IF(ISERROR(IF(MEDIAN($BD$52:$BD$62) = 0, "", MEDIAN($BD$52:$BD$62))), "", (IF(MEDIAN($BD$52:$BD$62) = 0, "", MEDIAN($BD$52:$BD$62))))</f>
        <v>39.506000520000001</v>
      </c>
      <c r="BE51">
        <f ca="1">IF(ISERROR(IF(MEDIAN($BE$52:$BE$62) = 0, "", MEDIAN($BE$52:$BE$62))), "", (IF(MEDIAN($BE$52:$BE$62) = 0, "", MEDIAN($BE$52:$BE$62))))</f>
        <v>39.094001769999998</v>
      </c>
      <c r="BF51">
        <f ca="1">IF(ISERROR(IF(MEDIAN($BF$52:$BF$62) = 0, "", MEDIAN($BF$52:$BF$62))), "", (IF(MEDIAN($BF$52:$BF$62) = 0, "", MEDIAN($BF$52:$BF$62))))</f>
        <v>38.888000490000003</v>
      </c>
      <c r="BG51">
        <f ca="1">IF(ISERROR(IF(MEDIAN($BG$52:$BG$62) = 0, "", MEDIAN($BG$52:$BG$62))), "", (IF(MEDIAN($BG$52:$BG$62) = 0, "", MEDIAN($BG$52:$BG$62))))</f>
        <v>40.286000000000001</v>
      </c>
      <c r="BH51">
        <f ca="1">IF(ISERROR(IF(MEDIAN($BH$52:$BH$62) = 0, "", MEDIAN($BH$52:$BH$62))), "", (IF(MEDIAN($BH$52:$BH$62) = 0, "", MEDIAN($BH$52:$BH$62))))</f>
        <v>35.361499344999999</v>
      </c>
      <c r="BI51">
        <f ca="1">IF(ISERROR(IF(MEDIAN($BI$52:$BI$62) = 0, "", MEDIAN($BI$52:$BI$62))), "", (IF(MEDIAN($BI$52:$BI$62) = 0, "", MEDIAN($BI$52:$BI$62))))</f>
        <v>34.647999589999998</v>
      </c>
      <c r="BJ51">
        <f ca="1">IF(ISERROR(IF(MEDIAN($BJ$52:$BJ$62) = 0, "", MEDIAN($BJ$52:$BJ$62))), "", (IF(MEDIAN($BJ$52:$BJ$62) = 0, "", MEDIAN($BJ$52:$BJ$62))))</f>
        <v>34.090999285000002</v>
      </c>
      <c r="BK51">
        <f ca="1">IF(ISERROR(IF(MEDIAN($BK$52:$BK$62) = 0, "", MEDIAN($BK$52:$BK$62))), "", (IF(MEDIAN($BK$52:$BK$62) = 0, "", MEDIAN($BK$52:$BK$62))))</f>
        <v>35.541000369999999</v>
      </c>
      <c r="BL51">
        <f ca="1">IF(ISERROR(IF(MEDIAN($BL$52:$BL$62) = 0, "", MEDIAN($BL$52:$BL$62))), "", (IF(MEDIAN($BL$52:$BL$62) = 0, "", MEDIAN($BL$52:$BL$62))))</f>
        <v>32.140998840000002</v>
      </c>
      <c r="BM51">
        <f ca="1">IF(ISERROR(IF(MEDIAN($BM$52:$BM$62) = 0, "", MEDIAN($BM$52:$BM$62))), "", (IF(MEDIAN($BM$52:$BM$62) = 0, "", MEDIAN($BM$52:$BM$62))))</f>
        <v>35.289998050000001</v>
      </c>
      <c r="BN51" t="str">
        <f>""</f>
        <v/>
      </c>
      <c r="BO51">
        <f>178.0595</f>
        <v>178.05950000000001</v>
      </c>
      <c r="BP51">
        <f>170.354</f>
        <v>170.35400000000001</v>
      </c>
      <c r="BQ51">
        <f>166.1575</f>
        <v>166.1575</v>
      </c>
      <c r="BR51">
        <f>158.773</f>
        <v>158.773</v>
      </c>
      <c r="BS51">
        <f>123.425</f>
        <v>123.425</v>
      </c>
      <c r="BT51">
        <f>106.899</f>
        <v>106.899</v>
      </c>
      <c r="BU51">
        <f>99.279</f>
        <v>99.278999999999996</v>
      </c>
      <c r="BV51">
        <f>100.328</f>
        <v>100.328</v>
      </c>
      <c r="BW51">
        <f>96.101</f>
        <v>96.100999999999999</v>
      </c>
      <c r="BX51">
        <f>88.346</f>
        <v>88.346000000000004</v>
      </c>
      <c r="BY51">
        <f>78.968</f>
        <v>78.968000000000004</v>
      </c>
      <c r="BZ51">
        <f>92.671</f>
        <v>92.671000000000006</v>
      </c>
      <c r="CA51">
        <f>89.796</f>
        <v>89.796000000000006</v>
      </c>
      <c r="CB51">
        <f>89.249</f>
        <v>89.248999999999995</v>
      </c>
      <c r="CC51">
        <f>86.135</f>
        <v>86.135000000000005</v>
      </c>
      <c r="CD51">
        <f>85.4325</f>
        <v>85.432500000000005</v>
      </c>
      <c r="CE51">
        <f>79.445</f>
        <v>79.444999999999993</v>
      </c>
      <c r="CF51">
        <f>74.9845</f>
        <v>74.984499999999997</v>
      </c>
      <c r="CG51">
        <f>73.7225</f>
        <v>73.722499999999997</v>
      </c>
      <c r="CH51">
        <f>72.6905</f>
        <v>72.6905</v>
      </c>
      <c r="CI51">
        <f>67.961</f>
        <v>67.960999999999999</v>
      </c>
      <c r="CJ51">
        <f>72.5605</f>
        <v>72.560500000000005</v>
      </c>
      <c r="CK51">
        <f>71.9085</f>
        <v>71.908500000000004</v>
      </c>
      <c r="CL51">
        <f>73.073</f>
        <v>73.072999999999993</v>
      </c>
      <c r="CM51">
        <f>81.6595</f>
        <v>81.659499999999994</v>
      </c>
      <c r="CN51">
        <f>81.0845</f>
        <v>81.084500000000006</v>
      </c>
      <c r="CO51">
        <f>78.7515</f>
        <v>78.751499999999993</v>
      </c>
      <c r="CP51">
        <f>77.228</f>
        <v>77.227999999999994</v>
      </c>
      <c r="CQ51">
        <f>90.959</f>
        <v>90.959000000000003</v>
      </c>
      <c r="CR51">
        <f>76.366</f>
        <v>76.366</v>
      </c>
      <c r="CS51">
        <f>76.621</f>
        <v>76.620999999999995</v>
      </c>
      <c r="CT51">
        <f>76.072</f>
        <v>76.072000000000003</v>
      </c>
      <c r="CU51">
        <f>83.8105</f>
        <v>83.810500000000005</v>
      </c>
      <c r="CV51">
        <f>75.6645</f>
        <v>75.664500000000004</v>
      </c>
      <c r="CW51">
        <f>74.5425</f>
        <v>74.542500000000004</v>
      </c>
      <c r="CX51">
        <f>81.8975</f>
        <v>81.897499999999994</v>
      </c>
      <c r="CY51">
        <f>82.28</f>
        <v>82.28</v>
      </c>
      <c r="CZ51">
        <f>69.3535</f>
        <v>69.353499999999997</v>
      </c>
      <c r="DA51">
        <f>78.742</f>
        <v>78.742000000000004</v>
      </c>
      <c r="DB51">
        <f>63.517</f>
        <v>63.517000000000003</v>
      </c>
      <c r="DC51">
        <f>64.6495</f>
        <v>64.649500000000003</v>
      </c>
      <c r="DD51">
        <f>59.0495</f>
        <v>59.049500000000002</v>
      </c>
      <c r="DE51">
        <f>68.201</f>
        <v>68.200999999999993</v>
      </c>
      <c r="DF51">
        <f>56.036</f>
        <v>56.036000000000001</v>
      </c>
      <c r="DG51">
        <f>60.5045</f>
        <v>60.5045</v>
      </c>
      <c r="DH51">
        <f>51.7545</f>
        <v>51.7545</v>
      </c>
      <c r="DI51">
        <f>47.1995</f>
        <v>47.1995</v>
      </c>
      <c r="DJ51">
        <f>45.8835</f>
        <v>45.883499999999998</v>
      </c>
      <c r="DK51">
        <f>45.814</f>
        <v>45.814</v>
      </c>
      <c r="DL51">
        <f>39.50600052</f>
        <v>39.506000520000001</v>
      </c>
      <c r="DM51">
        <f>39.09400177</f>
        <v>39.094001769999998</v>
      </c>
      <c r="DN51">
        <f>38.88800049</f>
        <v>38.888000490000003</v>
      </c>
      <c r="DO51">
        <f>40.286</f>
        <v>40.286000000000001</v>
      </c>
      <c r="DP51">
        <f>35.36149934</f>
        <v>35.361499340000002</v>
      </c>
      <c r="DQ51">
        <f>34.64799959</f>
        <v>34.647999589999998</v>
      </c>
      <c r="DR51">
        <f>34.09099928</f>
        <v>34.090999279999998</v>
      </c>
      <c r="DS51">
        <f>35.54100037</f>
        <v>35.541000369999999</v>
      </c>
      <c r="DT51">
        <f>32.14099884</f>
        <v>32.140998840000002</v>
      </c>
      <c r="DU51">
        <f>35.28999805</f>
        <v>35.289998050000001</v>
      </c>
    </row>
    <row r="52" spans="1:125">
      <c r="A52" t="str">
        <f>"    Alexandria Real Estate Equitie"</f>
        <v xml:space="preserve">    Alexandria Real Estate Equitie</v>
      </c>
      <c r="B52" t="str">
        <f>"ARE US Equity"</f>
        <v>ARE US Equity</v>
      </c>
      <c r="C52" t="str">
        <f t="shared" ref="C52:C62" si="12">"RR502"</f>
        <v>RR502</v>
      </c>
      <c r="D52" t="str">
        <f t="shared" ref="D52:D62" si="13">"NET_OPER_INCOME"</f>
        <v>NET_OPER_INCOME</v>
      </c>
      <c r="E52" t="str">
        <f t="shared" ref="E52:E62" si="14">"动态"</f>
        <v>动态</v>
      </c>
      <c r="F52" t="str">
        <f ca="1">IF(AND(ISNUMBER($F$304),$B$258=1),$F$304,HLOOKUP(INDIRECT(ADDRESS(2,COLUMN())),OFFSET($BN$2,0,0,ROW()-1,60),ROW()-1,FALSE))</f>
        <v/>
      </c>
      <c r="G52">
        <f ca="1">IF(AND(ISNUMBER($G$304),$B$258=1),$G$304,HLOOKUP(INDIRECT(ADDRESS(2,COLUMN())),OFFSET($BN$2,0,0,ROW()-1,60),ROW()-1,FALSE))</f>
        <v>210.22200000000001</v>
      </c>
      <c r="H52">
        <f ca="1">IF(AND(ISNUMBER($H$304),$B$258=1),$H$304,HLOOKUP(INDIRECT(ADDRESS(2,COLUMN())),OFFSET($BN$2,0,0,ROW()-1,60),ROW()-1,FALSE))</f>
        <v>199.61</v>
      </c>
      <c r="I52">
        <f ca="1">IF(AND(ISNUMBER($I$304),$B$258=1),$I$304,HLOOKUP(INDIRECT(ADDRESS(2,COLUMN())),OFFSET($BN$2,0,0,ROW()-1,60),ROW()-1,FALSE))</f>
        <v>195.43199999999999</v>
      </c>
      <c r="J52">
        <f ca="1">IF(AND(ISNUMBER($J$304),$B$258=1),$J$304,HLOOKUP(INDIRECT(ADDRESS(2,COLUMN())),OFFSET($BN$2,0,0,ROW()-1,60),ROW()-1,FALSE))</f>
        <v>191.452</v>
      </c>
      <c r="K52">
        <f ca="1">IF(AND(ISNUMBER($K$304),$B$258=1),$K$304,HLOOKUP(INDIRECT(ADDRESS(2,COLUMN())),OFFSET($BN$2,0,0,ROW()-1,60),ROW()-1,FALSE))</f>
        <v>172.34100000000001</v>
      </c>
      <c r="L52">
        <f ca="1">IF(AND(ISNUMBER($L$304),$B$258=1),$L$304,HLOOKUP(INDIRECT(ADDRESS(2,COLUMN())),OFFSET($BN$2,0,0,ROW()-1,60),ROW()-1,FALSE))</f>
        <v>153.27000000000001</v>
      </c>
      <c r="M52">
        <f ca="1">IF(AND(ISNUMBER($M$304),$B$258=1),$M$304,HLOOKUP(INDIRECT(ADDRESS(2,COLUMN())),OFFSET($BN$2,0,0,ROW()-1,60),ROW()-1,FALSE))</f>
        <v>148.41999999999999</v>
      </c>
      <c r="N52">
        <f ca="1">IF(AND(ISNUMBER($N$304),$B$258=1),$N$304,HLOOKUP(INDIRECT(ADDRESS(2,COLUMN())),OFFSET($BN$2,0,0,ROW()-1,60),ROW()-1,FALSE))</f>
        <v>145.036</v>
      </c>
      <c r="O52">
        <f ca="1">IF(AND(ISNUMBER($O$304),$B$258=1),$O$304,HLOOKUP(INDIRECT(ADDRESS(2,COLUMN())),OFFSET($BN$2,0,0,ROW()-1,60),ROW()-1,FALSE))</f>
        <v>144.143</v>
      </c>
      <c r="P52">
        <f ca="1">IF(AND(ISNUMBER($P$304),$B$258=1),$P$304,HLOOKUP(INDIRECT(ADDRESS(2,COLUMN())),OFFSET($BN$2,0,0,ROW()-1,60),ROW()-1,FALSE))</f>
        <v>142.584</v>
      </c>
      <c r="Q52">
        <f ca="1">IF(AND(ISNUMBER($Q$304),$B$258=1),$Q$304,HLOOKUP(INDIRECT(ADDRESS(2,COLUMN())),OFFSET($BN$2,0,0,ROW()-1,60),ROW()-1,FALSE))</f>
        <v>139.149</v>
      </c>
      <c r="R52">
        <f ca="1">IF(AND(ISNUMBER($R$304),$B$258=1),$R$304,HLOOKUP(INDIRECT(ADDRESS(2,COLUMN())),OFFSET($BN$2,0,0,ROW()-1,60),ROW()-1,FALSE))</f>
        <v>130.779</v>
      </c>
      <c r="S52">
        <f ca="1">IF(AND(ISNUMBER($S$304),$B$258=1),$S$304,HLOOKUP(INDIRECT(ADDRESS(2,COLUMN())),OFFSET($BN$2,0,0,ROW()-1,60),ROW()-1,FALSE))</f>
        <v>129.274</v>
      </c>
      <c r="T52">
        <f ca="1">IF(AND(ISNUMBER($T$304),$B$258=1),$T$304,HLOOKUP(INDIRECT(ADDRESS(2,COLUMN())),OFFSET($BN$2,0,0,ROW()-1,60),ROW()-1,FALSE))</f>
        <v>125.867</v>
      </c>
      <c r="U52">
        <f ca="1">IF(AND(ISNUMBER($U$304),$B$258=1),$U$304,HLOOKUP(INDIRECT(ADDRESS(2,COLUMN())),OFFSET($BN$2,0,0,ROW()-1,60),ROW()-1,FALSE))</f>
        <v>123.583</v>
      </c>
      <c r="V52">
        <f ca="1">IF(AND(ISNUMBER($V$304),$B$258=1),$V$304,HLOOKUP(INDIRECT(ADDRESS(2,COLUMN())),OFFSET($BN$2,0,0,ROW()-1,60),ROW()-1,FALSE))</f>
        <v>119.745</v>
      </c>
      <c r="W52">
        <f ca="1">IF(AND(ISNUMBER($W$304),$B$258=1),$W$304,HLOOKUP(INDIRECT(ADDRESS(2,COLUMN())),OFFSET($BN$2,0,0,ROW()-1,60),ROW()-1,FALSE))</f>
        <v>115.771</v>
      </c>
      <c r="X52">
        <f ca="1">IF(AND(ISNUMBER($X$304),$B$258=1),$X$304,HLOOKUP(INDIRECT(ADDRESS(2,COLUMN())),OFFSET($BN$2,0,0,ROW()-1,60),ROW()-1,FALSE))</f>
        <v>107.059</v>
      </c>
      <c r="Y52">
        <f ca="1">IF(AND(ISNUMBER($Y$304),$B$258=1),$Y$304,HLOOKUP(INDIRECT(ADDRESS(2,COLUMN())),OFFSET($BN$2,0,0,ROW()-1,60),ROW()-1,FALSE))</f>
        <v>104.08499999999999</v>
      </c>
      <c r="Z52">
        <f ca="1">IF(AND(ISNUMBER($Z$304),$B$258=1),$Z$304,HLOOKUP(INDIRECT(ADDRESS(2,COLUMN())),OFFSET($BN$2,0,0,ROW()-1,60),ROW()-1,FALSE))</f>
        <v>101.905</v>
      </c>
      <c r="AA52">
        <f ca="1">IF(AND(ISNUMBER($AA$304),$B$258=1),$AA$304,HLOOKUP(INDIRECT(ADDRESS(2,COLUMN())),OFFSET($BN$2,0,0,ROW()-1,60),ROW()-1,FALSE))</f>
        <v>101.337</v>
      </c>
      <c r="AB52">
        <f ca="1">IF(AND(ISNUMBER($AB$304),$B$258=1),$AB$304,HLOOKUP(INDIRECT(ADDRESS(2,COLUMN())),OFFSET($BN$2,0,0,ROW()-1,60),ROW()-1,FALSE))</f>
        <v>96.019000000000005</v>
      </c>
      <c r="AC52">
        <f ca="1">IF(AND(ISNUMBER($AC$304),$B$258=1),$AC$304,HLOOKUP(INDIRECT(ADDRESS(2,COLUMN())),OFFSET($BN$2,0,0,ROW()-1,60),ROW()-1,FALSE))</f>
        <v>94.108000000000004</v>
      </c>
      <c r="AD52">
        <f ca="1">IF(AND(ISNUMBER($AD$304),$B$258=1),$AD$304,HLOOKUP(INDIRECT(ADDRESS(2,COLUMN())),OFFSET($BN$2,0,0,ROW()-1,60),ROW()-1,FALSE))</f>
        <v>92.63</v>
      </c>
      <c r="AE52">
        <f ca="1">IF(AND(ISNUMBER($AE$304),$B$258=1),$AE$304,HLOOKUP(INDIRECT(ADDRESS(2,COLUMN())),OFFSET($BN$2,0,0,ROW()-1,60),ROW()-1,FALSE))</f>
        <v>96.111999999999995</v>
      </c>
      <c r="AF52">
        <f ca="1">IF(AND(ISNUMBER($AF$304),$B$258=1),$AF$304,HLOOKUP(INDIRECT(ADDRESS(2,COLUMN())),OFFSET($BN$2,0,0,ROW()-1,60),ROW()-1,FALSE))</f>
        <v>94.72</v>
      </c>
      <c r="AG52">
        <f ca="1">IF(AND(ISNUMBER($AG$304),$B$258=1),$AG$304,HLOOKUP(INDIRECT(ADDRESS(2,COLUMN())),OFFSET($BN$2,0,0,ROW()-1,60),ROW()-1,FALSE))</f>
        <v>101.8</v>
      </c>
      <c r="AH52">
        <f ca="1">IF(AND(ISNUMBER($AH$304),$B$258=1),$AH$304,HLOOKUP(INDIRECT(ADDRESS(2,COLUMN())),OFFSET($BN$2,0,0,ROW()-1,60),ROW()-1,FALSE))</f>
        <v>98.081999999999994</v>
      </c>
      <c r="AI52">
        <f ca="1">IF(AND(ISNUMBER($AI$304),$B$258=1),$AI$304,HLOOKUP(INDIRECT(ADDRESS(2,COLUMN())),OFFSET($BN$2,0,0,ROW()-1,60),ROW()-1,FALSE))</f>
        <v>93.456999999999994</v>
      </c>
      <c r="AJ52">
        <f ca="1">IF(AND(ISNUMBER($AJ$304),$B$258=1),$AJ$304,HLOOKUP(INDIRECT(ADDRESS(2,COLUMN())),OFFSET($BN$2,0,0,ROW()-1,60),ROW()-1,FALSE))</f>
        <v>85.591999999999999</v>
      </c>
      <c r="AK52">
        <f ca="1">IF(AND(ISNUMBER($AK$304),$B$258=1),$AK$304,HLOOKUP(INDIRECT(ADDRESS(2,COLUMN())),OFFSET($BN$2,0,0,ROW()-1,60),ROW()-1,FALSE))</f>
        <v>85.753</v>
      </c>
      <c r="AL52">
        <f ca="1">IF(AND(ISNUMBER($AL$304),$B$258=1),$AL$304,HLOOKUP(INDIRECT(ADDRESS(2,COLUMN())),OFFSET($BN$2,0,0,ROW()-1,60),ROW()-1,FALSE))</f>
        <v>83.873000000000005</v>
      </c>
      <c r="AM52">
        <f ca="1">IF(AND(ISNUMBER($AM$304),$B$258=1),$AM$304,HLOOKUP(INDIRECT(ADDRESS(2,COLUMN())),OFFSET($BN$2,0,0,ROW()-1,60),ROW()-1,FALSE))</f>
        <v>84.616</v>
      </c>
      <c r="AN52">
        <f ca="1">IF(AND(ISNUMBER($AN$304),$B$258=1),$AN$304,HLOOKUP(INDIRECT(ADDRESS(2,COLUMN())),OFFSET($BN$2,0,0,ROW()-1,60),ROW()-1,FALSE))</f>
        <v>83.430999999999997</v>
      </c>
      <c r="AO52">
        <f ca="1">IF(AND(ISNUMBER($AO$304),$B$258=1),$AO$304,HLOOKUP(INDIRECT(ADDRESS(2,COLUMN())),OFFSET($BN$2,0,0,ROW()-1,60),ROW()-1,FALSE))</f>
        <v>82.905000000000001</v>
      </c>
      <c r="AP52">
        <f ca="1">IF(AND(ISNUMBER($AP$304),$B$258=1),$AP$304,HLOOKUP(INDIRECT(ADDRESS(2,COLUMN())),OFFSET($BN$2,0,0,ROW()-1,60),ROW()-1,FALSE))</f>
        <v>98.373000000000005</v>
      </c>
      <c r="AQ52">
        <f ca="1">IF(AND(ISNUMBER($AQ$304),$B$258=1),$AQ$304,HLOOKUP(INDIRECT(ADDRESS(2,COLUMN())),OFFSET($BN$2,0,0,ROW()-1,60),ROW()-1,FALSE))</f>
        <v>93.608999999999995</v>
      </c>
      <c r="AR52">
        <f ca="1">IF(AND(ISNUMBER($AR$304),$B$258=1),$AR$304,HLOOKUP(INDIRECT(ADDRESS(2,COLUMN())),OFFSET($BN$2,0,0,ROW()-1,60),ROW()-1,FALSE))</f>
        <v>80.834000000000003</v>
      </c>
      <c r="AS52">
        <f ca="1">IF(AND(ISNUMBER($AS$304),$B$258=1),$AS$304,HLOOKUP(INDIRECT(ADDRESS(2,COLUMN())),OFFSET($BN$2,0,0,ROW()-1,60),ROW()-1,FALSE))</f>
        <v>78.742000000000004</v>
      </c>
      <c r="AT52">
        <f ca="1">IF(AND(ISNUMBER($AT$304),$B$258=1),$AT$304,HLOOKUP(INDIRECT(ADDRESS(2,COLUMN())),OFFSET($BN$2,0,0,ROW()-1,60),ROW()-1,FALSE))</f>
        <v>78.051000000000002</v>
      </c>
      <c r="AU52">
        <f ca="1">IF(AND(ISNUMBER($AU$304),$B$258=1),$AU$304,HLOOKUP(INDIRECT(ADDRESS(2,COLUMN())),OFFSET($BN$2,0,0,ROW()-1,60),ROW()-1,FALSE))</f>
        <v>76.707999999999998</v>
      </c>
      <c r="AV52">
        <f ca="1">IF(AND(ISNUMBER($AV$304),$B$258=1),$AV$304,HLOOKUP(INDIRECT(ADDRESS(2,COLUMN())),OFFSET($BN$2,0,0,ROW()-1,60),ROW()-1,FALSE))</f>
        <v>73.445999999999998</v>
      </c>
      <c r="AW52">
        <f ca="1">IF(AND(ISNUMBER($AW$304),$B$258=1),$AW$304,HLOOKUP(INDIRECT(ADDRESS(2,COLUMN())),OFFSET($BN$2,0,0,ROW()-1,60),ROW()-1,FALSE))</f>
        <v>68.200999999999993</v>
      </c>
      <c r="AX52">
        <f ca="1">IF(AND(ISNUMBER($AX$304),$B$258=1),$AX$304,HLOOKUP(INDIRECT(ADDRESS(2,COLUMN())),OFFSET($BN$2,0,0,ROW()-1,60),ROW()-1,FALSE))</f>
        <v>67.771000000000001</v>
      </c>
      <c r="AY52">
        <f ca="1">IF(AND(ISNUMBER($AY$304),$B$258=1),$AY$304,HLOOKUP(INDIRECT(ADDRESS(2,COLUMN())),OFFSET($BN$2,0,0,ROW()-1,60),ROW()-1,FALSE))</f>
        <v>66.364000000000004</v>
      </c>
      <c r="AZ52">
        <f ca="1">IF(AND(ISNUMBER($AZ$304),$B$258=1),$AZ$304,HLOOKUP(INDIRECT(ADDRESS(2,COLUMN())),OFFSET($BN$2,0,0,ROW()-1,60),ROW()-1,FALSE))</f>
        <v>61.526000000000003</v>
      </c>
      <c r="BA52">
        <f ca="1">IF(AND(ISNUMBER($BA$304),$B$258=1),$BA$304,HLOOKUP(INDIRECT(ADDRESS(2,COLUMN())),OFFSET($BN$2,0,0,ROW()-1,60),ROW()-1,FALSE))</f>
        <v>53.478000000000002</v>
      </c>
      <c r="BB52">
        <f ca="1">IF(AND(ISNUMBER($BB$304),$B$258=1),$BB$304,HLOOKUP(INDIRECT(ADDRESS(2,COLUMN())),OFFSET($BN$2,0,0,ROW()-1,60),ROW()-1,FALSE))</f>
        <v>50.944000000000003</v>
      </c>
      <c r="BC52">
        <f ca="1">IF(AND(ISNUMBER($BC$304),$B$258=1),$BC$304,HLOOKUP(INDIRECT(ADDRESS(2,COLUMN())),OFFSET($BN$2,0,0,ROW()-1,60),ROW()-1,FALSE))</f>
        <v>47.850999999999999</v>
      </c>
      <c r="BD52">
        <f ca="1">IF(AND(ISNUMBER($BD$304),$B$258=1),$BD$304,HLOOKUP(INDIRECT(ADDRESS(2,COLUMN())),OFFSET($BN$2,0,0,ROW()-1,60),ROW()-1,FALSE))</f>
        <v>46.725999999999999</v>
      </c>
      <c r="BE52">
        <f ca="1">IF(AND(ISNUMBER($BE$304),$B$258=1),$BE$304,HLOOKUP(INDIRECT(ADDRESS(2,COLUMN())),OFFSET($BN$2,0,0,ROW()-1,60),ROW()-1,FALSE))</f>
        <v>43.722999999999999</v>
      </c>
      <c r="BF52">
        <f ca="1">IF(AND(ISNUMBER($BF$304),$B$258=1),$BF$304,HLOOKUP(INDIRECT(ADDRESS(2,COLUMN())),OFFSET($BN$2,0,0,ROW()-1,60),ROW()-1,FALSE))</f>
        <v>41.933</v>
      </c>
      <c r="BG52">
        <f ca="1">IF(AND(ISNUMBER($BG$304),$B$258=1),$BG$304,HLOOKUP(INDIRECT(ADDRESS(2,COLUMN())),OFFSET($BN$2,0,0,ROW()-1,60),ROW()-1,FALSE))</f>
        <v>38.524000000000001</v>
      </c>
      <c r="BH52">
        <f ca="1">IF(AND(ISNUMBER($BH$304),$B$258=1),$BH$304,HLOOKUP(INDIRECT(ADDRESS(2,COLUMN())),OFFSET($BN$2,0,0,ROW()-1,60),ROW()-1,FALSE))</f>
        <v>35.296999999999997</v>
      </c>
      <c r="BI52">
        <f ca="1">IF(AND(ISNUMBER($BI$304),$B$258=1),$BI$304,HLOOKUP(INDIRECT(ADDRESS(2,COLUMN())),OFFSET($BN$2,0,0,ROW()-1,60),ROW()-1,FALSE))</f>
        <v>34.106999999999999</v>
      </c>
      <c r="BJ52">
        <f ca="1">IF(AND(ISNUMBER($BJ$304),$B$258=1),$BJ$304,HLOOKUP(INDIRECT(ADDRESS(2,COLUMN())),OFFSET($BN$2,0,0,ROW()-1,60),ROW()-1,FALSE))</f>
        <v>33.353000000000002</v>
      </c>
      <c r="BK52">
        <f ca="1">IF(AND(ISNUMBER($BK$304),$B$258=1),$BK$304,HLOOKUP(INDIRECT(ADDRESS(2,COLUMN())),OFFSET($BN$2,0,0,ROW()-1,60),ROW()-1,FALSE))</f>
        <v>31.321000000000002</v>
      </c>
      <c r="BL52">
        <f ca="1">IF(AND(ISNUMBER($BL$304),$B$258=1),$BL$304,HLOOKUP(INDIRECT(ADDRESS(2,COLUMN())),OFFSET($BN$2,0,0,ROW()-1,60),ROW()-1,FALSE))</f>
        <v>31.209</v>
      </c>
      <c r="BM52">
        <f ca="1">IF(AND(ISNUMBER($BM$304),$B$258=1),$BM$304,HLOOKUP(INDIRECT(ADDRESS(2,COLUMN())),OFFSET($BN$2,0,0,ROW()-1,60),ROW()-1,FALSE))</f>
        <v>30.942</v>
      </c>
      <c r="BN52" t="str">
        <f>""</f>
        <v/>
      </c>
      <c r="BO52">
        <f>210.222</f>
        <v>210.22200000000001</v>
      </c>
      <c r="BP52">
        <f>199.61</f>
        <v>199.61</v>
      </c>
      <c r="BQ52">
        <f>195.432</f>
        <v>195.43199999999999</v>
      </c>
      <c r="BR52">
        <f>191.452</f>
        <v>191.452</v>
      </c>
      <c r="BS52">
        <f>172.341</f>
        <v>172.34100000000001</v>
      </c>
      <c r="BT52">
        <f>153.27</f>
        <v>153.27000000000001</v>
      </c>
      <c r="BU52">
        <f>148.42</f>
        <v>148.41999999999999</v>
      </c>
      <c r="BV52">
        <f>145.036</f>
        <v>145.036</v>
      </c>
      <c r="BW52">
        <f>144.143</f>
        <v>144.143</v>
      </c>
      <c r="BX52">
        <f>142.584</f>
        <v>142.584</v>
      </c>
      <c r="BY52">
        <f>139.149</f>
        <v>139.149</v>
      </c>
      <c r="BZ52">
        <f>130.779</f>
        <v>130.779</v>
      </c>
      <c r="CA52">
        <f>129.274</f>
        <v>129.274</v>
      </c>
      <c r="CB52">
        <f>125.867</f>
        <v>125.867</v>
      </c>
      <c r="CC52">
        <f>123.583</f>
        <v>123.583</v>
      </c>
      <c r="CD52">
        <f>119.745</f>
        <v>119.745</v>
      </c>
      <c r="CE52">
        <f>115.771</f>
        <v>115.771</v>
      </c>
      <c r="CF52">
        <f>107.059</f>
        <v>107.059</v>
      </c>
      <c r="CG52">
        <f>104.085</f>
        <v>104.08499999999999</v>
      </c>
      <c r="CH52">
        <f>101.905</f>
        <v>101.905</v>
      </c>
      <c r="CI52">
        <f>101.337</f>
        <v>101.337</v>
      </c>
      <c r="CJ52">
        <f>96.019</f>
        <v>96.019000000000005</v>
      </c>
      <c r="CK52">
        <f>94.108</f>
        <v>94.108000000000004</v>
      </c>
      <c r="CL52">
        <f>92.63</f>
        <v>92.63</v>
      </c>
      <c r="CM52">
        <f>96.112</f>
        <v>96.111999999999995</v>
      </c>
      <c r="CN52">
        <f>94.72</f>
        <v>94.72</v>
      </c>
      <c r="CO52">
        <f>101.8</f>
        <v>101.8</v>
      </c>
      <c r="CP52">
        <f>98.082</f>
        <v>98.081999999999994</v>
      </c>
      <c r="CQ52">
        <f>93.457</f>
        <v>93.456999999999994</v>
      </c>
      <c r="CR52">
        <f>85.592</f>
        <v>85.591999999999999</v>
      </c>
      <c r="CS52">
        <f>85.753</f>
        <v>85.753</v>
      </c>
      <c r="CT52">
        <f>83.873</f>
        <v>83.873000000000005</v>
      </c>
      <c r="CU52">
        <f>84.616</f>
        <v>84.616</v>
      </c>
      <c r="CV52">
        <f>83.431</f>
        <v>83.430999999999997</v>
      </c>
      <c r="CW52">
        <f>82.905</f>
        <v>82.905000000000001</v>
      </c>
      <c r="CX52">
        <f>98.373</f>
        <v>98.373000000000005</v>
      </c>
      <c r="CY52">
        <f>93.609</f>
        <v>93.608999999999995</v>
      </c>
      <c r="CZ52">
        <f>80.834</f>
        <v>80.834000000000003</v>
      </c>
      <c r="DA52">
        <f>78.742</f>
        <v>78.742000000000004</v>
      </c>
      <c r="DB52">
        <f>78.051</f>
        <v>78.051000000000002</v>
      </c>
      <c r="DC52">
        <f>76.708</f>
        <v>76.707999999999998</v>
      </c>
      <c r="DD52">
        <f>73.446</f>
        <v>73.445999999999998</v>
      </c>
      <c r="DE52">
        <f>68.201</f>
        <v>68.200999999999993</v>
      </c>
      <c r="DF52">
        <f>67.771</f>
        <v>67.771000000000001</v>
      </c>
      <c r="DG52">
        <f>66.364</f>
        <v>66.364000000000004</v>
      </c>
      <c r="DH52">
        <f>61.526</f>
        <v>61.526000000000003</v>
      </c>
      <c r="DI52">
        <f>53.478</f>
        <v>53.478000000000002</v>
      </c>
      <c r="DJ52">
        <f>50.944</f>
        <v>50.944000000000003</v>
      </c>
      <c r="DK52">
        <f>47.851</f>
        <v>47.850999999999999</v>
      </c>
      <c r="DL52">
        <f>46.726</f>
        <v>46.725999999999999</v>
      </c>
      <c r="DM52">
        <f>43.723</f>
        <v>43.722999999999999</v>
      </c>
      <c r="DN52">
        <f>41.933</f>
        <v>41.933</v>
      </c>
      <c r="DO52">
        <f>38.524</f>
        <v>38.524000000000001</v>
      </c>
      <c r="DP52">
        <f>35.297</f>
        <v>35.296999999999997</v>
      </c>
      <c r="DQ52">
        <f>34.107</f>
        <v>34.106999999999999</v>
      </c>
      <c r="DR52">
        <f>33.353</f>
        <v>33.353000000000002</v>
      </c>
      <c r="DS52">
        <f>31.321</f>
        <v>31.321000000000002</v>
      </c>
      <c r="DT52">
        <f>31.209</f>
        <v>31.209</v>
      </c>
      <c r="DU52">
        <f>30.942</f>
        <v>30.942</v>
      </c>
    </row>
    <row r="53" spans="1:125">
      <c r="A53" t="str">
        <f>"    Care Capital Properties Inc"</f>
        <v xml:space="preserve">    Care Capital Properties Inc</v>
      </c>
      <c r="B53" t="str">
        <f>"CCP US Equity"</f>
        <v>CCP US Equity</v>
      </c>
      <c r="C53" t="str">
        <f t="shared" si="12"/>
        <v>RR502</v>
      </c>
      <c r="D53" t="str">
        <f t="shared" si="13"/>
        <v>NET_OPER_INCOME</v>
      </c>
      <c r="E53" t="str">
        <f t="shared" si="14"/>
        <v>动态</v>
      </c>
      <c r="F53" t="str">
        <f ca="1">IF(AND(ISNUMBER($F$305),$B$258=1),$F$305,HLOOKUP(INDIRECT(ADDRESS(2,COLUMN())),OFFSET($BN$2,0,0,ROW()-1,60),ROW()-1,FALSE))</f>
        <v/>
      </c>
      <c r="G53" t="str">
        <f ca="1">IF(AND(ISNUMBER($G$305),$B$258=1),$G$305,HLOOKUP(INDIRECT(ADDRESS(2,COLUMN())),OFFSET($BN$2,0,0,ROW()-1,60),ROW()-1,FALSE))</f>
        <v/>
      </c>
      <c r="H53" t="str">
        <f ca="1">IF(AND(ISNUMBER($H$305),$B$258=1),$H$305,HLOOKUP(INDIRECT(ADDRESS(2,COLUMN())),OFFSET($BN$2,0,0,ROW()-1,60),ROW()-1,FALSE))</f>
        <v/>
      </c>
      <c r="I53" t="str">
        <f ca="1">IF(AND(ISNUMBER($I$305),$B$258=1),$I$305,HLOOKUP(INDIRECT(ADDRESS(2,COLUMN())),OFFSET($BN$2,0,0,ROW()-1,60),ROW()-1,FALSE))</f>
        <v/>
      </c>
      <c r="J53" t="str">
        <f ca="1">IF(AND(ISNUMBER($J$305),$B$258=1),$J$305,HLOOKUP(INDIRECT(ADDRESS(2,COLUMN())),OFFSET($BN$2,0,0,ROW()-1,60),ROW()-1,FALSE))</f>
        <v/>
      </c>
      <c r="K53">
        <f ca="1">IF(AND(ISNUMBER($K$305),$B$258=1),$K$305,HLOOKUP(INDIRECT(ADDRESS(2,COLUMN())),OFFSET($BN$2,0,0,ROW()-1,60),ROW()-1,FALSE))</f>
        <v>82.361999999999995</v>
      </c>
      <c r="L53">
        <f ca="1">IF(AND(ISNUMBER($L$305),$B$258=1),$L$305,HLOOKUP(INDIRECT(ADDRESS(2,COLUMN())),OFFSET($BN$2,0,0,ROW()-1,60),ROW()-1,FALSE))</f>
        <v>82.518000000000001</v>
      </c>
      <c r="M53">
        <f ca="1">IF(AND(ISNUMBER($M$305),$B$258=1),$M$305,HLOOKUP(INDIRECT(ADDRESS(2,COLUMN())),OFFSET($BN$2,0,0,ROW()-1,60),ROW()-1,FALSE))</f>
        <v>85.123999999999995</v>
      </c>
      <c r="N53">
        <f ca="1">IF(AND(ISNUMBER($N$305),$B$258=1),$N$305,HLOOKUP(INDIRECT(ADDRESS(2,COLUMN())),OFFSET($BN$2,0,0,ROW()-1,60),ROW()-1,FALSE))</f>
        <v>84.144000000000005</v>
      </c>
      <c r="O53">
        <f ca="1">IF(AND(ISNUMBER($O$305),$B$258=1),$O$305,HLOOKUP(INDIRECT(ADDRESS(2,COLUMN())),OFFSET($BN$2,0,0,ROW()-1,60),ROW()-1,FALSE))</f>
        <v>87.119</v>
      </c>
      <c r="P53">
        <f ca="1">IF(AND(ISNUMBER($P$305),$B$258=1),$P$305,HLOOKUP(INDIRECT(ADDRESS(2,COLUMN())),OFFSET($BN$2,0,0,ROW()-1,60),ROW()-1,FALSE))</f>
        <v>82.155000000000001</v>
      </c>
      <c r="Q53">
        <f ca="1">IF(AND(ISNUMBER($Q$305),$B$258=1),$Q$305,HLOOKUP(INDIRECT(ADDRESS(2,COLUMN())),OFFSET($BN$2,0,0,ROW()-1,60),ROW()-1,FALSE))</f>
        <v>78.968000000000004</v>
      </c>
      <c r="R53" t="str">
        <f ca="1">IF(AND(ISNUMBER($R$305),$B$258=1),$R$305,HLOOKUP(INDIRECT(ADDRESS(2,COLUMN())),OFFSET($BN$2,0,0,ROW()-1,60),ROW()-1,FALSE))</f>
        <v/>
      </c>
      <c r="S53" t="str">
        <f ca="1">IF(AND(ISNUMBER($S$305),$B$258=1),$S$305,HLOOKUP(INDIRECT(ADDRESS(2,COLUMN())),OFFSET($BN$2,0,0,ROW()-1,60),ROW()-1,FALSE))</f>
        <v/>
      </c>
      <c r="T53" t="str">
        <f ca="1">IF(AND(ISNUMBER($T$305),$B$258=1),$T$305,HLOOKUP(INDIRECT(ADDRESS(2,COLUMN())),OFFSET($BN$2,0,0,ROW()-1,60),ROW()-1,FALSE))</f>
        <v/>
      </c>
      <c r="U53" t="str">
        <f ca="1">IF(AND(ISNUMBER($U$305),$B$258=1),$U$305,HLOOKUP(INDIRECT(ADDRESS(2,COLUMN())),OFFSET($BN$2,0,0,ROW()-1,60),ROW()-1,FALSE))</f>
        <v/>
      </c>
      <c r="V53" t="str">
        <f ca="1">IF(AND(ISNUMBER($V$305),$B$258=1),$V$305,HLOOKUP(INDIRECT(ADDRESS(2,COLUMN())),OFFSET($BN$2,0,0,ROW()-1,60),ROW()-1,FALSE))</f>
        <v/>
      </c>
      <c r="W53" t="str">
        <f ca="1">IF(AND(ISNUMBER($W$305),$B$258=1),$W$305,HLOOKUP(INDIRECT(ADDRESS(2,COLUMN())),OFFSET($BN$2,0,0,ROW()-1,60),ROW()-1,FALSE))</f>
        <v/>
      </c>
      <c r="X53" t="str">
        <f ca="1">IF(AND(ISNUMBER($X$305),$B$258=1),$X$305,HLOOKUP(INDIRECT(ADDRESS(2,COLUMN())),OFFSET($BN$2,0,0,ROW()-1,60),ROW()-1,FALSE))</f>
        <v/>
      </c>
      <c r="Y53" t="str">
        <f ca="1">IF(AND(ISNUMBER($Y$305),$B$258=1),$Y$305,HLOOKUP(INDIRECT(ADDRESS(2,COLUMN())),OFFSET($BN$2,0,0,ROW()-1,60),ROW()-1,FALSE))</f>
        <v/>
      </c>
      <c r="Z53" t="str">
        <f ca="1">IF(AND(ISNUMBER($Z$305),$B$258=1),$Z$305,HLOOKUP(INDIRECT(ADDRESS(2,COLUMN())),OFFSET($BN$2,0,0,ROW()-1,60),ROW()-1,FALSE))</f>
        <v/>
      </c>
      <c r="AA53" t="str">
        <f ca="1">IF(AND(ISNUMBER($AA$305),$B$258=1),$AA$305,HLOOKUP(INDIRECT(ADDRESS(2,COLUMN())),OFFSET($BN$2,0,0,ROW()-1,60),ROW()-1,FALSE))</f>
        <v/>
      </c>
      <c r="AB53" t="str">
        <f ca="1">IF(AND(ISNUMBER($AB$305),$B$258=1),$AB$305,HLOOKUP(INDIRECT(ADDRESS(2,COLUMN())),OFFSET($BN$2,0,0,ROW()-1,60),ROW()-1,FALSE))</f>
        <v/>
      </c>
      <c r="AC53" t="str">
        <f ca="1">IF(AND(ISNUMBER($AC$305),$B$258=1),$AC$305,HLOOKUP(INDIRECT(ADDRESS(2,COLUMN())),OFFSET($BN$2,0,0,ROW()-1,60),ROW()-1,FALSE))</f>
        <v/>
      </c>
      <c r="AD53" t="str">
        <f ca="1">IF(AND(ISNUMBER($AD$305),$B$258=1),$AD$305,HLOOKUP(INDIRECT(ADDRESS(2,COLUMN())),OFFSET($BN$2,0,0,ROW()-1,60),ROW()-1,FALSE))</f>
        <v/>
      </c>
      <c r="AE53" t="str">
        <f ca="1">IF(AND(ISNUMBER($AE$305),$B$258=1),$AE$305,HLOOKUP(INDIRECT(ADDRESS(2,COLUMN())),OFFSET($BN$2,0,0,ROW()-1,60),ROW()-1,FALSE))</f>
        <v/>
      </c>
      <c r="AF53" t="str">
        <f ca="1">IF(AND(ISNUMBER($AF$305),$B$258=1),$AF$305,HLOOKUP(INDIRECT(ADDRESS(2,COLUMN())),OFFSET($BN$2,0,0,ROW()-1,60),ROW()-1,FALSE))</f>
        <v/>
      </c>
      <c r="AG53" t="str">
        <f ca="1">IF(AND(ISNUMBER($AG$305),$B$258=1),$AG$305,HLOOKUP(INDIRECT(ADDRESS(2,COLUMN())),OFFSET($BN$2,0,0,ROW()-1,60),ROW()-1,FALSE))</f>
        <v/>
      </c>
      <c r="AH53" t="str">
        <f ca="1">IF(AND(ISNUMBER($AH$305),$B$258=1),$AH$305,HLOOKUP(INDIRECT(ADDRESS(2,COLUMN())),OFFSET($BN$2,0,0,ROW()-1,60),ROW()-1,FALSE))</f>
        <v/>
      </c>
      <c r="AI53" t="str">
        <f ca="1">IF(AND(ISNUMBER($AI$305),$B$258=1),$AI$305,HLOOKUP(INDIRECT(ADDRESS(2,COLUMN())),OFFSET($BN$2,0,0,ROW()-1,60),ROW()-1,FALSE))</f>
        <v/>
      </c>
      <c r="AJ53" t="str">
        <f ca="1">IF(AND(ISNUMBER($AJ$305),$B$258=1),$AJ$305,HLOOKUP(INDIRECT(ADDRESS(2,COLUMN())),OFFSET($BN$2,0,0,ROW()-1,60),ROW()-1,FALSE))</f>
        <v/>
      </c>
      <c r="AK53" t="str">
        <f ca="1">IF(AND(ISNUMBER($AK$305),$B$258=1),$AK$305,HLOOKUP(INDIRECT(ADDRESS(2,COLUMN())),OFFSET($BN$2,0,0,ROW()-1,60),ROW()-1,FALSE))</f>
        <v/>
      </c>
      <c r="AL53" t="str">
        <f ca="1">IF(AND(ISNUMBER($AL$305),$B$258=1),$AL$305,HLOOKUP(INDIRECT(ADDRESS(2,COLUMN())),OFFSET($BN$2,0,0,ROW()-1,60),ROW()-1,FALSE))</f>
        <v/>
      </c>
      <c r="AM53" t="str">
        <f ca="1">IF(AND(ISNUMBER($AM$305),$B$258=1),$AM$305,HLOOKUP(INDIRECT(ADDRESS(2,COLUMN())),OFFSET($BN$2,0,0,ROW()-1,60),ROW()-1,FALSE))</f>
        <v/>
      </c>
      <c r="AN53" t="str">
        <f ca="1">IF(AND(ISNUMBER($AN$305),$B$258=1),$AN$305,HLOOKUP(INDIRECT(ADDRESS(2,COLUMN())),OFFSET($BN$2,0,0,ROW()-1,60),ROW()-1,FALSE))</f>
        <v/>
      </c>
      <c r="AO53" t="str">
        <f ca="1">IF(AND(ISNUMBER($AO$305),$B$258=1),$AO$305,HLOOKUP(INDIRECT(ADDRESS(2,COLUMN())),OFFSET($BN$2,0,0,ROW()-1,60),ROW()-1,FALSE))</f>
        <v/>
      </c>
      <c r="AP53" t="str">
        <f ca="1">IF(AND(ISNUMBER($AP$305),$B$258=1),$AP$305,HLOOKUP(INDIRECT(ADDRESS(2,COLUMN())),OFFSET($BN$2,0,0,ROW()-1,60),ROW()-1,FALSE))</f>
        <v/>
      </c>
      <c r="AQ53" t="str">
        <f ca="1">IF(AND(ISNUMBER($AQ$305),$B$258=1),$AQ$305,HLOOKUP(INDIRECT(ADDRESS(2,COLUMN())),OFFSET($BN$2,0,0,ROW()-1,60),ROW()-1,FALSE))</f>
        <v/>
      </c>
      <c r="AR53" t="str">
        <f ca="1">IF(AND(ISNUMBER($AR$305),$B$258=1),$AR$305,HLOOKUP(INDIRECT(ADDRESS(2,COLUMN())),OFFSET($BN$2,0,0,ROW()-1,60),ROW()-1,FALSE))</f>
        <v/>
      </c>
      <c r="AS53" t="str">
        <f ca="1">IF(AND(ISNUMBER($AS$305),$B$258=1),$AS$305,HLOOKUP(INDIRECT(ADDRESS(2,COLUMN())),OFFSET($BN$2,0,0,ROW()-1,60),ROW()-1,FALSE))</f>
        <v/>
      </c>
      <c r="AT53" t="str">
        <f ca="1">IF(AND(ISNUMBER($AT$305),$B$258=1),$AT$305,HLOOKUP(INDIRECT(ADDRESS(2,COLUMN())),OFFSET($BN$2,0,0,ROW()-1,60),ROW()-1,FALSE))</f>
        <v/>
      </c>
      <c r="AU53" t="str">
        <f ca="1">IF(AND(ISNUMBER($AU$305),$B$258=1),$AU$305,HLOOKUP(INDIRECT(ADDRESS(2,COLUMN())),OFFSET($BN$2,0,0,ROW()-1,60),ROW()-1,FALSE))</f>
        <v/>
      </c>
      <c r="AV53" t="str">
        <f ca="1">IF(AND(ISNUMBER($AV$305),$B$258=1),$AV$305,HLOOKUP(INDIRECT(ADDRESS(2,COLUMN())),OFFSET($BN$2,0,0,ROW()-1,60),ROW()-1,FALSE))</f>
        <v/>
      </c>
      <c r="AW53" t="str">
        <f ca="1">IF(AND(ISNUMBER($AW$305),$B$258=1),$AW$305,HLOOKUP(INDIRECT(ADDRESS(2,COLUMN())),OFFSET($BN$2,0,0,ROW()-1,60),ROW()-1,FALSE))</f>
        <v/>
      </c>
      <c r="AX53" t="str">
        <f ca="1">IF(AND(ISNUMBER($AX$305),$B$258=1),$AX$305,HLOOKUP(INDIRECT(ADDRESS(2,COLUMN())),OFFSET($BN$2,0,0,ROW()-1,60),ROW()-1,FALSE))</f>
        <v/>
      </c>
      <c r="AY53" t="str">
        <f ca="1">IF(AND(ISNUMBER($AY$305),$B$258=1),$AY$305,HLOOKUP(INDIRECT(ADDRESS(2,COLUMN())),OFFSET($BN$2,0,0,ROW()-1,60),ROW()-1,FALSE))</f>
        <v/>
      </c>
      <c r="AZ53" t="str">
        <f ca="1">IF(AND(ISNUMBER($AZ$305),$B$258=1),$AZ$305,HLOOKUP(INDIRECT(ADDRESS(2,COLUMN())),OFFSET($BN$2,0,0,ROW()-1,60),ROW()-1,FALSE))</f>
        <v/>
      </c>
      <c r="BA53" t="str">
        <f ca="1">IF(AND(ISNUMBER($BA$305),$B$258=1),$BA$305,HLOOKUP(INDIRECT(ADDRESS(2,COLUMN())),OFFSET($BN$2,0,0,ROW()-1,60),ROW()-1,FALSE))</f>
        <v/>
      </c>
      <c r="BB53" t="str">
        <f ca="1">IF(AND(ISNUMBER($BB$305),$B$258=1),$BB$305,HLOOKUP(INDIRECT(ADDRESS(2,COLUMN())),OFFSET($BN$2,0,0,ROW()-1,60),ROW()-1,FALSE))</f>
        <v/>
      </c>
      <c r="BC53" t="str">
        <f ca="1">IF(AND(ISNUMBER($BC$305),$B$258=1),$BC$305,HLOOKUP(INDIRECT(ADDRESS(2,COLUMN())),OFFSET($BN$2,0,0,ROW()-1,60),ROW()-1,FALSE))</f>
        <v/>
      </c>
      <c r="BD53" t="str">
        <f ca="1">IF(AND(ISNUMBER($BD$305),$B$258=1),$BD$305,HLOOKUP(INDIRECT(ADDRESS(2,COLUMN())),OFFSET($BN$2,0,0,ROW()-1,60),ROW()-1,FALSE))</f>
        <v/>
      </c>
      <c r="BE53" t="str">
        <f ca="1">IF(AND(ISNUMBER($BE$305),$B$258=1),$BE$305,HLOOKUP(INDIRECT(ADDRESS(2,COLUMN())),OFFSET($BN$2,0,0,ROW()-1,60),ROW()-1,FALSE))</f>
        <v/>
      </c>
      <c r="BF53" t="str">
        <f ca="1">IF(AND(ISNUMBER($BF$305),$B$258=1),$BF$305,HLOOKUP(INDIRECT(ADDRESS(2,COLUMN())),OFFSET($BN$2,0,0,ROW()-1,60),ROW()-1,FALSE))</f>
        <v/>
      </c>
      <c r="BG53" t="str">
        <f ca="1">IF(AND(ISNUMBER($BG$305),$B$258=1),$BG$305,HLOOKUP(INDIRECT(ADDRESS(2,COLUMN())),OFFSET($BN$2,0,0,ROW()-1,60),ROW()-1,FALSE))</f>
        <v/>
      </c>
      <c r="BH53" t="str">
        <f ca="1">IF(AND(ISNUMBER($BH$305),$B$258=1),$BH$305,HLOOKUP(INDIRECT(ADDRESS(2,COLUMN())),OFFSET($BN$2,0,0,ROW()-1,60),ROW()-1,FALSE))</f>
        <v/>
      </c>
      <c r="BI53" t="str">
        <f ca="1">IF(AND(ISNUMBER($BI$305),$B$258=1),$BI$305,HLOOKUP(INDIRECT(ADDRESS(2,COLUMN())),OFFSET($BN$2,0,0,ROW()-1,60),ROW()-1,FALSE))</f>
        <v/>
      </c>
      <c r="BJ53" t="str">
        <f ca="1">IF(AND(ISNUMBER($BJ$305),$B$258=1),$BJ$305,HLOOKUP(INDIRECT(ADDRESS(2,COLUMN())),OFFSET($BN$2,0,0,ROW()-1,60),ROW()-1,FALSE))</f>
        <v/>
      </c>
      <c r="BK53" t="str">
        <f ca="1">IF(AND(ISNUMBER($BK$305),$B$258=1),$BK$305,HLOOKUP(INDIRECT(ADDRESS(2,COLUMN())),OFFSET($BN$2,0,0,ROW()-1,60),ROW()-1,FALSE))</f>
        <v/>
      </c>
      <c r="BL53" t="str">
        <f ca="1">IF(AND(ISNUMBER($BL$305),$B$258=1),$BL$305,HLOOKUP(INDIRECT(ADDRESS(2,COLUMN())),OFFSET($BN$2,0,0,ROW()-1,60),ROW()-1,FALSE))</f>
        <v/>
      </c>
      <c r="BM53" t="str">
        <f ca="1">IF(AND(ISNUMBER($BM$305),$B$258=1),$BM$305,HLOOKUP(INDIRECT(ADDRESS(2,COLUMN())),OFFSET($BN$2,0,0,ROW()-1,60),ROW()-1,FALSE))</f>
        <v/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>
        <f>82.362</f>
        <v>82.361999999999995</v>
      </c>
      <c r="BT53">
        <f>82.518</f>
        <v>82.518000000000001</v>
      </c>
      <c r="BU53">
        <f>85.124</f>
        <v>85.123999999999995</v>
      </c>
      <c r="BV53">
        <f>84.144</f>
        <v>84.144000000000005</v>
      </c>
      <c r="BW53">
        <f>87.119</f>
        <v>87.119</v>
      </c>
      <c r="BX53">
        <f>82.155</f>
        <v>82.155000000000001</v>
      </c>
      <c r="BY53">
        <f>78.968</f>
        <v>78.968000000000004</v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  <c r="CI53" t="str">
        <f>""</f>
        <v/>
      </c>
      <c r="CJ53" t="str">
        <f>""</f>
        <v/>
      </c>
      <c r="CK53" t="str">
        <f>""</f>
        <v/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>
      <c r="A54" t="str">
        <f>"    HCP Inc"</f>
        <v xml:space="preserve">    HCP Inc</v>
      </c>
      <c r="B54" t="str">
        <f>"HCP US Equity"</f>
        <v>HCP US Equity</v>
      </c>
      <c r="C54" t="str">
        <f t="shared" si="12"/>
        <v>RR502</v>
      </c>
      <c r="D54" t="str">
        <f t="shared" si="13"/>
        <v>NET_OPER_INCOME</v>
      </c>
      <c r="E54" t="str">
        <f t="shared" si="14"/>
        <v>动态</v>
      </c>
      <c r="F54" t="str">
        <f ca="1">IF(AND(ISNUMBER($F$306),$B$258=1),$F$306,HLOOKUP(INDIRECT(ADDRESS(2,COLUMN())),OFFSET($BN$2,0,0,ROW()-1,60),ROW()-1,FALSE))</f>
        <v/>
      </c>
      <c r="G54">
        <f ca="1">IF(AND(ISNUMBER($G$306),$B$258=1),$G$306,HLOOKUP(INDIRECT(ADDRESS(2,COLUMN())),OFFSET($BN$2,0,0,ROW()-1,60),ROW()-1,FALSE))</f>
        <v>239.327</v>
      </c>
      <c r="H54">
        <f ca="1">IF(AND(ISNUMBER($H$306),$B$258=1),$H$306,HLOOKUP(INDIRECT(ADDRESS(2,COLUMN())),OFFSET($BN$2,0,0,ROW()-1,60),ROW()-1,FALSE))</f>
        <v>286.911</v>
      </c>
      <c r="I54">
        <f ca="1">IF(AND(ISNUMBER($I$306),$B$258=1),$I$306,HLOOKUP(INDIRECT(ADDRESS(2,COLUMN())),OFFSET($BN$2,0,0,ROW()-1,60),ROW()-1,FALSE))</f>
        <v>284.89600000000002</v>
      </c>
      <c r="J54">
        <f ca="1">IF(AND(ISNUMBER($J$306),$B$258=1),$J$306,HLOOKUP(INDIRECT(ADDRESS(2,COLUMN())),OFFSET($BN$2,0,0,ROW()-1,60),ROW()-1,FALSE))</f>
        <v>314.75599999999997</v>
      </c>
      <c r="K54">
        <f ca="1">IF(AND(ISNUMBER($K$306),$B$258=1),$K$306,HLOOKUP(INDIRECT(ADDRESS(2,COLUMN())),OFFSET($BN$2,0,0,ROW()-1,60),ROW()-1,FALSE))</f>
        <v>326.79199999999997</v>
      </c>
      <c r="L54">
        <f ca="1">IF(AND(ISNUMBER($L$306),$B$258=1),$L$306,HLOOKUP(INDIRECT(ADDRESS(2,COLUMN())),OFFSET($BN$2,0,0,ROW()-1,60),ROW()-1,FALSE))</f>
        <v>445.041</v>
      </c>
      <c r="M54">
        <f ca="1">IF(AND(ISNUMBER($M$306),$B$258=1),$M$306,HLOOKUP(INDIRECT(ADDRESS(2,COLUMN())),OFFSET($BN$2,0,0,ROW()-1,60),ROW()-1,FALSE))</f>
        <v>449.26400000000001</v>
      </c>
      <c r="N54">
        <f ca="1">IF(AND(ISNUMBER($N$306),$B$258=1),$N$306,HLOOKUP(INDIRECT(ADDRESS(2,COLUMN())),OFFSET($BN$2,0,0,ROW()-1,60),ROW()-1,FALSE))</f>
        <v>445.798</v>
      </c>
      <c r="O54">
        <f ca="1">IF(AND(ISNUMBER($O$306),$B$258=1),$O$306,HLOOKUP(INDIRECT(ADDRESS(2,COLUMN())),OFFSET($BN$2,0,0,ROW()-1,60),ROW()-1,FALSE))</f>
        <v>325.52499999999998</v>
      </c>
      <c r="P54">
        <f ca="1">IF(AND(ISNUMBER($P$306),$B$258=1),$P$306,HLOOKUP(INDIRECT(ADDRESS(2,COLUMN())),OFFSET($BN$2,0,0,ROW()-1,60),ROW()-1,FALSE))</f>
        <v>464.142</v>
      </c>
      <c r="Q54">
        <f ca="1">IF(AND(ISNUMBER($Q$306),$B$258=1),$Q$306,HLOOKUP(INDIRECT(ADDRESS(2,COLUMN())),OFFSET($BN$2,0,0,ROW()-1,60),ROW()-1,FALSE))</f>
        <v>435.245</v>
      </c>
      <c r="R54">
        <f ca="1">IF(AND(ISNUMBER($R$306),$B$258=1),$R$306,HLOOKUP(INDIRECT(ADDRESS(2,COLUMN())),OFFSET($BN$2,0,0,ROW()-1,60),ROW()-1,FALSE))</f>
        <v>445.49799999999999</v>
      </c>
      <c r="S54">
        <f ca="1">IF(AND(ISNUMBER($S$306),$B$258=1),$S$306,HLOOKUP(INDIRECT(ADDRESS(2,COLUMN())),OFFSET($BN$2,0,0,ROW()-1,60),ROW()-1,FALSE))</f>
        <v>449.75700000000001</v>
      </c>
      <c r="T54">
        <f ca="1">IF(AND(ISNUMBER($T$306),$B$258=1),$T$306,HLOOKUP(INDIRECT(ADDRESS(2,COLUMN())),OFFSET($BN$2,0,0,ROW()-1,60),ROW()-1,FALSE))</f>
        <v>479.52199999999999</v>
      </c>
      <c r="U54">
        <f ca="1">IF(AND(ISNUMBER($U$306),$B$258=1),$U$306,HLOOKUP(INDIRECT(ADDRESS(2,COLUMN())),OFFSET($BN$2,0,0,ROW()-1,60),ROW()-1,FALSE))</f>
        <v>440.31700000000001</v>
      </c>
      <c r="V54">
        <f ca="1">IF(AND(ISNUMBER($V$306),$B$258=1),$V$306,HLOOKUP(INDIRECT(ADDRESS(2,COLUMN())),OFFSET($BN$2,0,0,ROW()-1,60),ROW()-1,FALSE))</f>
        <v>437.589</v>
      </c>
      <c r="W54">
        <f ca="1">IF(AND(ISNUMBER($W$306),$B$258=1),$W$306,HLOOKUP(INDIRECT(ADDRESS(2,COLUMN())),OFFSET($BN$2,0,0,ROW()-1,60),ROW()-1,FALSE))</f>
        <v>436.45699999999999</v>
      </c>
      <c r="X54">
        <f ca="1">IF(AND(ISNUMBER($X$306),$B$258=1),$X$306,HLOOKUP(INDIRECT(ADDRESS(2,COLUMN())),OFFSET($BN$2,0,0,ROW()-1,60),ROW()-1,FALSE))</f>
        <v>425.31099999999998</v>
      </c>
      <c r="Y54">
        <f ca="1">IF(AND(ISNUMBER($Y$306),$B$258=1),$Y$306,HLOOKUP(INDIRECT(ADDRESS(2,COLUMN())),OFFSET($BN$2,0,0,ROW()-1,60),ROW()-1,FALSE))</f>
        <v>424.20499999999998</v>
      </c>
      <c r="Z54">
        <f ca="1">IF(AND(ISNUMBER($Z$306),$B$258=1),$Z$306,HLOOKUP(INDIRECT(ADDRESS(2,COLUMN())),OFFSET($BN$2,0,0,ROW()-1,60),ROW()-1,FALSE))</f>
        <v>426.11399999999998</v>
      </c>
      <c r="AA54">
        <f ca="1">IF(AND(ISNUMBER($AA$306),$B$258=1),$AA$306,HLOOKUP(INDIRECT(ADDRESS(2,COLUMN())),OFFSET($BN$2,0,0,ROW()-1,60),ROW()-1,FALSE))</f>
        <v>417.72399999999999</v>
      </c>
      <c r="AB54">
        <f ca="1">IF(AND(ISNUMBER($AB$306),$B$258=1),$AB$306,HLOOKUP(INDIRECT(ADDRESS(2,COLUMN())),OFFSET($BN$2,0,0,ROW()-1,60),ROW()-1,FALSE))</f>
        <v>385.13499999999999</v>
      </c>
      <c r="AC54">
        <f ca="1">IF(AND(ISNUMBER($AC$306),$B$258=1),$AC$306,HLOOKUP(INDIRECT(ADDRESS(2,COLUMN())),OFFSET($BN$2,0,0,ROW()-1,60),ROW()-1,FALSE))</f>
        <v>393.13600000000002</v>
      </c>
      <c r="AD54">
        <f ca="1">IF(AND(ISNUMBER($AD$306),$B$258=1),$AD$306,HLOOKUP(INDIRECT(ADDRESS(2,COLUMN())),OFFSET($BN$2,0,0,ROW()-1,60),ROW()-1,FALSE))</f>
        <v>387.67500000000001</v>
      </c>
      <c r="AE54">
        <f ca="1">IF(AND(ISNUMBER($AE$306),$B$258=1),$AE$306,HLOOKUP(INDIRECT(ADDRESS(2,COLUMN())),OFFSET($BN$2,0,0,ROW()-1,60),ROW()-1,FALSE))</f>
        <v>388.56099999999998</v>
      </c>
      <c r="AF54">
        <f ca="1">IF(AND(ISNUMBER($AF$306),$B$258=1),$AF$306,HLOOKUP(INDIRECT(ADDRESS(2,COLUMN())),OFFSET($BN$2,0,0,ROW()-1,60),ROW()-1,FALSE))</f>
        <v>382.99</v>
      </c>
      <c r="AG54">
        <f ca="1">IF(AND(ISNUMBER($AG$306),$B$258=1),$AG$306,HLOOKUP(INDIRECT(ADDRESS(2,COLUMN())),OFFSET($BN$2,0,0,ROW()-1,60),ROW()-1,FALSE))</f>
        <v>380.98399999999998</v>
      </c>
      <c r="AH54">
        <f ca="1">IF(AND(ISNUMBER($AH$306),$B$258=1),$AH$306,HLOOKUP(INDIRECT(ADDRESS(2,COLUMN())),OFFSET($BN$2,0,0,ROW()-1,60),ROW()-1,FALSE))</f>
        <v>246.18700000000001</v>
      </c>
      <c r="AI54">
        <f ca="1">IF(AND(ISNUMBER($AI$306),$B$258=1),$AI$306,HLOOKUP(INDIRECT(ADDRESS(2,COLUMN())),OFFSET($BN$2,0,0,ROW()-1,60),ROW()-1,FALSE))</f>
        <v>230.46600000000001</v>
      </c>
      <c r="AJ54">
        <f ca="1">IF(AND(ISNUMBER($AJ$306),$B$258=1),$AJ$306,HLOOKUP(INDIRECT(ADDRESS(2,COLUMN())),OFFSET($BN$2,0,0,ROW()-1,60),ROW()-1,FALSE))</f>
        <v>220.041</v>
      </c>
      <c r="AK54">
        <f ca="1">IF(AND(ISNUMBER($AK$306),$B$258=1),$AK$306,HLOOKUP(INDIRECT(ADDRESS(2,COLUMN())),OFFSET($BN$2,0,0,ROW()-1,60),ROW()-1,FALSE))</f>
        <v>220.30500000000001</v>
      </c>
      <c r="AL54">
        <f ca="1">IF(AND(ISNUMBER($AL$306),$B$258=1),$AL$306,HLOOKUP(INDIRECT(ADDRESS(2,COLUMN())),OFFSET($BN$2,0,0,ROW()-1,60),ROW()-1,FALSE))</f>
        <v>213.46700000000001</v>
      </c>
      <c r="AM54">
        <f ca="1">IF(AND(ISNUMBER($AM$306),$B$258=1),$AM$306,HLOOKUP(INDIRECT(ADDRESS(2,COLUMN())),OFFSET($BN$2,0,0,ROW()-1,60),ROW()-1,FALSE))</f>
        <v>212.077</v>
      </c>
      <c r="AN54">
        <f ca="1">IF(AND(ISNUMBER($AN$306),$B$258=1),$AN$306,HLOOKUP(INDIRECT(ADDRESS(2,COLUMN())),OFFSET($BN$2,0,0,ROW()-1,60),ROW()-1,FALSE))</f>
        <v>206.97300000000001</v>
      </c>
      <c r="AO54">
        <f ca="1">IF(AND(ISNUMBER($AO$306),$B$258=1),$AO$306,HLOOKUP(INDIRECT(ADDRESS(2,COLUMN())),OFFSET($BN$2,0,0,ROW()-1,60),ROW()-1,FALSE))</f>
        <v>219.72</v>
      </c>
      <c r="AP54">
        <f ca="1">IF(AND(ISNUMBER($AP$306),$B$258=1),$AP$306,HLOOKUP(INDIRECT(ADDRESS(2,COLUMN())),OFFSET($BN$2,0,0,ROW()-1,60),ROW()-1,FALSE))</f>
        <v>202.286</v>
      </c>
      <c r="AQ54">
        <f ca="1">IF(AND(ISNUMBER($AQ$306),$B$258=1),$AQ$306,HLOOKUP(INDIRECT(ADDRESS(2,COLUMN())),OFFSET($BN$2,0,0,ROW()-1,60),ROW()-1,FALSE))</f>
        <v>213.16</v>
      </c>
      <c r="AR54">
        <f ca="1">IF(AND(ISNUMBER($AR$306),$B$258=1),$AR$306,HLOOKUP(INDIRECT(ADDRESS(2,COLUMN())),OFFSET($BN$2,0,0,ROW()-1,60),ROW()-1,FALSE))</f>
        <v>218.74799999999999</v>
      </c>
      <c r="AS54">
        <f ca="1">IF(AND(ISNUMBER($AS$306),$B$258=1),$AS$306,HLOOKUP(INDIRECT(ADDRESS(2,COLUMN())),OFFSET($BN$2,0,0,ROW()-1,60),ROW()-1,FALSE))</f>
        <v>202.32300000000001</v>
      </c>
      <c r="AT54">
        <f ca="1">IF(AND(ISNUMBER($AT$306),$B$258=1),$AT$306,HLOOKUP(INDIRECT(ADDRESS(2,COLUMN())),OFFSET($BN$2,0,0,ROW()-1,60),ROW()-1,FALSE))</f>
        <v>196.572</v>
      </c>
      <c r="AU54">
        <f ca="1">IF(AND(ISNUMBER($AU$306),$B$258=1),$AU$306,HLOOKUP(INDIRECT(ADDRESS(2,COLUMN())),OFFSET($BN$2,0,0,ROW()-1,60),ROW()-1,FALSE))</f>
        <v>189.42500000000001</v>
      </c>
      <c r="AV54">
        <f ca="1">IF(AND(ISNUMBER($AV$306),$B$258=1),$AV$306,HLOOKUP(INDIRECT(ADDRESS(2,COLUMN())),OFFSET($BN$2,0,0,ROW()-1,60),ROW()-1,FALSE))</f>
        <v>193.66499999999999</v>
      </c>
      <c r="AW54">
        <f ca="1">IF(AND(ISNUMBER($AW$306),$B$258=1),$AW$306,HLOOKUP(INDIRECT(ADDRESS(2,COLUMN())),OFFSET($BN$2,0,0,ROW()-1,60),ROW()-1,FALSE))</f>
        <v>169.63399999999999</v>
      </c>
      <c r="AX54">
        <f ca="1">IF(AND(ISNUMBER($AX$306),$B$258=1),$AX$306,HLOOKUP(INDIRECT(ADDRESS(2,COLUMN())),OFFSET($BN$2,0,0,ROW()-1,60),ROW()-1,FALSE))</f>
        <v>171.42599999999999</v>
      </c>
      <c r="AY54">
        <f ca="1">IF(AND(ISNUMBER($AY$306),$B$258=1),$AY$306,HLOOKUP(INDIRECT(ADDRESS(2,COLUMN())),OFFSET($BN$2,0,0,ROW()-1,60),ROW()-1,FALSE))</f>
        <v>156.91200000000001</v>
      </c>
      <c r="AZ54">
        <f ca="1">IF(AND(ISNUMBER($AZ$306),$B$258=1),$AZ$306,HLOOKUP(INDIRECT(ADDRESS(2,COLUMN())),OFFSET($BN$2,0,0,ROW()-1,60),ROW()-1,FALSE))</f>
        <v>93.01</v>
      </c>
      <c r="BA54">
        <f ca="1">IF(AND(ISNUMBER($BA$306),$B$258=1),$BA$306,HLOOKUP(INDIRECT(ADDRESS(2,COLUMN())),OFFSET($BN$2,0,0,ROW()-1,60),ROW()-1,FALSE))</f>
        <v>91.694000000000003</v>
      </c>
      <c r="BB54">
        <f ca="1">IF(AND(ISNUMBER($BB$306),$B$258=1),$BB$306,HLOOKUP(INDIRECT(ADDRESS(2,COLUMN())),OFFSET($BN$2,0,0,ROW()-1,60),ROW()-1,FALSE))</f>
        <v>89.745999999999995</v>
      </c>
      <c r="BC54">
        <f ca="1">IF(AND(ISNUMBER($BC$306),$B$258=1),$BC$306,HLOOKUP(INDIRECT(ADDRESS(2,COLUMN())),OFFSET($BN$2,0,0,ROW()-1,60),ROW()-1,FALSE))</f>
        <v>58.792000000000002</v>
      </c>
      <c r="BD54">
        <f ca="1">IF(AND(ISNUMBER($BD$306),$B$258=1),$BD$306,HLOOKUP(INDIRECT(ADDRESS(2,COLUMN())),OFFSET($BN$2,0,0,ROW()-1,60),ROW()-1,FALSE))</f>
        <v>98.575000000000003</v>
      </c>
      <c r="BE54">
        <f ca="1">IF(AND(ISNUMBER($BE$306),$B$258=1),$BE$306,HLOOKUP(INDIRECT(ADDRESS(2,COLUMN())),OFFSET($BN$2,0,0,ROW()-1,60),ROW()-1,FALSE))</f>
        <v>94.748999999999995</v>
      </c>
      <c r="BF54">
        <f ca="1">IF(AND(ISNUMBER($BF$306),$B$258=1),$BF$306,HLOOKUP(INDIRECT(ADDRESS(2,COLUMN())),OFFSET($BN$2,0,0,ROW()-1,60),ROW()-1,FALSE))</f>
        <v>88.555999999999997</v>
      </c>
      <c r="BG54">
        <f ca="1">IF(AND(ISNUMBER($BG$306),$B$258=1),$BG$306,HLOOKUP(INDIRECT(ADDRESS(2,COLUMN())),OFFSET($BN$2,0,0,ROW()-1,60),ROW()-1,FALSE))</f>
        <v>85.316999999999993</v>
      </c>
      <c r="BH54">
        <f ca="1">IF(AND(ISNUMBER($BH$306),$B$258=1),$BH$306,HLOOKUP(INDIRECT(ADDRESS(2,COLUMN())),OFFSET($BN$2,0,0,ROW()-1,60),ROW()-1,FALSE))</f>
        <v>89.722999999999999</v>
      </c>
      <c r="BI54">
        <f ca="1">IF(AND(ISNUMBER($BI$306),$B$258=1),$BI$306,HLOOKUP(INDIRECT(ADDRESS(2,COLUMN())),OFFSET($BN$2,0,0,ROW()-1,60),ROW()-1,FALSE))</f>
        <v>85.158000000000001</v>
      </c>
      <c r="BJ54">
        <f ca="1">IF(AND(ISNUMBER($BJ$306),$B$258=1),$BJ$306,HLOOKUP(INDIRECT(ADDRESS(2,COLUMN())),OFFSET($BN$2,0,0,ROW()-1,60),ROW()-1,FALSE))</f>
        <v>78.652000000000001</v>
      </c>
      <c r="BK54">
        <f ca="1">IF(AND(ISNUMBER($BK$306),$B$258=1),$BK$306,HLOOKUP(INDIRECT(ADDRESS(2,COLUMN())),OFFSET($BN$2,0,0,ROW()-1,60),ROW()-1,FALSE))</f>
        <v>81.215999999999994</v>
      </c>
      <c r="BL54">
        <f ca="1">IF(AND(ISNUMBER($BL$306),$B$258=1),$BL$306,HLOOKUP(INDIRECT(ADDRESS(2,COLUMN())),OFFSET($BN$2,0,0,ROW()-1,60),ROW()-1,FALSE))</f>
        <v>74.519000000000005</v>
      </c>
      <c r="BM54">
        <f ca="1">IF(AND(ISNUMBER($BM$306),$B$258=1),$BM$306,HLOOKUP(INDIRECT(ADDRESS(2,COLUMN())),OFFSET($BN$2,0,0,ROW()-1,60),ROW()-1,FALSE))</f>
        <v>75.308999999999997</v>
      </c>
      <c r="BN54" t="str">
        <f>""</f>
        <v/>
      </c>
      <c r="BO54">
        <f>239.327</f>
        <v>239.327</v>
      </c>
      <c r="BP54">
        <f>286.911</f>
        <v>286.911</v>
      </c>
      <c r="BQ54">
        <f>284.896</f>
        <v>284.89600000000002</v>
      </c>
      <c r="BR54">
        <f>314.756</f>
        <v>314.75599999999997</v>
      </c>
      <c r="BS54">
        <f>326.792</f>
        <v>326.79199999999997</v>
      </c>
      <c r="BT54">
        <f>445.041</f>
        <v>445.041</v>
      </c>
      <c r="BU54">
        <f>449.264</f>
        <v>449.26400000000001</v>
      </c>
      <c r="BV54">
        <f>445.798</f>
        <v>445.798</v>
      </c>
      <c r="BW54">
        <f>325.525</f>
        <v>325.52499999999998</v>
      </c>
      <c r="BX54">
        <f>464.142</f>
        <v>464.142</v>
      </c>
      <c r="BY54">
        <f>435.245</f>
        <v>435.245</v>
      </c>
      <c r="BZ54">
        <f>445.498</f>
        <v>445.49799999999999</v>
      </c>
      <c r="CA54">
        <f>449.757</f>
        <v>449.75700000000001</v>
      </c>
      <c r="CB54">
        <f>479.522</f>
        <v>479.52199999999999</v>
      </c>
      <c r="CC54">
        <f>440.317</f>
        <v>440.31700000000001</v>
      </c>
      <c r="CD54">
        <f>437.589</f>
        <v>437.589</v>
      </c>
      <c r="CE54">
        <f>436.457</f>
        <v>436.45699999999999</v>
      </c>
      <c r="CF54">
        <f>425.311</f>
        <v>425.31099999999998</v>
      </c>
      <c r="CG54">
        <f>424.205</f>
        <v>424.20499999999998</v>
      </c>
      <c r="CH54">
        <f>426.114</f>
        <v>426.11399999999998</v>
      </c>
      <c r="CI54">
        <f>417.724</f>
        <v>417.72399999999999</v>
      </c>
      <c r="CJ54">
        <f>385.135</f>
        <v>385.13499999999999</v>
      </c>
      <c r="CK54">
        <f>393.136</f>
        <v>393.13600000000002</v>
      </c>
      <c r="CL54">
        <f>387.675</f>
        <v>387.67500000000001</v>
      </c>
      <c r="CM54">
        <f>388.561</f>
        <v>388.56099999999998</v>
      </c>
      <c r="CN54">
        <f>382.99</f>
        <v>382.99</v>
      </c>
      <c r="CO54">
        <f>380.984</f>
        <v>380.98399999999998</v>
      </c>
      <c r="CP54">
        <f>246.187</f>
        <v>246.18700000000001</v>
      </c>
      <c r="CQ54">
        <f>230.466</f>
        <v>230.46600000000001</v>
      </c>
      <c r="CR54">
        <f>220.041</f>
        <v>220.041</v>
      </c>
      <c r="CS54">
        <f>220.305</f>
        <v>220.30500000000001</v>
      </c>
      <c r="CT54">
        <f>213.467</f>
        <v>213.46700000000001</v>
      </c>
      <c r="CU54">
        <f>212.077</f>
        <v>212.077</v>
      </c>
      <c r="CV54">
        <f>206.973</f>
        <v>206.97300000000001</v>
      </c>
      <c r="CW54">
        <f>219.72</f>
        <v>219.72</v>
      </c>
      <c r="CX54">
        <f>202.286</f>
        <v>202.286</v>
      </c>
      <c r="CY54">
        <f>213.16</f>
        <v>213.16</v>
      </c>
      <c r="CZ54">
        <f>218.748</f>
        <v>218.74799999999999</v>
      </c>
      <c r="DA54">
        <f>202.323</f>
        <v>202.32300000000001</v>
      </c>
      <c r="DB54">
        <f>196.572</f>
        <v>196.572</v>
      </c>
      <c r="DC54">
        <f>189.425</f>
        <v>189.42500000000001</v>
      </c>
      <c r="DD54">
        <f>193.665</f>
        <v>193.66499999999999</v>
      </c>
      <c r="DE54">
        <f>169.634</f>
        <v>169.63399999999999</v>
      </c>
      <c r="DF54">
        <f>171.426</f>
        <v>171.42599999999999</v>
      </c>
      <c r="DG54">
        <f>156.912</f>
        <v>156.91200000000001</v>
      </c>
      <c r="DH54">
        <f>93.01</f>
        <v>93.01</v>
      </c>
      <c r="DI54">
        <f>91.694</f>
        <v>91.694000000000003</v>
      </c>
      <c r="DJ54">
        <f>89.746</f>
        <v>89.745999999999995</v>
      </c>
      <c r="DK54">
        <f>58.792</f>
        <v>58.792000000000002</v>
      </c>
      <c r="DL54">
        <f>98.575</f>
        <v>98.575000000000003</v>
      </c>
      <c r="DM54">
        <f>94.749</f>
        <v>94.748999999999995</v>
      </c>
      <c r="DN54">
        <f>88.556</f>
        <v>88.555999999999997</v>
      </c>
      <c r="DO54">
        <f>85.317</f>
        <v>85.316999999999993</v>
      </c>
      <c r="DP54">
        <f>89.723</f>
        <v>89.722999999999999</v>
      </c>
      <c r="DQ54">
        <f>85.158</f>
        <v>85.158000000000001</v>
      </c>
      <c r="DR54">
        <f>78.652</f>
        <v>78.652000000000001</v>
      </c>
      <c r="DS54">
        <f>81.216</f>
        <v>81.215999999999994</v>
      </c>
      <c r="DT54">
        <f>74.519</f>
        <v>74.519000000000005</v>
      </c>
      <c r="DU54">
        <f>75.309</f>
        <v>75.308999999999997</v>
      </c>
    </row>
    <row r="55" spans="1:125">
      <c r="A55" t="str">
        <f>"    Healthcare Realty Trust Inc"</f>
        <v xml:space="preserve">    Healthcare Realty Trust Inc</v>
      </c>
      <c r="B55" t="str">
        <f>"HR US Equity"</f>
        <v>HR US Equity</v>
      </c>
      <c r="C55" t="str">
        <f t="shared" si="12"/>
        <v>RR502</v>
      </c>
      <c r="D55" t="str">
        <f t="shared" si="13"/>
        <v>NET_OPER_INCOME</v>
      </c>
      <c r="E55" t="str">
        <f t="shared" si="14"/>
        <v>动态</v>
      </c>
      <c r="F55" t="str">
        <f ca="1">IF(AND(ISNUMBER($F$307),$B$258=1),$F$307,HLOOKUP(INDIRECT(ADDRESS(2,COLUMN())),OFFSET($BN$2,0,0,ROW()-1,60),ROW()-1,FALSE))</f>
        <v/>
      </c>
      <c r="G55">
        <f ca="1">IF(AND(ISNUMBER($G$307),$B$258=1),$G$307,HLOOKUP(INDIRECT(ADDRESS(2,COLUMN())),OFFSET($BN$2,0,0,ROW()-1,60),ROW()-1,FALSE))</f>
        <v>66.742999999999995</v>
      </c>
      <c r="H55">
        <f ca="1">IF(AND(ISNUMBER($H$307),$B$258=1),$H$307,HLOOKUP(INDIRECT(ADDRESS(2,COLUMN())),OFFSET($BN$2,0,0,ROW()-1,60),ROW()-1,FALSE))</f>
        <v>65.935000000000002</v>
      </c>
      <c r="I55">
        <f ca="1">IF(AND(ISNUMBER($I$307),$B$258=1),$I$307,HLOOKUP(INDIRECT(ADDRESS(2,COLUMN())),OFFSET($BN$2,0,0,ROW()-1,60),ROW()-1,FALSE))</f>
        <v>66.685000000000002</v>
      </c>
      <c r="J55">
        <f ca="1">IF(AND(ISNUMBER($J$307),$B$258=1),$J$307,HLOOKUP(INDIRECT(ADDRESS(2,COLUMN())),OFFSET($BN$2,0,0,ROW()-1,60),ROW()-1,FALSE))</f>
        <v>66.254000000000005</v>
      </c>
      <c r="K55">
        <f ca="1">IF(AND(ISNUMBER($K$307),$B$258=1),$K$307,HLOOKUP(INDIRECT(ADDRESS(2,COLUMN())),OFFSET($BN$2,0,0,ROW()-1,60),ROW()-1,FALSE))</f>
        <v>67.450999999999993</v>
      </c>
      <c r="L55">
        <f ca="1">IF(AND(ISNUMBER($L$307),$B$258=1),$L$307,HLOOKUP(INDIRECT(ADDRESS(2,COLUMN())),OFFSET($BN$2,0,0,ROW()-1,60),ROW()-1,FALSE))</f>
        <v>65.03</v>
      </c>
      <c r="M55">
        <f ca="1">IF(AND(ISNUMBER($M$307),$B$258=1),$M$307,HLOOKUP(INDIRECT(ADDRESS(2,COLUMN())),OFFSET($BN$2,0,0,ROW()-1,60),ROW()-1,FALSE))</f>
        <v>65.209000000000003</v>
      </c>
      <c r="N55">
        <f ca="1">IF(AND(ISNUMBER($N$307),$B$258=1),$N$307,HLOOKUP(INDIRECT(ADDRESS(2,COLUMN())),OFFSET($BN$2,0,0,ROW()-1,60),ROW()-1,FALSE))</f>
        <v>63.334000000000003</v>
      </c>
      <c r="O55">
        <f ca="1">IF(AND(ISNUMBER($O$307),$B$258=1),$O$307,HLOOKUP(INDIRECT(ADDRESS(2,COLUMN())),OFFSET($BN$2,0,0,ROW()-1,60),ROW()-1,FALSE))</f>
        <v>60.707999999999998</v>
      </c>
      <c r="P55">
        <f ca="1">IF(AND(ISNUMBER($P$307),$B$258=1),$P$307,HLOOKUP(INDIRECT(ADDRESS(2,COLUMN())),OFFSET($BN$2,0,0,ROW()-1,60),ROW()-1,FALSE))</f>
        <v>60.136000000000003</v>
      </c>
      <c r="Q55">
        <f ca="1">IF(AND(ISNUMBER($Q$307),$B$258=1),$Q$307,HLOOKUP(INDIRECT(ADDRESS(2,COLUMN())),OFFSET($BN$2,0,0,ROW()-1,60),ROW()-1,FALSE))</f>
        <v>61.523000000000003</v>
      </c>
      <c r="R55">
        <f ca="1">IF(AND(ISNUMBER($R$307),$B$258=1),$R$307,HLOOKUP(INDIRECT(ADDRESS(2,COLUMN())),OFFSET($BN$2,0,0,ROW()-1,60),ROW()-1,FALSE))</f>
        <v>60.771000000000001</v>
      </c>
      <c r="S55">
        <f ca="1">IF(AND(ISNUMBER($S$307),$B$258=1),$S$307,HLOOKUP(INDIRECT(ADDRESS(2,COLUMN())),OFFSET($BN$2,0,0,ROW()-1,60),ROW()-1,FALSE))</f>
        <v>60.262</v>
      </c>
      <c r="T55">
        <f ca="1">IF(AND(ISNUMBER($T$307),$B$258=1),$T$307,HLOOKUP(INDIRECT(ADDRESS(2,COLUMN())),OFFSET($BN$2,0,0,ROW()-1,60),ROW()-1,FALSE))</f>
        <v>57.890999999999998</v>
      </c>
      <c r="U55">
        <f ca="1">IF(AND(ISNUMBER($U$307),$B$258=1),$U$307,HLOOKUP(INDIRECT(ADDRESS(2,COLUMN())),OFFSET($BN$2,0,0,ROW()-1,60),ROW()-1,FALSE))</f>
        <v>55.643999999999998</v>
      </c>
      <c r="V55">
        <f ca="1">IF(AND(ISNUMBER($V$307),$B$258=1),$V$307,HLOOKUP(INDIRECT(ADDRESS(2,COLUMN())),OFFSET($BN$2,0,0,ROW()-1,60),ROW()-1,FALSE))</f>
        <v>53.670999999999999</v>
      </c>
      <c r="W55">
        <f ca="1">IF(AND(ISNUMBER($W$307),$B$258=1),$W$307,HLOOKUP(INDIRECT(ADDRESS(2,COLUMN())),OFFSET($BN$2,0,0,ROW()-1,60),ROW()-1,FALSE))</f>
        <v>53.597999999999999</v>
      </c>
      <c r="X55">
        <f ca="1">IF(AND(ISNUMBER($X$307),$B$258=1),$X$307,HLOOKUP(INDIRECT(ADDRESS(2,COLUMN())),OFFSET($BN$2,0,0,ROW()-1,60),ROW()-1,FALSE))</f>
        <v>45.917000000000002</v>
      </c>
      <c r="Y55">
        <f ca="1">IF(AND(ISNUMBER($Y$307),$B$258=1),$Y$307,HLOOKUP(INDIRECT(ADDRESS(2,COLUMN())),OFFSET($BN$2,0,0,ROW()-1,60),ROW()-1,FALSE))</f>
        <v>47.387</v>
      </c>
      <c r="Z55">
        <f ca="1">IF(AND(ISNUMBER($Z$307),$B$258=1),$Z$307,HLOOKUP(INDIRECT(ADDRESS(2,COLUMN())),OFFSET($BN$2,0,0,ROW()-1,60),ROW()-1,FALSE))</f>
        <v>46.427999999999997</v>
      </c>
      <c r="AA55">
        <f ca="1">IF(AND(ISNUMBER($AA$307),$B$258=1),$AA$307,HLOOKUP(INDIRECT(ADDRESS(2,COLUMN())),OFFSET($BN$2,0,0,ROW()-1,60),ROW()-1,FALSE))</f>
        <v>44.356000000000002</v>
      </c>
      <c r="AB55">
        <f ca="1">IF(AND(ISNUMBER($AB$307),$B$258=1),$AB$307,HLOOKUP(INDIRECT(ADDRESS(2,COLUMN())),OFFSET($BN$2,0,0,ROW()-1,60),ROW()-1,FALSE))</f>
        <v>43.436999999999998</v>
      </c>
      <c r="AC55">
        <f ca="1">IF(AND(ISNUMBER($AC$307),$B$258=1),$AC$307,HLOOKUP(INDIRECT(ADDRESS(2,COLUMN())),OFFSET($BN$2,0,0,ROW()-1,60),ROW()-1,FALSE))</f>
        <v>45.033999999999999</v>
      </c>
      <c r="AD55">
        <f ca="1">IF(AND(ISNUMBER($AD$307),$B$258=1),$AD$307,HLOOKUP(INDIRECT(ADDRESS(2,COLUMN())),OFFSET($BN$2,0,0,ROW()-1,60),ROW()-1,FALSE))</f>
        <v>43.814</v>
      </c>
      <c r="AE55">
        <f ca="1">IF(AND(ISNUMBER($AE$307),$B$258=1),$AE$307,HLOOKUP(INDIRECT(ADDRESS(2,COLUMN())),OFFSET($BN$2,0,0,ROW()-1,60),ROW()-1,FALSE))</f>
        <v>43.808999999999997</v>
      </c>
      <c r="AF55">
        <f ca="1">IF(AND(ISNUMBER($AF$307),$B$258=1),$AF$307,HLOOKUP(INDIRECT(ADDRESS(2,COLUMN())),OFFSET($BN$2,0,0,ROW()-1,60),ROW()-1,FALSE))</f>
        <v>39.933999999999997</v>
      </c>
      <c r="AG55">
        <f ca="1">IF(AND(ISNUMBER($AG$307),$B$258=1),$AG$307,HLOOKUP(INDIRECT(ADDRESS(2,COLUMN())),OFFSET($BN$2,0,0,ROW()-1,60),ROW()-1,FALSE))</f>
        <v>40.082000000000001</v>
      </c>
      <c r="AH55">
        <f ca="1">IF(AND(ISNUMBER($AH$307),$B$258=1),$AH$307,HLOOKUP(INDIRECT(ADDRESS(2,COLUMN())),OFFSET($BN$2,0,0,ROW()-1,60),ROW()-1,FALSE))</f>
        <v>40.213000000000001</v>
      </c>
      <c r="AI55">
        <f ca="1">IF(AND(ISNUMBER($AI$307),$B$258=1),$AI$307,HLOOKUP(INDIRECT(ADDRESS(2,COLUMN())),OFFSET($BN$2,0,0,ROW()-1,60),ROW()-1,FALSE))</f>
        <v>37.427999999999997</v>
      </c>
      <c r="AJ55">
        <f ca="1">IF(AND(ISNUMBER($AJ$307),$B$258=1),$AJ$307,HLOOKUP(INDIRECT(ADDRESS(2,COLUMN())),OFFSET($BN$2,0,0,ROW()-1,60),ROW()-1,FALSE))</f>
        <v>34.976999999999997</v>
      </c>
      <c r="AK55">
        <f ca="1">IF(AND(ISNUMBER($AK$307),$B$258=1),$AK$307,HLOOKUP(INDIRECT(ADDRESS(2,COLUMN())),OFFSET($BN$2,0,0,ROW()-1,60),ROW()-1,FALSE))</f>
        <v>37.127000000000002</v>
      </c>
      <c r="AL55">
        <f ca="1">IF(AND(ISNUMBER($AL$307),$B$258=1),$AL$307,HLOOKUP(INDIRECT(ADDRESS(2,COLUMN())),OFFSET($BN$2,0,0,ROW()-1,60),ROW()-1,FALSE))</f>
        <v>35.991</v>
      </c>
      <c r="AM55">
        <f ca="1">IF(AND(ISNUMBER($AM$307),$B$258=1),$AM$307,HLOOKUP(INDIRECT(ADDRESS(2,COLUMN())),OFFSET($BN$2,0,0,ROW()-1,60),ROW()-1,FALSE))</f>
        <v>35.545000000000002</v>
      </c>
      <c r="AN55">
        <f ca="1">IF(AND(ISNUMBER($AN$307),$B$258=1),$AN$307,HLOOKUP(INDIRECT(ADDRESS(2,COLUMN())),OFFSET($BN$2,0,0,ROW()-1,60),ROW()-1,FALSE))</f>
        <v>36.024000000000001</v>
      </c>
      <c r="AO55">
        <f ca="1">IF(AND(ISNUMBER($AO$307),$B$258=1),$AO$307,HLOOKUP(INDIRECT(ADDRESS(2,COLUMN())),OFFSET($BN$2,0,0,ROW()-1,60),ROW()-1,FALSE))</f>
        <v>36.667999999999999</v>
      </c>
      <c r="AP55">
        <f ca="1">IF(AND(ISNUMBER($AP$307),$B$258=1),$AP$307,HLOOKUP(INDIRECT(ADDRESS(2,COLUMN())),OFFSET($BN$2,0,0,ROW()-1,60),ROW()-1,FALSE))</f>
        <v>34.737000000000002</v>
      </c>
      <c r="AQ55">
        <f ca="1">IF(AND(ISNUMBER($AQ$307),$B$258=1),$AQ$307,HLOOKUP(INDIRECT(ADDRESS(2,COLUMN())),OFFSET($BN$2,0,0,ROW()-1,60),ROW()-1,FALSE))</f>
        <v>26.776</v>
      </c>
      <c r="AR55">
        <f ca="1">IF(AND(ISNUMBER($AR$307),$B$258=1),$AR$307,HLOOKUP(INDIRECT(ADDRESS(2,COLUMN())),OFFSET($BN$2,0,0,ROW()-1,60),ROW()-1,FALSE))</f>
        <v>28.385999999999999</v>
      </c>
      <c r="AS55">
        <f ca="1">IF(AND(ISNUMBER($AS$307),$B$258=1),$AS$307,HLOOKUP(INDIRECT(ADDRESS(2,COLUMN())),OFFSET($BN$2,0,0,ROW()-1,60),ROW()-1,FALSE))</f>
        <v>28.507999999999999</v>
      </c>
      <c r="AT55">
        <f ca="1">IF(AND(ISNUMBER($AT$307),$B$258=1),$AT$307,HLOOKUP(INDIRECT(ADDRESS(2,COLUMN())),OFFSET($BN$2,0,0,ROW()-1,60),ROW()-1,FALSE))</f>
        <v>29.576000000000001</v>
      </c>
      <c r="AU55">
        <f ca="1">IF(AND(ISNUMBER($AU$307),$B$258=1),$AU$307,HLOOKUP(INDIRECT(ADDRESS(2,COLUMN())),OFFSET($BN$2,0,0,ROW()-1,60),ROW()-1,FALSE))</f>
        <v>22.963000000000001</v>
      </c>
      <c r="AV55">
        <f ca="1">IF(AND(ISNUMBER($AV$307),$B$258=1),$AV$307,HLOOKUP(INDIRECT(ADDRESS(2,COLUMN())),OFFSET($BN$2,0,0,ROW()-1,60),ROW()-1,FALSE))</f>
        <v>26.949000000000002</v>
      </c>
      <c r="AW55">
        <f ca="1">IF(AND(ISNUMBER($AW$307),$B$258=1),$AW$307,HLOOKUP(INDIRECT(ADDRESS(2,COLUMN())),OFFSET($BN$2,0,0,ROW()-1,60),ROW()-1,FALSE))</f>
        <v>28.088999999999999</v>
      </c>
      <c r="AX55">
        <f ca="1">IF(AND(ISNUMBER($AX$307),$B$258=1),$AX$307,HLOOKUP(INDIRECT(ADDRESS(2,COLUMN())),OFFSET($BN$2,0,0,ROW()-1,60),ROW()-1,FALSE))</f>
        <v>29.306999999999999</v>
      </c>
      <c r="AY55">
        <f ca="1">IF(AND(ISNUMBER($AY$307),$B$258=1),$AY$307,HLOOKUP(INDIRECT(ADDRESS(2,COLUMN())),OFFSET($BN$2,0,0,ROW()-1,60),ROW()-1,FALSE))</f>
        <v>30.728000000000002</v>
      </c>
      <c r="AZ55">
        <f ca="1">IF(AND(ISNUMBER($AZ$307),$B$258=1),$AZ$307,HLOOKUP(INDIRECT(ADDRESS(2,COLUMN())),OFFSET($BN$2,0,0,ROW()-1,60),ROW()-1,FALSE))</f>
        <v>29.571999999999999</v>
      </c>
      <c r="BA55">
        <f ca="1">IF(AND(ISNUMBER($BA$307),$B$258=1),$BA$307,HLOOKUP(INDIRECT(ADDRESS(2,COLUMN())),OFFSET($BN$2,0,0,ROW()-1,60),ROW()-1,FALSE))</f>
        <v>29.295000000000002</v>
      </c>
      <c r="BB55">
        <f ca="1">IF(AND(ISNUMBER($BB$307),$B$258=1),$BB$307,HLOOKUP(INDIRECT(ADDRESS(2,COLUMN())),OFFSET($BN$2,0,0,ROW()-1,60),ROW()-1,FALSE))</f>
        <v>27.98</v>
      </c>
      <c r="BC55">
        <f ca="1">IF(AND(ISNUMBER($BC$307),$B$258=1),$BC$307,HLOOKUP(INDIRECT(ADDRESS(2,COLUMN())),OFFSET($BN$2,0,0,ROW()-1,60),ROW()-1,FALSE))</f>
        <v>34.540999999999997</v>
      </c>
      <c r="BD55">
        <f ca="1">IF(AND(ISNUMBER($BD$307),$B$258=1),$BD$307,HLOOKUP(INDIRECT(ADDRESS(2,COLUMN())),OFFSET($BN$2,0,0,ROW()-1,60),ROW()-1,FALSE))</f>
        <v>34.6</v>
      </c>
      <c r="BE55">
        <f ca="1">IF(AND(ISNUMBER($BE$307),$B$258=1),$BE$307,HLOOKUP(INDIRECT(ADDRESS(2,COLUMN())),OFFSET($BN$2,0,0,ROW()-1,60),ROW()-1,FALSE))</f>
        <v>31.015999999999998</v>
      </c>
      <c r="BF55">
        <f ca="1">IF(AND(ISNUMBER($BF$307),$B$258=1),$BF$307,HLOOKUP(INDIRECT(ADDRESS(2,COLUMN())),OFFSET($BN$2,0,0,ROW()-1,60),ROW()-1,FALSE))</f>
        <v>33.478999999999999</v>
      </c>
      <c r="BG55">
        <f ca="1">IF(AND(ISNUMBER($BG$307),$B$258=1),$BG$307,HLOOKUP(INDIRECT(ADDRESS(2,COLUMN())),OFFSET($BN$2,0,0,ROW()-1,60),ROW()-1,FALSE))</f>
        <v>18.297000000000001</v>
      </c>
      <c r="BH55">
        <f ca="1">IF(AND(ISNUMBER($BH$307),$B$258=1),$BH$307,HLOOKUP(INDIRECT(ADDRESS(2,COLUMN())),OFFSET($BN$2,0,0,ROW()-1,60),ROW()-1,FALSE))</f>
        <v>32.960999999999999</v>
      </c>
      <c r="BI55">
        <f ca="1">IF(AND(ISNUMBER($BI$307),$B$258=1),$BI$307,HLOOKUP(INDIRECT(ADDRESS(2,COLUMN())),OFFSET($BN$2,0,0,ROW()-1,60),ROW()-1,FALSE))</f>
        <v>31.164000000000001</v>
      </c>
      <c r="BJ55">
        <f ca="1">IF(AND(ISNUMBER($BJ$307),$B$258=1),$BJ$307,HLOOKUP(INDIRECT(ADDRESS(2,COLUMN())),OFFSET($BN$2,0,0,ROW()-1,60),ROW()-1,FALSE))</f>
        <v>28.556999999999999</v>
      </c>
      <c r="BK55">
        <f ca="1">IF(AND(ISNUMBER($BK$307),$B$258=1),$BK$307,HLOOKUP(INDIRECT(ADDRESS(2,COLUMN())),OFFSET($BN$2,0,0,ROW()-1,60),ROW()-1,FALSE))</f>
        <v>8.0350000000000001</v>
      </c>
      <c r="BL55">
        <f ca="1">IF(AND(ISNUMBER($BL$307),$B$258=1),$BL$307,HLOOKUP(INDIRECT(ADDRESS(2,COLUMN())),OFFSET($BN$2,0,0,ROW()-1,60),ROW()-1,FALSE))</f>
        <v>32.140998840000002</v>
      </c>
      <c r="BM55">
        <f ca="1">IF(AND(ISNUMBER($BM$307),$B$258=1),$BM$307,HLOOKUP(INDIRECT(ADDRESS(2,COLUMN())),OFFSET($BN$2,0,0,ROW()-1,60),ROW()-1,FALSE))</f>
        <v>35.289998050000001</v>
      </c>
      <c r="BN55" t="str">
        <f>""</f>
        <v/>
      </c>
      <c r="BO55">
        <f>66.743</f>
        <v>66.742999999999995</v>
      </c>
      <c r="BP55">
        <f>65.935</f>
        <v>65.935000000000002</v>
      </c>
      <c r="BQ55">
        <f>66.685</f>
        <v>66.685000000000002</v>
      </c>
      <c r="BR55">
        <f>66.254</f>
        <v>66.254000000000005</v>
      </c>
      <c r="BS55">
        <f>67.451</f>
        <v>67.450999999999993</v>
      </c>
      <c r="BT55">
        <f>65.03</f>
        <v>65.03</v>
      </c>
      <c r="BU55">
        <f>65.209</f>
        <v>65.209000000000003</v>
      </c>
      <c r="BV55">
        <f>63.334</f>
        <v>63.334000000000003</v>
      </c>
      <c r="BW55">
        <f>60.708</f>
        <v>60.707999999999998</v>
      </c>
      <c r="BX55">
        <f>60.136</f>
        <v>60.136000000000003</v>
      </c>
      <c r="BY55">
        <f>61.523</f>
        <v>61.523000000000003</v>
      </c>
      <c r="BZ55">
        <f>60.771</f>
        <v>60.771000000000001</v>
      </c>
      <c r="CA55">
        <f>60.262</f>
        <v>60.262</v>
      </c>
      <c r="CB55">
        <f>57.891</f>
        <v>57.890999999999998</v>
      </c>
      <c r="CC55">
        <f>55.644</f>
        <v>55.643999999999998</v>
      </c>
      <c r="CD55">
        <f>53.671</f>
        <v>53.670999999999999</v>
      </c>
      <c r="CE55">
        <f>53.598</f>
        <v>53.597999999999999</v>
      </c>
      <c r="CF55">
        <f>45.917</f>
        <v>45.917000000000002</v>
      </c>
      <c r="CG55">
        <f>47.387</f>
        <v>47.387</v>
      </c>
      <c r="CH55">
        <f>46.428</f>
        <v>46.427999999999997</v>
      </c>
      <c r="CI55">
        <f>44.356</f>
        <v>44.356000000000002</v>
      </c>
      <c r="CJ55">
        <f>43.437</f>
        <v>43.436999999999998</v>
      </c>
      <c r="CK55">
        <f>45.034</f>
        <v>45.033999999999999</v>
      </c>
      <c r="CL55">
        <f>43.814</f>
        <v>43.814</v>
      </c>
      <c r="CM55">
        <f>43.809</f>
        <v>43.808999999999997</v>
      </c>
      <c r="CN55">
        <f>39.934</f>
        <v>39.933999999999997</v>
      </c>
      <c r="CO55">
        <f>40.082</f>
        <v>40.082000000000001</v>
      </c>
      <c r="CP55">
        <f>40.213</f>
        <v>40.213000000000001</v>
      </c>
      <c r="CQ55">
        <f>37.428</f>
        <v>37.427999999999997</v>
      </c>
      <c r="CR55">
        <f>34.977</f>
        <v>34.976999999999997</v>
      </c>
      <c r="CS55">
        <f>37.127</f>
        <v>37.127000000000002</v>
      </c>
      <c r="CT55">
        <f>35.991</f>
        <v>35.991</v>
      </c>
      <c r="CU55">
        <f>35.545</f>
        <v>35.545000000000002</v>
      </c>
      <c r="CV55">
        <f>36.024</f>
        <v>36.024000000000001</v>
      </c>
      <c r="CW55">
        <f>36.668</f>
        <v>36.667999999999999</v>
      </c>
      <c r="CX55">
        <f>34.737</f>
        <v>34.737000000000002</v>
      </c>
      <c r="CY55">
        <f>26.776</f>
        <v>26.776</v>
      </c>
      <c r="CZ55">
        <f>28.386</f>
        <v>28.385999999999999</v>
      </c>
      <c r="DA55">
        <f>28.508</f>
        <v>28.507999999999999</v>
      </c>
      <c r="DB55">
        <f>29.576</f>
        <v>29.576000000000001</v>
      </c>
      <c r="DC55">
        <f>22.963</f>
        <v>22.963000000000001</v>
      </c>
      <c r="DD55">
        <f>26.949</f>
        <v>26.949000000000002</v>
      </c>
      <c r="DE55">
        <f>28.089</f>
        <v>28.088999999999999</v>
      </c>
      <c r="DF55">
        <f>29.307</f>
        <v>29.306999999999999</v>
      </c>
      <c r="DG55">
        <f>30.728</f>
        <v>30.728000000000002</v>
      </c>
      <c r="DH55">
        <f>29.572</f>
        <v>29.571999999999999</v>
      </c>
      <c r="DI55">
        <f>29.295</f>
        <v>29.295000000000002</v>
      </c>
      <c r="DJ55">
        <f>27.98</f>
        <v>27.98</v>
      </c>
      <c r="DK55">
        <f>34.541</f>
        <v>34.540999999999997</v>
      </c>
      <c r="DL55">
        <f>34.6</f>
        <v>34.6</v>
      </c>
      <c r="DM55">
        <f>31.016</f>
        <v>31.015999999999998</v>
      </c>
      <c r="DN55">
        <f>33.479</f>
        <v>33.478999999999999</v>
      </c>
      <c r="DO55">
        <f>18.297</f>
        <v>18.297000000000001</v>
      </c>
      <c r="DP55">
        <f>32.961</f>
        <v>32.960999999999999</v>
      </c>
      <c r="DQ55">
        <f>31.164</f>
        <v>31.164000000000001</v>
      </c>
      <c r="DR55">
        <f>28.557</f>
        <v>28.556999999999999</v>
      </c>
      <c r="DS55">
        <f>8.035</f>
        <v>8.0350000000000001</v>
      </c>
      <c r="DT55">
        <f>32.14099884</f>
        <v>32.140998840000002</v>
      </c>
      <c r="DU55">
        <f>35.28999805</f>
        <v>35.289998050000001</v>
      </c>
    </row>
    <row r="56" spans="1:125">
      <c r="A56" t="str">
        <f>"    Healthcare Trust of America In"</f>
        <v xml:space="preserve">    Healthcare Trust of America In</v>
      </c>
      <c r="B56" t="str">
        <f>"HTA US Equity"</f>
        <v>HTA US Equity</v>
      </c>
      <c r="C56" t="str">
        <f t="shared" si="12"/>
        <v>RR502</v>
      </c>
      <c r="D56" t="str">
        <f t="shared" si="13"/>
        <v>NET_OPER_INCOME</v>
      </c>
      <c r="E56" t="str">
        <f t="shared" si="14"/>
        <v>动态</v>
      </c>
      <c r="F56" t="str">
        <f ca="1">IF(AND(ISNUMBER($F$308),$B$258=1),$F$308,HLOOKUP(INDIRECT(ADDRESS(2,COLUMN())),OFFSET($BN$2,0,0,ROW()-1,60),ROW()-1,FALSE))</f>
        <v/>
      </c>
      <c r="G56">
        <f ca="1">IF(AND(ISNUMBER($G$308),$B$258=1),$G$308,HLOOKUP(INDIRECT(ADDRESS(2,COLUMN())),OFFSET($BN$2,0,0,ROW()-1,60),ROW()-1,FALSE))</f>
        <v>120.334</v>
      </c>
      <c r="H56">
        <f ca="1">IF(AND(ISNUMBER($H$308),$B$258=1),$H$308,HLOOKUP(INDIRECT(ADDRESS(2,COLUMN())),OFFSET($BN$2,0,0,ROW()-1,60),ROW()-1,FALSE))</f>
        <v>119.1</v>
      </c>
      <c r="I56">
        <f ca="1">IF(AND(ISNUMBER($I$308),$B$258=1),$I$308,HLOOKUP(INDIRECT(ADDRESS(2,COLUMN())),OFFSET($BN$2,0,0,ROW()-1,60),ROW()-1,FALSE))</f>
        <v>96.001999999999995</v>
      </c>
      <c r="J56">
        <f ca="1">IF(AND(ISNUMBER($J$308),$B$258=1),$J$308,HLOOKUP(INDIRECT(ADDRESS(2,COLUMN())),OFFSET($BN$2,0,0,ROW()-1,60),ROW()-1,FALSE))</f>
        <v>84.972999999999999</v>
      </c>
      <c r="K56">
        <f ca="1">IF(AND(ISNUMBER($K$308),$B$258=1),$K$308,HLOOKUP(INDIRECT(ADDRESS(2,COLUMN())),OFFSET($BN$2,0,0,ROW()-1,60),ROW()-1,FALSE))</f>
        <v>83.465000000000003</v>
      </c>
      <c r="L56">
        <f ca="1">IF(AND(ISNUMBER($L$308),$B$258=1),$L$308,HLOOKUP(INDIRECT(ADDRESS(2,COLUMN())),OFFSET($BN$2,0,0,ROW()-1,60),ROW()-1,FALSE))</f>
        <v>81.367000000000004</v>
      </c>
      <c r="M56">
        <f ca="1">IF(AND(ISNUMBER($M$308),$B$258=1),$M$308,HLOOKUP(INDIRECT(ADDRESS(2,COLUMN())),OFFSET($BN$2,0,0,ROW()-1,60),ROW()-1,FALSE))</f>
        <v>78.082999999999998</v>
      </c>
      <c r="N56">
        <f ca="1">IF(AND(ISNUMBER($N$308),$B$258=1),$N$308,HLOOKUP(INDIRECT(ADDRESS(2,COLUMN())),OFFSET($BN$2,0,0,ROW()-1,60),ROW()-1,FALSE))</f>
        <v>73.897000000000006</v>
      </c>
      <c r="O56">
        <f ca="1">IF(AND(ISNUMBER($O$308),$B$258=1),$O$308,HLOOKUP(INDIRECT(ADDRESS(2,COLUMN())),OFFSET($BN$2,0,0,ROW()-1,60),ROW()-1,FALSE))</f>
        <v>71.447999999999993</v>
      </c>
      <c r="P56">
        <f ca="1">IF(AND(ISNUMBER($P$308),$B$258=1),$P$308,HLOOKUP(INDIRECT(ADDRESS(2,COLUMN())),OFFSET($BN$2,0,0,ROW()-1,60),ROW()-1,FALSE))</f>
        <v>70.953999999999994</v>
      </c>
      <c r="Q56">
        <f ca="1">IF(AND(ISNUMBER($Q$308),$B$258=1),$Q$308,HLOOKUP(INDIRECT(ADDRESS(2,COLUMN())),OFFSET($BN$2,0,0,ROW()-1,60),ROW()-1,FALSE))</f>
        <v>70.006</v>
      </c>
      <c r="R56">
        <f ca="1">IF(AND(ISNUMBER($R$308),$B$258=1),$R$308,HLOOKUP(INDIRECT(ADDRESS(2,COLUMN())),OFFSET($BN$2,0,0,ROW()-1,60),ROW()-1,FALSE))</f>
        <v>67.754999999999995</v>
      </c>
      <c r="S56">
        <f ca="1">IF(AND(ISNUMBER($S$308),$B$258=1),$S$308,HLOOKUP(INDIRECT(ADDRESS(2,COLUMN())),OFFSET($BN$2,0,0,ROW()-1,60),ROW()-1,FALSE))</f>
        <v>66.566999999999993</v>
      </c>
      <c r="T56">
        <f ca="1">IF(AND(ISNUMBER($T$308),$B$258=1),$T$308,HLOOKUP(INDIRECT(ADDRESS(2,COLUMN())),OFFSET($BN$2,0,0,ROW()-1,60),ROW()-1,FALSE))</f>
        <v>66.751000000000005</v>
      </c>
      <c r="U56">
        <f ca="1">IF(AND(ISNUMBER($U$308),$B$258=1),$U$308,HLOOKUP(INDIRECT(ADDRESS(2,COLUMN())),OFFSET($BN$2,0,0,ROW()-1,60),ROW()-1,FALSE))</f>
        <v>61.881999999999998</v>
      </c>
      <c r="V56">
        <f ca="1">IF(AND(ISNUMBER($V$308),$B$258=1),$V$308,HLOOKUP(INDIRECT(ADDRESS(2,COLUMN())),OFFSET($BN$2,0,0,ROW()-1,60),ROW()-1,FALSE))</f>
        <v>60.863</v>
      </c>
      <c r="W56">
        <f ca="1">IF(AND(ISNUMBER($W$308),$B$258=1),$W$308,HLOOKUP(INDIRECT(ADDRESS(2,COLUMN())),OFFSET($BN$2,0,0,ROW()-1,60),ROW()-1,FALSE))</f>
        <v>58.567</v>
      </c>
      <c r="X56">
        <f ca="1">IF(AND(ISNUMBER($X$308),$B$258=1),$X$308,HLOOKUP(INDIRECT(ADDRESS(2,COLUMN())),OFFSET($BN$2,0,0,ROW()-1,60),ROW()-1,FALSE))</f>
        <v>56.131999999999998</v>
      </c>
      <c r="Y56">
        <f ca="1">IF(AND(ISNUMBER($Y$308),$B$258=1),$Y$308,HLOOKUP(INDIRECT(ADDRESS(2,COLUMN())),OFFSET($BN$2,0,0,ROW()-1,60),ROW()-1,FALSE))</f>
        <v>54.375999999999998</v>
      </c>
      <c r="Z56">
        <f ca="1">IF(AND(ISNUMBER($Z$308),$B$258=1),$Z$308,HLOOKUP(INDIRECT(ADDRESS(2,COLUMN())),OFFSET($BN$2,0,0,ROW()-1,60),ROW()-1,FALSE))</f>
        <v>52.271999999999998</v>
      </c>
      <c r="AA56">
        <f ca="1">IF(AND(ISNUMBER($AA$308),$B$258=1),$AA$308,HLOOKUP(INDIRECT(ADDRESS(2,COLUMN())),OFFSET($BN$2,0,0,ROW()-1,60),ROW()-1,FALSE))</f>
        <v>50.703000000000003</v>
      </c>
      <c r="AB56">
        <f ca="1">IF(AND(ISNUMBER($AB$308),$B$258=1),$AB$308,HLOOKUP(INDIRECT(ADDRESS(2,COLUMN())),OFFSET($BN$2,0,0,ROW()-1,60),ROW()-1,FALSE))</f>
        <v>50.371000000000002</v>
      </c>
      <c r="AC56">
        <f ca="1">IF(AND(ISNUMBER($AC$308),$B$258=1),$AC$308,HLOOKUP(INDIRECT(ADDRESS(2,COLUMN())),OFFSET($BN$2,0,0,ROW()-1,60),ROW()-1,FALSE))</f>
        <v>48.018000000000001</v>
      </c>
      <c r="AD56">
        <f ca="1">IF(AND(ISNUMBER($AD$308),$B$258=1),$AD$308,HLOOKUP(INDIRECT(ADDRESS(2,COLUMN())),OFFSET($BN$2,0,0,ROW()-1,60),ROW()-1,FALSE))</f>
        <v>44.597000000000001</v>
      </c>
      <c r="AE56">
        <f ca="1">IF(AND(ISNUMBER($AE$308),$B$258=1),$AE$308,HLOOKUP(INDIRECT(ADDRESS(2,COLUMN())),OFFSET($BN$2,0,0,ROW()-1,60),ROW()-1,FALSE))</f>
        <v>49.524000000000001</v>
      </c>
      <c r="AF56">
        <f ca="1">IF(AND(ISNUMBER($AF$308),$B$258=1),$AF$308,HLOOKUP(INDIRECT(ADDRESS(2,COLUMN())),OFFSET($BN$2,0,0,ROW()-1,60),ROW()-1,FALSE))</f>
        <v>42.698999999999998</v>
      </c>
      <c r="AG56">
        <f ca="1">IF(AND(ISNUMBER($AG$308),$B$258=1),$AG$308,HLOOKUP(INDIRECT(ADDRESS(2,COLUMN())),OFFSET($BN$2,0,0,ROW()-1,60),ROW()-1,FALSE))</f>
        <v>43.277999999999999</v>
      </c>
      <c r="AH56">
        <f ca="1">IF(AND(ISNUMBER($AH$308),$B$258=1),$AH$308,HLOOKUP(INDIRECT(ADDRESS(2,COLUMN())),OFFSET($BN$2,0,0,ROW()-1,60),ROW()-1,FALSE))</f>
        <v>45.384999999999998</v>
      </c>
      <c r="AI56">
        <f ca="1">IF(AND(ISNUMBER($AI$308),$B$258=1),$AI$308,HLOOKUP(INDIRECT(ADDRESS(2,COLUMN())),OFFSET($BN$2,0,0,ROW()-1,60),ROW()-1,FALSE))</f>
        <v>40.226999999999997</v>
      </c>
      <c r="AJ56">
        <f ca="1">IF(AND(ISNUMBER($AJ$308),$B$258=1),$AJ$308,HLOOKUP(INDIRECT(ADDRESS(2,COLUMN())),OFFSET($BN$2,0,0,ROW()-1,60),ROW()-1,FALSE))</f>
        <v>33.01</v>
      </c>
      <c r="AK56">
        <f ca="1">IF(AND(ISNUMBER($AK$308),$B$258=1),$AK$308,HLOOKUP(INDIRECT(ADDRESS(2,COLUMN())),OFFSET($BN$2,0,0,ROW()-1,60),ROW()-1,FALSE))</f>
        <v>28.873000000000001</v>
      </c>
      <c r="AL56">
        <f ca="1">IF(AND(ISNUMBER($AL$308),$B$258=1),$AL$308,HLOOKUP(INDIRECT(ADDRESS(2,COLUMN())),OFFSET($BN$2,0,0,ROW()-1,60),ROW()-1,FALSE))</f>
        <v>27.724</v>
      </c>
      <c r="AM56" t="str">
        <f ca="1">IF(AND(ISNUMBER($AM$308),$B$258=1),$AM$308,HLOOKUP(INDIRECT(ADDRESS(2,COLUMN())),OFFSET($BN$2,0,0,ROW()-1,60),ROW()-1,FALSE))</f>
        <v/>
      </c>
      <c r="AN56" t="str">
        <f ca="1">IF(AND(ISNUMBER($AN$308),$B$258=1),$AN$308,HLOOKUP(INDIRECT(ADDRESS(2,COLUMN())),OFFSET($BN$2,0,0,ROW()-1,60),ROW()-1,FALSE))</f>
        <v/>
      </c>
      <c r="AO56" t="str">
        <f ca="1">IF(AND(ISNUMBER($AO$308),$B$258=1),$AO$308,HLOOKUP(INDIRECT(ADDRESS(2,COLUMN())),OFFSET($BN$2,0,0,ROW()-1,60),ROW()-1,FALSE))</f>
        <v/>
      </c>
      <c r="AP56" t="str">
        <f ca="1">IF(AND(ISNUMBER($AP$308),$B$258=1),$AP$308,HLOOKUP(INDIRECT(ADDRESS(2,COLUMN())),OFFSET($BN$2,0,0,ROW()-1,60),ROW()-1,FALSE))</f>
        <v/>
      </c>
      <c r="AQ56" t="str">
        <f ca="1">IF(AND(ISNUMBER($AQ$308),$B$258=1),$AQ$308,HLOOKUP(INDIRECT(ADDRESS(2,COLUMN())),OFFSET($BN$2,0,0,ROW()-1,60),ROW()-1,FALSE))</f>
        <v/>
      </c>
      <c r="AR56" t="str">
        <f ca="1">IF(AND(ISNUMBER($AR$308),$B$258=1),$AR$308,HLOOKUP(INDIRECT(ADDRESS(2,COLUMN())),OFFSET($BN$2,0,0,ROW()-1,60),ROW()-1,FALSE))</f>
        <v/>
      </c>
      <c r="AS56" t="str">
        <f ca="1">IF(AND(ISNUMBER($AS$308),$B$258=1),$AS$308,HLOOKUP(INDIRECT(ADDRESS(2,COLUMN())),OFFSET($BN$2,0,0,ROW()-1,60),ROW()-1,FALSE))</f>
        <v/>
      </c>
      <c r="AT56" t="str">
        <f ca="1">IF(AND(ISNUMBER($AT$308),$B$258=1),$AT$308,HLOOKUP(INDIRECT(ADDRESS(2,COLUMN())),OFFSET($BN$2,0,0,ROW()-1,60),ROW()-1,FALSE))</f>
        <v/>
      </c>
      <c r="AU56" t="str">
        <f ca="1">IF(AND(ISNUMBER($AU$308),$B$258=1),$AU$308,HLOOKUP(INDIRECT(ADDRESS(2,COLUMN())),OFFSET($BN$2,0,0,ROW()-1,60),ROW()-1,FALSE))</f>
        <v/>
      </c>
      <c r="AV56" t="str">
        <f ca="1">IF(AND(ISNUMBER($AV$308),$B$258=1),$AV$308,HLOOKUP(INDIRECT(ADDRESS(2,COLUMN())),OFFSET($BN$2,0,0,ROW()-1,60),ROW()-1,FALSE))</f>
        <v/>
      </c>
      <c r="AW56" t="str">
        <f ca="1">IF(AND(ISNUMBER($AW$308),$B$258=1),$AW$308,HLOOKUP(INDIRECT(ADDRESS(2,COLUMN())),OFFSET($BN$2,0,0,ROW()-1,60),ROW()-1,FALSE))</f>
        <v/>
      </c>
      <c r="AX56" t="str">
        <f ca="1">IF(AND(ISNUMBER($AX$308),$B$258=1),$AX$308,HLOOKUP(INDIRECT(ADDRESS(2,COLUMN())),OFFSET($BN$2,0,0,ROW()-1,60),ROW()-1,FALSE))</f>
        <v/>
      </c>
      <c r="AY56" t="str">
        <f ca="1">IF(AND(ISNUMBER($AY$308),$B$258=1),$AY$308,HLOOKUP(INDIRECT(ADDRESS(2,COLUMN())),OFFSET($BN$2,0,0,ROW()-1,60),ROW()-1,FALSE))</f>
        <v/>
      </c>
      <c r="AZ56" t="str">
        <f ca="1">IF(AND(ISNUMBER($AZ$308),$B$258=1),$AZ$308,HLOOKUP(INDIRECT(ADDRESS(2,COLUMN())),OFFSET($BN$2,0,0,ROW()-1,60),ROW()-1,FALSE))</f>
        <v/>
      </c>
      <c r="BA56" t="str">
        <f ca="1">IF(AND(ISNUMBER($BA$308),$B$258=1),$BA$308,HLOOKUP(INDIRECT(ADDRESS(2,COLUMN())),OFFSET($BN$2,0,0,ROW()-1,60),ROW()-1,FALSE))</f>
        <v/>
      </c>
      <c r="BB56" t="str">
        <f ca="1">IF(AND(ISNUMBER($BB$308),$B$258=1),$BB$308,HLOOKUP(INDIRECT(ADDRESS(2,COLUMN())),OFFSET($BN$2,0,0,ROW()-1,60),ROW()-1,FALSE))</f>
        <v/>
      </c>
      <c r="BC56" t="str">
        <f ca="1">IF(AND(ISNUMBER($BC$308),$B$258=1),$BC$308,HLOOKUP(INDIRECT(ADDRESS(2,COLUMN())),OFFSET($BN$2,0,0,ROW()-1,60),ROW()-1,FALSE))</f>
        <v/>
      </c>
      <c r="BD56" t="str">
        <f ca="1">IF(AND(ISNUMBER($BD$308),$B$258=1),$BD$308,HLOOKUP(INDIRECT(ADDRESS(2,COLUMN())),OFFSET($BN$2,0,0,ROW()-1,60),ROW()-1,FALSE))</f>
        <v/>
      </c>
      <c r="BE56" t="str">
        <f ca="1">IF(AND(ISNUMBER($BE$308),$B$258=1),$BE$308,HLOOKUP(INDIRECT(ADDRESS(2,COLUMN())),OFFSET($BN$2,0,0,ROW()-1,60),ROW()-1,FALSE))</f>
        <v/>
      </c>
      <c r="BF56" t="str">
        <f ca="1">IF(AND(ISNUMBER($BF$308),$B$258=1),$BF$308,HLOOKUP(INDIRECT(ADDRESS(2,COLUMN())),OFFSET($BN$2,0,0,ROW()-1,60),ROW()-1,FALSE))</f>
        <v/>
      </c>
      <c r="BG56" t="str">
        <f ca="1">IF(AND(ISNUMBER($BG$308),$B$258=1),$BG$308,HLOOKUP(INDIRECT(ADDRESS(2,COLUMN())),OFFSET($BN$2,0,0,ROW()-1,60),ROW()-1,FALSE))</f>
        <v/>
      </c>
      <c r="BH56" t="str">
        <f ca="1">IF(AND(ISNUMBER($BH$308),$B$258=1),$BH$308,HLOOKUP(INDIRECT(ADDRESS(2,COLUMN())),OFFSET($BN$2,0,0,ROW()-1,60),ROW()-1,FALSE))</f>
        <v/>
      </c>
      <c r="BI56" t="str">
        <f ca="1">IF(AND(ISNUMBER($BI$308),$B$258=1),$BI$308,HLOOKUP(INDIRECT(ADDRESS(2,COLUMN())),OFFSET($BN$2,0,0,ROW()-1,60),ROW()-1,FALSE))</f>
        <v/>
      </c>
      <c r="BJ56" t="str">
        <f ca="1">IF(AND(ISNUMBER($BJ$308),$B$258=1),$BJ$308,HLOOKUP(INDIRECT(ADDRESS(2,COLUMN())),OFFSET($BN$2,0,0,ROW()-1,60),ROW()-1,FALSE))</f>
        <v/>
      </c>
      <c r="BK56" t="str">
        <f ca="1">IF(AND(ISNUMBER($BK$308),$B$258=1),$BK$308,HLOOKUP(INDIRECT(ADDRESS(2,COLUMN())),OFFSET($BN$2,0,0,ROW()-1,60),ROW()-1,FALSE))</f>
        <v/>
      </c>
      <c r="BL56" t="str">
        <f ca="1">IF(AND(ISNUMBER($BL$308),$B$258=1),$BL$308,HLOOKUP(INDIRECT(ADDRESS(2,COLUMN())),OFFSET($BN$2,0,0,ROW()-1,60),ROW()-1,FALSE))</f>
        <v/>
      </c>
      <c r="BM56" t="str">
        <f ca="1">IF(AND(ISNUMBER($BM$308),$B$258=1),$BM$308,HLOOKUP(INDIRECT(ADDRESS(2,COLUMN())),OFFSET($BN$2,0,0,ROW()-1,60),ROW()-1,FALSE))</f>
        <v/>
      </c>
      <c r="BN56" t="str">
        <f>""</f>
        <v/>
      </c>
      <c r="BO56">
        <f>120.334</f>
        <v>120.334</v>
      </c>
      <c r="BP56">
        <f>119.1</f>
        <v>119.1</v>
      </c>
      <c r="BQ56">
        <f>96.002</f>
        <v>96.001999999999995</v>
      </c>
      <c r="BR56">
        <f>84.973</f>
        <v>84.972999999999999</v>
      </c>
      <c r="BS56">
        <f>83.465</f>
        <v>83.465000000000003</v>
      </c>
      <c r="BT56">
        <f>81.367</f>
        <v>81.367000000000004</v>
      </c>
      <c r="BU56">
        <f>78.083</f>
        <v>78.082999999999998</v>
      </c>
      <c r="BV56">
        <f>73.897</f>
        <v>73.897000000000006</v>
      </c>
      <c r="BW56">
        <f>71.448</f>
        <v>71.447999999999993</v>
      </c>
      <c r="BX56">
        <f>70.954</f>
        <v>70.953999999999994</v>
      </c>
      <c r="BY56">
        <f>70.006</f>
        <v>70.006</v>
      </c>
      <c r="BZ56">
        <f>67.755</f>
        <v>67.754999999999995</v>
      </c>
      <c r="CA56">
        <f>66.567</f>
        <v>66.566999999999993</v>
      </c>
      <c r="CB56">
        <f>66.751</f>
        <v>66.751000000000005</v>
      </c>
      <c r="CC56">
        <f>61.882</f>
        <v>61.881999999999998</v>
      </c>
      <c r="CD56">
        <f>60.863</f>
        <v>60.863</v>
      </c>
      <c r="CE56">
        <f>58.567</f>
        <v>58.567</v>
      </c>
      <c r="CF56">
        <f>56.132</f>
        <v>56.131999999999998</v>
      </c>
      <c r="CG56">
        <f>54.376</f>
        <v>54.375999999999998</v>
      </c>
      <c r="CH56">
        <f>52.272</f>
        <v>52.271999999999998</v>
      </c>
      <c r="CI56">
        <f>50.703</f>
        <v>50.703000000000003</v>
      </c>
      <c r="CJ56">
        <f>50.371</f>
        <v>50.371000000000002</v>
      </c>
      <c r="CK56">
        <f>48.018</f>
        <v>48.018000000000001</v>
      </c>
      <c r="CL56">
        <f>44.597</f>
        <v>44.597000000000001</v>
      </c>
      <c r="CM56">
        <f>49.524</f>
        <v>49.524000000000001</v>
      </c>
      <c r="CN56">
        <f>42.699</f>
        <v>42.698999999999998</v>
      </c>
      <c r="CO56">
        <f>43.278</f>
        <v>43.277999999999999</v>
      </c>
      <c r="CP56">
        <f>45.385</f>
        <v>45.384999999999998</v>
      </c>
      <c r="CQ56">
        <f>40.227</f>
        <v>40.226999999999997</v>
      </c>
      <c r="CR56">
        <f>33.01</f>
        <v>33.01</v>
      </c>
      <c r="CS56">
        <f>28.873</f>
        <v>28.873000000000001</v>
      </c>
      <c r="CT56">
        <f>27.724</f>
        <v>27.724</v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>
      <c r="A57" t="str">
        <f>"    Medical Properties Trust Inc"</f>
        <v xml:space="preserve">    Medical Properties Trust Inc</v>
      </c>
      <c r="B57" t="str">
        <f>"MPW US Equity"</f>
        <v>MPW US Equity</v>
      </c>
      <c r="C57" t="str">
        <f t="shared" si="12"/>
        <v>RR502</v>
      </c>
      <c r="D57" t="str">
        <f t="shared" si="13"/>
        <v>NET_OPER_INCOME</v>
      </c>
      <c r="E57" t="str">
        <f t="shared" si="14"/>
        <v>动态</v>
      </c>
      <c r="F57" t="str">
        <f ca="1">IF(AND(ISNUMBER($F$309),$B$258=1),$F$309,HLOOKUP(INDIRECT(ADDRESS(2,COLUMN())),OFFSET($BN$2,0,0,ROW()-1,60),ROW()-1,FALSE))</f>
        <v/>
      </c>
      <c r="G57">
        <f ca="1">IF(AND(ISNUMBER($G$309),$B$258=1),$G$309,HLOOKUP(INDIRECT(ADDRESS(2,COLUMN())),OFFSET($BN$2,0,0,ROW()-1,60),ROW()-1,FALSE))</f>
        <v>160.92599999999999</v>
      </c>
      <c r="H57">
        <f ca="1">IF(AND(ISNUMBER($H$309),$B$258=1),$H$309,HLOOKUP(INDIRECT(ADDRESS(2,COLUMN())),OFFSET($BN$2,0,0,ROW()-1,60),ROW()-1,FALSE))</f>
        <v>146.03100000000001</v>
      </c>
      <c r="I57">
        <f ca="1">IF(AND(ISNUMBER($I$309),$B$258=1),$I$309,HLOOKUP(INDIRECT(ADDRESS(2,COLUMN())),OFFSET($BN$2,0,0,ROW()-1,60),ROW()-1,FALSE))</f>
        <v>136.88300000000001</v>
      </c>
      <c r="J57">
        <f ca="1">IF(AND(ISNUMBER($J$309),$B$258=1),$J$309,HLOOKUP(INDIRECT(ADDRESS(2,COLUMN())),OFFSET($BN$2,0,0,ROW()-1,60),ROW()-1,FALSE))</f>
        <v>126.09399999999999</v>
      </c>
      <c r="K57">
        <f ca="1">IF(AND(ISNUMBER($K$309),$B$258=1),$K$309,HLOOKUP(INDIRECT(ADDRESS(2,COLUMN())),OFFSET($BN$2,0,0,ROW()-1,60),ROW()-1,FALSE))</f>
        <v>123.425</v>
      </c>
      <c r="L57">
        <f ca="1">IF(AND(ISNUMBER($L$309),$B$258=1),$L$309,HLOOKUP(INDIRECT(ADDRESS(2,COLUMN())),OFFSET($BN$2,0,0,ROW()-1,60),ROW()-1,FALSE))</f>
        <v>106.899</v>
      </c>
      <c r="M57">
        <f ca="1">IF(AND(ISNUMBER($M$309),$B$258=1),$M$309,HLOOKUP(INDIRECT(ADDRESS(2,COLUMN())),OFFSET($BN$2,0,0,ROW()-1,60),ROW()-1,FALSE))</f>
        <v>99.278999999999996</v>
      </c>
      <c r="N57">
        <f ca="1">IF(AND(ISNUMBER($N$309),$B$258=1),$N$309,HLOOKUP(INDIRECT(ADDRESS(2,COLUMN())),OFFSET($BN$2,0,0,ROW()-1,60),ROW()-1,FALSE))</f>
        <v>100.328</v>
      </c>
      <c r="O57">
        <f ca="1">IF(AND(ISNUMBER($O$309),$B$258=1),$O$309,HLOOKUP(INDIRECT(ADDRESS(2,COLUMN())),OFFSET($BN$2,0,0,ROW()-1,60),ROW()-1,FALSE))</f>
        <v>96.100999999999999</v>
      </c>
      <c r="P57">
        <f ca="1">IF(AND(ISNUMBER($P$309),$B$258=1),$P$309,HLOOKUP(INDIRECT(ADDRESS(2,COLUMN())),OFFSET($BN$2,0,0,ROW()-1,60),ROW()-1,FALSE))</f>
        <v>88.346000000000004</v>
      </c>
      <c r="Q57">
        <f ca="1">IF(AND(ISNUMBER($Q$309),$B$258=1),$Q$309,HLOOKUP(INDIRECT(ADDRESS(2,COLUMN())),OFFSET($BN$2,0,0,ROW()-1,60),ROW()-1,FALSE))</f>
        <v>71.423000000000002</v>
      </c>
      <c r="R57">
        <f ca="1">IF(AND(ISNUMBER($R$309),$B$258=1),$R$309,HLOOKUP(INDIRECT(ADDRESS(2,COLUMN())),OFFSET($BN$2,0,0,ROW()-1,60),ROW()-1,FALSE))</f>
        <v>70.031999999999996</v>
      </c>
      <c r="S57">
        <f ca="1">IF(AND(ISNUMBER($S$309),$B$258=1),$S$309,HLOOKUP(INDIRECT(ADDRESS(2,COLUMN())),OFFSET($BN$2,0,0,ROW()-1,60),ROW()-1,FALSE))</f>
        <v>64.842391000000006</v>
      </c>
      <c r="T57">
        <f ca="1">IF(AND(ISNUMBER($T$309),$B$258=1),$T$309,HLOOKUP(INDIRECT(ADDRESS(2,COLUMN())),OFFSET($BN$2,0,0,ROW()-1,60),ROW()-1,FALSE))</f>
        <v>64.953000000000003</v>
      </c>
      <c r="U57">
        <f ca="1">IF(AND(ISNUMBER($U$309),$B$258=1),$U$309,HLOOKUP(INDIRECT(ADDRESS(2,COLUMN())),OFFSET($BN$2,0,0,ROW()-1,60),ROW()-1,FALSE))</f>
        <v>61.369</v>
      </c>
      <c r="V57">
        <f ca="1">IF(AND(ISNUMBER($V$309),$B$258=1),$V$309,HLOOKUP(INDIRECT(ADDRESS(2,COLUMN())),OFFSET($BN$2,0,0,ROW()-1,60),ROW()-1,FALSE))</f>
        <v>56.582000000000001</v>
      </c>
      <c r="W57">
        <f ca="1">IF(AND(ISNUMBER($W$309),$B$258=1),$W$309,HLOOKUP(INDIRECT(ADDRESS(2,COLUMN())),OFFSET($BN$2,0,0,ROW()-1,60),ROW()-1,FALSE))</f>
        <v>51.606025000000002</v>
      </c>
      <c r="X57">
        <f ca="1">IF(AND(ISNUMBER($X$309),$B$258=1),$X$309,HLOOKUP(INDIRECT(ADDRESS(2,COLUMN())),OFFSET($BN$2,0,0,ROW()-1,60),ROW()-1,FALSE))</f>
        <v>45.268000000000001</v>
      </c>
      <c r="Y57">
        <f ca="1">IF(AND(ISNUMBER($Y$309),$B$258=1),$Y$309,HLOOKUP(INDIRECT(ADDRESS(2,COLUMN())),OFFSET($BN$2,0,0,ROW()-1,60),ROW()-1,FALSE))</f>
        <v>42.381999999999998</v>
      </c>
      <c r="Z57">
        <f ca="1">IF(AND(ISNUMBER($Z$309),$B$258=1),$Z$309,HLOOKUP(INDIRECT(ADDRESS(2,COLUMN())),OFFSET($BN$2,0,0,ROW()-1,60),ROW()-1,FALSE))</f>
        <v>42.497</v>
      </c>
      <c r="AA57">
        <f ca="1">IF(AND(ISNUMBER($AA$309),$B$258=1),$AA$309,HLOOKUP(INDIRECT(ADDRESS(2,COLUMN())),OFFSET($BN$2,0,0,ROW()-1,60),ROW()-1,FALSE))</f>
        <v>41.023029999999999</v>
      </c>
      <c r="AB57">
        <f ca="1">IF(AND(ISNUMBER($AB$309),$B$258=1),$AB$309,HLOOKUP(INDIRECT(ADDRESS(2,COLUMN())),OFFSET($BN$2,0,0,ROW()-1,60),ROW()-1,FALSE))</f>
        <v>38.601999999999997</v>
      </c>
      <c r="AC57">
        <f ca="1">IF(AND(ISNUMBER($AC$309),$B$258=1),$AC$309,HLOOKUP(INDIRECT(ADDRESS(2,COLUMN())),OFFSET($BN$2,0,0,ROW()-1,60),ROW()-1,FALSE))</f>
        <v>36.805</v>
      </c>
      <c r="AD57">
        <f ca="1">IF(AND(ISNUMBER($AD$309),$B$258=1),$AD$309,HLOOKUP(INDIRECT(ADDRESS(2,COLUMN())),OFFSET($BN$2,0,0,ROW()-1,60),ROW()-1,FALSE))</f>
        <v>33.119</v>
      </c>
      <c r="AE57">
        <f ca="1">IF(AND(ISNUMBER($AE$309),$B$258=1),$AE$309,HLOOKUP(INDIRECT(ADDRESS(2,COLUMN())),OFFSET($BN$2,0,0,ROW()-1,60),ROW()-1,FALSE))</f>
        <v>28.365106999999998</v>
      </c>
      <c r="AF57">
        <f ca="1">IF(AND(ISNUMBER($AF$309),$B$258=1),$AF$309,HLOOKUP(INDIRECT(ADDRESS(2,COLUMN())),OFFSET($BN$2,0,0,ROW()-1,60),ROW()-1,FALSE))</f>
        <v>29.143000000000001</v>
      </c>
      <c r="AG57">
        <f ca="1">IF(AND(ISNUMBER($AG$309),$B$258=1),$AG$309,HLOOKUP(INDIRECT(ADDRESS(2,COLUMN())),OFFSET($BN$2,0,0,ROW()-1,60),ROW()-1,FALSE))</f>
        <v>29.475000000000001</v>
      </c>
      <c r="AH57">
        <f ca="1">IF(AND(ISNUMBER($AH$309),$B$258=1),$AH$309,HLOOKUP(INDIRECT(ADDRESS(2,COLUMN())),OFFSET($BN$2,0,0,ROW()-1,60),ROW()-1,FALSE))</f>
        <v>29.007000000000001</v>
      </c>
      <c r="AI57">
        <f ca="1">IF(AND(ISNUMBER($AI$309),$B$258=1),$AI$309,HLOOKUP(INDIRECT(ADDRESS(2,COLUMN())),OFFSET($BN$2,0,0,ROW()-1,60),ROW()-1,FALSE))</f>
        <v>21.941279999999999</v>
      </c>
      <c r="AJ57">
        <f ca="1">IF(AND(ISNUMBER($AJ$309),$B$258=1),$AJ$309,HLOOKUP(INDIRECT(ADDRESS(2,COLUMN())),OFFSET($BN$2,0,0,ROW()-1,60),ROW()-1,FALSE))</f>
        <v>21.748000000000001</v>
      </c>
      <c r="AK57">
        <f ca="1">IF(AND(ISNUMBER($AK$309),$B$258=1),$AK$309,HLOOKUP(INDIRECT(ADDRESS(2,COLUMN())),OFFSET($BN$2,0,0,ROW()-1,60),ROW()-1,FALSE))</f>
        <v>23.167000000000002</v>
      </c>
      <c r="AL57">
        <f ca="1">IF(AND(ISNUMBER($AL$309),$B$258=1),$AL$309,HLOOKUP(INDIRECT(ADDRESS(2,COLUMN())),OFFSET($BN$2,0,0,ROW()-1,60),ROW()-1,FALSE))</f>
        <v>22.53</v>
      </c>
      <c r="AM57">
        <f ca="1">IF(AND(ISNUMBER($AM$309),$B$258=1),$AM$309,HLOOKUP(INDIRECT(ADDRESS(2,COLUMN())),OFFSET($BN$2,0,0,ROW()-1,60),ROW()-1,FALSE))</f>
        <v>21.819037000000002</v>
      </c>
      <c r="AN57">
        <f ca="1">IF(AND(ISNUMBER($AN$309),$B$258=1),$AN$309,HLOOKUP(INDIRECT(ADDRESS(2,COLUMN())),OFFSET($BN$2,0,0,ROW()-1,60),ROW()-1,FALSE))</f>
        <v>22.913</v>
      </c>
      <c r="AO57">
        <f ca="1">IF(AND(ISNUMBER($AO$309),$B$258=1),$AO$309,HLOOKUP(INDIRECT(ADDRESS(2,COLUMN())),OFFSET($BN$2,0,0,ROW()-1,60),ROW()-1,FALSE))</f>
        <v>20.995999999999999</v>
      </c>
      <c r="AP57">
        <f ca="1">IF(AND(ISNUMBER($AP$309),$B$258=1),$AP$309,HLOOKUP(INDIRECT(ADDRESS(2,COLUMN())),OFFSET($BN$2,0,0,ROW()-1,60),ROW()-1,FALSE))</f>
        <v>23.635000000000002</v>
      </c>
      <c r="AQ57">
        <f ca="1">IF(AND(ISNUMBER($AQ$309),$B$258=1),$AQ$309,HLOOKUP(INDIRECT(ADDRESS(2,COLUMN())),OFFSET($BN$2,0,0,ROW()-1,60),ROW()-1,FALSE))</f>
        <v>17.856027000000001</v>
      </c>
      <c r="AR57">
        <f ca="1">IF(AND(ISNUMBER($AR$309),$B$258=1),$AR$309,HLOOKUP(INDIRECT(ADDRESS(2,COLUMN())),OFFSET($BN$2,0,0,ROW()-1,60),ROW()-1,FALSE))</f>
        <v>24.760999999999999</v>
      </c>
      <c r="AS57">
        <f ca="1">IF(AND(ISNUMBER($AS$309),$B$258=1),$AS$309,HLOOKUP(INDIRECT(ADDRESS(2,COLUMN())),OFFSET($BN$2,0,0,ROW()-1,60),ROW()-1,FALSE))</f>
        <v>23.475000000000001</v>
      </c>
      <c r="AT57">
        <f ca="1">IF(AND(ISNUMBER($AT$309),$B$258=1),$AT$309,HLOOKUP(INDIRECT(ADDRESS(2,COLUMN())),OFFSET($BN$2,0,0,ROW()-1,60),ROW()-1,FALSE))</f>
        <v>16.574999999999999</v>
      </c>
      <c r="AU57">
        <f ca="1">IF(AND(ISNUMBER($AU$309),$B$258=1),$AU$309,HLOOKUP(INDIRECT(ADDRESS(2,COLUMN())),OFFSET($BN$2,0,0,ROW()-1,60),ROW()-1,FALSE))</f>
        <v>16.145446</v>
      </c>
      <c r="AV57">
        <f ca="1">IF(AND(ISNUMBER($AV$309),$B$258=1),$AV$309,HLOOKUP(INDIRECT(ADDRESS(2,COLUMN())),OFFSET($BN$2,0,0,ROW()-1,60),ROW()-1,FALSE))</f>
        <v>14.610569</v>
      </c>
      <c r="AW57" t="str">
        <f ca="1">IF(AND(ISNUMBER($AW$309),$B$258=1),$AW$309,HLOOKUP(INDIRECT(ADDRESS(2,COLUMN())),OFFSET($BN$2,0,0,ROW()-1,60),ROW()-1,FALSE))</f>
        <v/>
      </c>
      <c r="AX57">
        <f ca="1">IF(AND(ISNUMBER($AX$309),$B$258=1),$AX$309,HLOOKUP(INDIRECT(ADDRESS(2,COLUMN())),OFFSET($BN$2,0,0,ROW()-1,60),ROW()-1,FALSE))</f>
        <v>9.3125289999999996</v>
      </c>
      <c r="AY57">
        <f ca="1">IF(AND(ISNUMBER($AY$309),$B$258=1),$AY$309,HLOOKUP(INDIRECT(ADDRESS(2,COLUMN())),OFFSET($BN$2,0,0,ROW()-1,60),ROW()-1,FALSE))</f>
        <v>11.919684</v>
      </c>
      <c r="AZ57">
        <f ca="1">IF(AND(ISNUMBER($AZ$309),$B$258=1),$AZ$309,HLOOKUP(INDIRECT(ADDRESS(2,COLUMN())),OFFSET($BN$2,0,0,ROW()-1,60),ROW()-1,FALSE))</f>
        <v>9.3046919999999993</v>
      </c>
      <c r="BA57">
        <f ca="1">IF(AND(ISNUMBER($BA$309),$B$258=1),$BA$309,HLOOKUP(INDIRECT(ADDRESS(2,COLUMN())),OFFSET($BN$2,0,0,ROW()-1,60),ROW()-1,FALSE))</f>
        <v>8.5566209999999998</v>
      </c>
      <c r="BB57">
        <f ca="1">IF(AND(ISNUMBER($BB$309),$B$258=1),$BB$309,HLOOKUP(INDIRECT(ADDRESS(2,COLUMN())),OFFSET($BN$2,0,0,ROW()-1,60),ROW()-1,FALSE))</f>
        <v>8.2655259999999995</v>
      </c>
      <c r="BC57">
        <f ca="1">IF(AND(ISNUMBER($BC$309),$B$258=1),$BC$309,HLOOKUP(INDIRECT(ADDRESS(2,COLUMN())),OFFSET($BN$2,0,0,ROW()-1,60),ROW()-1,FALSE))</f>
        <v>7.2680939999999996</v>
      </c>
      <c r="BD57">
        <f ca="1">IF(AND(ISNUMBER($BD$309),$B$258=1),$BD$309,HLOOKUP(INDIRECT(ADDRESS(2,COLUMN())),OFFSET($BN$2,0,0,ROW()-1,60),ROW()-1,FALSE))</f>
        <v>6.9712730000000001</v>
      </c>
      <c r="BE57">
        <f ca="1">IF(AND(ISNUMBER($BE$309),$B$258=1),$BE$309,HLOOKUP(INDIRECT(ADDRESS(2,COLUMN())),OFFSET($BN$2,0,0,ROW()-1,60),ROW()-1,FALSE))</f>
        <v>6.12462616</v>
      </c>
      <c r="BF57">
        <f ca="1">IF(AND(ISNUMBER($BF$309),$B$258=1),$BF$309,HLOOKUP(INDIRECT(ADDRESS(2,COLUMN())),OFFSET($BN$2,0,0,ROW()-1,60),ROW()-1,FALSE))</f>
        <v>5.2390001269999997</v>
      </c>
      <c r="BG57" t="str">
        <f ca="1">IF(AND(ISNUMBER($BG$309),$B$258=1),$BG$309,HLOOKUP(INDIRECT(ADDRESS(2,COLUMN())),OFFSET($BN$2,0,0,ROW()-1,60),ROW()-1,FALSE))</f>
        <v/>
      </c>
      <c r="BH57" t="str">
        <f ca="1">IF(AND(ISNUMBER($BH$309),$B$258=1),$BH$309,HLOOKUP(INDIRECT(ADDRESS(2,COLUMN())),OFFSET($BN$2,0,0,ROW()-1,60),ROW()-1,FALSE))</f>
        <v/>
      </c>
      <c r="BI57" t="str">
        <f ca="1">IF(AND(ISNUMBER($BI$309),$B$258=1),$BI$309,HLOOKUP(INDIRECT(ADDRESS(2,COLUMN())),OFFSET($BN$2,0,0,ROW()-1,60),ROW()-1,FALSE))</f>
        <v/>
      </c>
      <c r="BJ57" t="str">
        <f ca="1">IF(AND(ISNUMBER($BJ$309),$B$258=1),$BJ$309,HLOOKUP(INDIRECT(ADDRESS(2,COLUMN())),OFFSET($BN$2,0,0,ROW()-1,60),ROW()-1,FALSE))</f>
        <v/>
      </c>
      <c r="BK57" t="str">
        <f ca="1">IF(AND(ISNUMBER($BK$309),$B$258=1),$BK$309,HLOOKUP(INDIRECT(ADDRESS(2,COLUMN())),OFFSET($BN$2,0,0,ROW()-1,60),ROW()-1,FALSE))</f>
        <v/>
      </c>
      <c r="BL57" t="str">
        <f ca="1">IF(AND(ISNUMBER($BL$309),$B$258=1),$BL$309,HLOOKUP(INDIRECT(ADDRESS(2,COLUMN())),OFFSET($BN$2,0,0,ROW()-1,60),ROW()-1,FALSE))</f>
        <v/>
      </c>
      <c r="BM57" t="str">
        <f ca="1">IF(AND(ISNUMBER($BM$309),$B$258=1),$BM$309,HLOOKUP(INDIRECT(ADDRESS(2,COLUMN())),OFFSET($BN$2,0,0,ROW()-1,60),ROW()-1,FALSE))</f>
        <v/>
      </c>
      <c r="BN57" t="str">
        <f>""</f>
        <v/>
      </c>
      <c r="BO57">
        <f>160.926</f>
        <v>160.92599999999999</v>
      </c>
      <c r="BP57">
        <f>146.031</f>
        <v>146.03100000000001</v>
      </c>
      <c r="BQ57">
        <f>136.883</f>
        <v>136.88300000000001</v>
      </c>
      <c r="BR57">
        <f>126.094</f>
        <v>126.09399999999999</v>
      </c>
      <c r="BS57">
        <f>123.425</f>
        <v>123.425</v>
      </c>
      <c r="BT57">
        <f>106.899</f>
        <v>106.899</v>
      </c>
      <c r="BU57">
        <f>99.279</f>
        <v>99.278999999999996</v>
      </c>
      <c r="BV57">
        <f>100.328</f>
        <v>100.328</v>
      </c>
      <c r="BW57">
        <f>96.101</f>
        <v>96.100999999999999</v>
      </c>
      <c r="BX57">
        <f>88.346</f>
        <v>88.346000000000004</v>
      </c>
      <c r="BY57">
        <f>71.423</f>
        <v>71.423000000000002</v>
      </c>
      <c r="BZ57">
        <f>70.032</f>
        <v>70.031999999999996</v>
      </c>
      <c r="CA57">
        <f>64.842391</f>
        <v>64.842391000000006</v>
      </c>
      <c r="CB57">
        <f>64.953</f>
        <v>64.953000000000003</v>
      </c>
      <c r="CC57">
        <f>61.369</f>
        <v>61.369</v>
      </c>
      <c r="CD57">
        <f>56.582</f>
        <v>56.582000000000001</v>
      </c>
      <c r="CE57">
        <f>51.606025</f>
        <v>51.606025000000002</v>
      </c>
      <c r="CF57">
        <f>45.268</f>
        <v>45.268000000000001</v>
      </c>
      <c r="CG57">
        <f>42.382</f>
        <v>42.381999999999998</v>
      </c>
      <c r="CH57">
        <f>42.497</f>
        <v>42.497</v>
      </c>
      <c r="CI57">
        <f>41.02303</f>
        <v>41.023029999999999</v>
      </c>
      <c r="CJ57">
        <f>38.602</f>
        <v>38.601999999999997</v>
      </c>
      <c r="CK57">
        <f>36.805</f>
        <v>36.805</v>
      </c>
      <c r="CL57">
        <f>33.119</f>
        <v>33.119</v>
      </c>
      <c r="CM57">
        <f>28.365107</f>
        <v>28.365106999999998</v>
      </c>
      <c r="CN57">
        <f>29.143</f>
        <v>29.143000000000001</v>
      </c>
      <c r="CO57">
        <f>29.475</f>
        <v>29.475000000000001</v>
      </c>
      <c r="CP57">
        <f>29.007</f>
        <v>29.007000000000001</v>
      </c>
      <c r="CQ57">
        <f>21.94128</f>
        <v>21.941279999999999</v>
      </c>
      <c r="CR57">
        <f>21.748</f>
        <v>21.748000000000001</v>
      </c>
      <c r="CS57">
        <f>23.167</f>
        <v>23.167000000000002</v>
      </c>
      <c r="CT57">
        <f>22.53</f>
        <v>22.53</v>
      </c>
      <c r="CU57">
        <f>21.819037</f>
        <v>21.819037000000002</v>
      </c>
      <c r="CV57">
        <f>22.913</f>
        <v>22.913</v>
      </c>
      <c r="CW57">
        <f>20.996</f>
        <v>20.995999999999999</v>
      </c>
      <c r="CX57">
        <f>23.635</f>
        <v>23.635000000000002</v>
      </c>
      <c r="CY57">
        <f>17.856027</f>
        <v>17.856027000000001</v>
      </c>
      <c r="CZ57">
        <f>24.761</f>
        <v>24.760999999999999</v>
      </c>
      <c r="DA57">
        <f>23.475</f>
        <v>23.475000000000001</v>
      </c>
      <c r="DB57">
        <f>16.575</f>
        <v>16.574999999999999</v>
      </c>
      <c r="DC57">
        <f>16.145446</f>
        <v>16.145446</v>
      </c>
      <c r="DD57">
        <f>14.610569</f>
        <v>14.610569</v>
      </c>
      <c r="DE57" t="str">
        <f>""</f>
        <v/>
      </c>
      <c r="DF57">
        <f>9.312529</f>
        <v>9.3125289999999996</v>
      </c>
      <c r="DG57">
        <f>11.919684</f>
        <v>11.919684</v>
      </c>
      <c r="DH57">
        <f>9.304692</f>
        <v>9.3046919999999993</v>
      </c>
      <c r="DI57">
        <f>8.556621</f>
        <v>8.5566209999999998</v>
      </c>
      <c r="DJ57">
        <f>8.265526</f>
        <v>8.2655259999999995</v>
      </c>
      <c r="DK57">
        <f>7.268094</f>
        <v>7.2680939999999996</v>
      </c>
      <c r="DL57">
        <f>6.971273</f>
        <v>6.9712730000000001</v>
      </c>
      <c r="DM57">
        <f>6.12462616</f>
        <v>6.12462616</v>
      </c>
      <c r="DN57">
        <f>5.239000127</f>
        <v>5.2390001269999997</v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>
      <c r="A58" t="str">
        <f>"    Omega Healthcare Investors Inc"</f>
        <v xml:space="preserve">    Omega Healthcare Investors Inc</v>
      </c>
      <c r="B58" t="str">
        <f>"OHI US Equity"</f>
        <v>OHI US Equity</v>
      </c>
      <c r="C58" t="str">
        <f t="shared" si="12"/>
        <v>RR502</v>
      </c>
      <c r="D58" t="str">
        <f t="shared" si="13"/>
        <v>NET_OPER_INCOME</v>
      </c>
      <c r="E58" t="str">
        <f t="shared" si="14"/>
        <v>动态</v>
      </c>
      <c r="F58" t="str">
        <f ca="1">IF(AND(ISNUMBER($F$310),$B$258=1),$F$310,HLOOKUP(INDIRECT(ADDRESS(2,COLUMN())),OFFSET($BN$2,0,0,ROW()-1,60),ROW()-1,FALSE))</f>
        <v/>
      </c>
      <c r="G58">
        <f ca="1">IF(AND(ISNUMBER($G$310),$B$258=1),$G$310,HLOOKUP(INDIRECT(ADDRESS(2,COLUMN())),OFFSET($BN$2,0,0,ROW()-1,60),ROW()-1,FALSE))</f>
        <v>195.19300000000001</v>
      </c>
      <c r="H58">
        <f ca="1">IF(AND(ISNUMBER($H$310),$B$258=1),$H$310,HLOOKUP(INDIRECT(ADDRESS(2,COLUMN())),OFFSET($BN$2,0,0,ROW()-1,60),ROW()-1,FALSE))</f>
        <v>194.67699999999999</v>
      </c>
      <c r="I58">
        <f ca="1">IF(AND(ISNUMBER($I$310),$B$258=1),$I$310,HLOOKUP(INDIRECT(ADDRESS(2,COLUMN())),OFFSET($BN$2,0,0,ROW()-1,60),ROW()-1,FALSE))</f>
        <v>209.459</v>
      </c>
      <c r="J58">
        <f ca="1">IF(AND(ISNUMBER($J$310),$B$258=1),$J$310,HLOOKUP(INDIRECT(ADDRESS(2,COLUMN())),OFFSET($BN$2,0,0,ROW()-1,60),ROW()-1,FALSE))</f>
        <v>208.18299999999999</v>
      </c>
      <c r="K58">
        <f ca="1">IF(AND(ISNUMBER($K$310),$B$258=1),$K$310,HLOOKUP(INDIRECT(ADDRESS(2,COLUMN())),OFFSET($BN$2,0,0,ROW()-1,60),ROW()-1,FALSE))</f>
        <v>210.61500000000001</v>
      </c>
      <c r="L58">
        <f ca="1">IF(AND(ISNUMBER($L$310),$B$258=1),$L$310,HLOOKUP(INDIRECT(ADDRESS(2,COLUMN())),OFFSET($BN$2,0,0,ROW()-1,60),ROW()-1,FALSE))</f>
        <v>201.44800000000001</v>
      </c>
      <c r="M58">
        <f ca="1">IF(AND(ISNUMBER($M$310),$B$258=1),$M$310,HLOOKUP(INDIRECT(ADDRESS(2,COLUMN())),OFFSET($BN$2,0,0,ROW()-1,60),ROW()-1,FALSE))</f>
        <v>201.97499999999999</v>
      </c>
      <c r="N58">
        <f ca="1">IF(AND(ISNUMBER($N$310),$B$258=1),$N$310,HLOOKUP(INDIRECT(ADDRESS(2,COLUMN())),OFFSET($BN$2,0,0,ROW()-1,60),ROW()-1,FALSE))</f>
        <v>192.14500000000001</v>
      </c>
      <c r="O58">
        <f ca="1">IF(AND(ISNUMBER($O$310),$B$258=1),$O$310,HLOOKUP(INDIRECT(ADDRESS(2,COLUMN())),OFFSET($BN$2,0,0,ROW()-1,60),ROW()-1,FALSE))</f>
        <v>190.64599999999999</v>
      </c>
      <c r="P58">
        <f ca="1">IF(AND(ISNUMBER($P$310),$B$258=1),$P$310,HLOOKUP(INDIRECT(ADDRESS(2,COLUMN())),OFFSET($BN$2,0,0,ROW()-1,60),ROW()-1,FALSE))</f>
        <v>181.839</v>
      </c>
      <c r="Q58">
        <f ca="1">IF(AND(ISNUMBER($Q$310),$B$258=1),$Q$310,HLOOKUP(INDIRECT(ADDRESS(2,COLUMN())),OFFSET($BN$2,0,0,ROW()-1,60),ROW()-1,FALSE))</f>
        <v>178.13200000000001</v>
      </c>
      <c r="R58">
        <f ca="1">IF(AND(ISNUMBER($R$310),$B$258=1),$R$310,HLOOKUP(INDIRECT(ADDRESS(2,COLUMN())),OFFSET($BN$2,0,0,ROW()-1,60),ROW()-1,FALSE))</f>
        <v>115.31</v>
      </c>
      <c r="S58">
        <f ca="1">IF(AND(ISNUMBER($S$310),$B$258=1),$S$310,HLOOKUP(INDIRECT(ADDRESS(2,COLUMN())),OFFSET($BN$2,0,0,ROW()-1,60),ROW()-1,FALSE))</f>
        <v>113.02500000000001</v>
      </c>
      <c r="T58">
        <f ca="1">IF(AND(ISNUMBER($T$310),$B$258=1),$T$310,HLOOKUP(INDIRECT(ADDRESS(2,COLUMN())),OFFSET($BN$2,0,0,ROW()-1,60),ROW()-1,FALSE))</f>
        <v>111.747</v>
      </c>
      <c r="U58">
        <f ca="1">IF(AND(ISNUMBER($U$310),$B$258=1),$U$310,HLOOKUP(INDIRECT(ADDRESS(2,COLUMN())),OFFSET($BN$2,0,0,ROW()-1,60),ROW()-1,FALSE))</f>
        <v>110.38800000000001</v>
      </c>
      <c r="V58">
        <f ca="1">IF(AND(ISNUMBER($V$310),$B$258=1),$V$310,HLOOKUP(INDIRECT(ADDRESS(2,COLUMN())),OFFSET($BN$2,0,0,ROW()-1,60),ROW()-1,FALSE))</f>
        <v>110.002</v>
      </c>
      <c r="W58">
        <f ca="1">IF(AND(ISNUMBER($W$310),$B$258=1),$W$310,HLOOKUP(INDIRECT(ADDRESS(2,COLUMN())),OFFSET($BN$2,0,0,ROW()-1,60),ROW()-1,FALSE))</f>
        <v>100.32299999999999</v>
      </c>
      <c r="X58">
        <f ca="1">IF(AND(ISNUMBER($X$310),$B$258=1),$X$310,HLOOKUP(INDIRECT(ADDRESS(2,COLUMN())),OFFSET($BN$2,0,0,ROW()-1,60),ROW()-1,FALSE))</f>
        <v>93.837000000000003</v>
      </c>
      <c r="Y58">
        <f ca="1">IF(AND(ISNUMBER($Y$310),$B$258=1),$Y$310,HLOOKUP(INDIRECT(ADDRESS(2,COLUMN())),OFFSET($BN$2,0,0,ROW()-1,60),ROW()-1,FALSE))</f>
        <v>93.069000000000003</v>
      </c>
      <c r="Z58">
        <f ca="1">IF(AND(ISNUMBER($Z$310),$B$258=1),$Z$310,HLOOKUP(INDIRECT(ADDRESS(2,COLUMN())),OFFSET($BN$2,0,0,ROW()-1,60),ROW()-1,FALSE))</f>
        <v>93.108999999999995</v>
      </c>
      <c r="AA58">
        <f ca="1">IF(AND(ISNUMBER($AA$310),$B$258=1),$AA$310,HLOOKUP(INDIRECT(ADDRESS(2,COLUMN())),OFFSET($BN$2,0,0,ROW()-1,60),ROW()-1,FALSE))</f>
        <v>85.218999999999994</v>
      </c>
      <c r="AB58">
        <f ca="1">IF(AND(ISNUMBER($AB$310),$B$258=1),$AB$310,HLOOKUP(INDIRECT(ADDRESS(2,COLUMN())),OFFSET($BN$2,0,0,ROW()-1,60),ROW()-1,FALSE))</f>
        <v>78.17</v>
      </c>
      <c r="AC58">
        <f ca="1">IF(AND(ISNUMBER($AC$310),$B$258=1),$AC$310,HLOOKUP(INDIRECT(ADDRESS(2,COLUMN())),OFFSET($BN$2,0,0,ROW()-1,60),ROW()-1,FALSE))</f>
        <v>75.227999999999994</v>
      </c>
      <c r="AD58">
        <f ca="1">IF(AND(ISNUMBER($AD$310),$B$258=1),$AD$310,HLOOKUP(INDIRECT(ADDRESS(2,COLUMN())),OFFSET($BN$2,0,0,ROW()-1,60),ROW()-1,FALSE))</f>
        <v>75.974999999999994</v>
      </c>
      <c r="AE58">
        <f ca="1">IF(AND(ISNUMBER($AE$310),$B$258=1),$AE$310,HLOOKUP(INDIRECT(ADDRESS(2,COLUMN())),OFFSET($BN$2,0,0,ROW()-1,60),ROW()-1,FALSE))</f>
        <v>70.070999999999998</v>
      </c>
      <c r="AF58">
        <f ca="1">IF(AND(ISNUMBER($AF$310),$B$258=1),$AF$310,HLOOKUP(INDIRECT(ADDRESS(2,COLUMN())),OFFSET($BN$2,0,0,ROW()-1,60),ROW()-1,FALSE))</f>
        <v>68.622</v>
      </c>
      <c r="AG58">
        <f ca="1">IF(AND(ISNUMBER($AG$310),$B$258=1),$AG$310,HLOOKUP(INDIRECT(ADDRESS(2,COLUMN())),OFFSET($BN$2,0,0,ROW()-1,60),ROW()-1,FALSE))</f>
        <v>68.486999999999995</v>
      </c>
      <c r="AH58">
        <f ca="1">IF(AND(ISNUMBER($AH$310),$B$258=1),$AH$310,HLOOKUP(INDIRECT(ADDRESS(2,COLUMN())),OFFSET($BN$2,0,0,ROW()-1,60),ROW()-1,FALSE))</f>
        <v>66.337000000000003</v>
      </c>
      <c r="AI58">
        <f ca="1">IF(AND(ISNUMBER($AI$310),$B$258=1),$AI$310,HLOOKUP(INDIRECT(ADDRESS(2,COLUMN())),OFFSET($BN$2,0,0,ROW()-1,60),ROW()-1,FALSE))</f>
        <v>67.744</v>
      </c>
      <c r="AJ58">
        <f ca="1">IF(AND(ISNUMBER($AJ$310),$B$258=1),$AJ$310,HLOOKUP(INDIRECT(ADDRESS(2,COLUMN())),OFFSET($BN$2,0,0,ROW()-1,60),ROW()-1,FALSE))</f>
        <v>66.299000000000007</v>
      </c>
      <c r="AK58">
        <f ca="1">IF(AND(ISNUMBER($AK$310),$B$258=1),$AK$310,HLOOKUP(INDIRECT(ADDRESS(2,COLUMN())),OFFSET($BN$2,0,0,ROW()-1,60),ROW()-1,FALSE))</f>
        <v>51.52</v>
      </c>
      <c r="AL58">
        <f ca="1">IF(AND(ISNUMBER($AL$310),$B$258=1),$AL$310,HLOOKUP(INDIRECT(ADDRESS(2,COLUMN())),OFFSET($BN$2,0,0,ROW()-1,60),ROW()-1,FALSE))</f>
        <v>47.209000000000003</v>
      </c>
      <c r="AM58">
        <f ca="1">IF(AND(ISNUMBER($AM$310),$B$258=1),$AM$310,HLOOKUP(INDIRECT(ADDRESS(2,COLUMN())),OFFSET($BN$2,0,0,ROW()-1,60),ROW()-1,FALSE))</f>
        <v>40.841999999999999</v>
      </c>
      <c r="AN58">
        <f ca="1">IF(AND(ISNUMBER($AN$310),$B$258=1),$AN$310,HLOOKUP(INDIRECT(ADDRESS(2,COLUMN())),OFFSET($BN$2,0,0,ROW()-1,60),ROW()-1,FALSE))</f>
        <v>41.225999999999999</v>
      </c>
      <c r="AO58">
        <f ca="1">IF(AND(ISNUMBER($AO$310),$B$258=1),$AO$310,HLOOKUP(INDIRECT(ADDRESS(2,COLUMN())),OFFSET($BN$2,0,0,ROW()-1,60),ROW()-1,FALSE))</f>
        <v>41.225000000000001</v>
      </c>
      <c r="AP58">
        <f ca="1">IF(AND(ISNUMBER($AP$310),$B$258=1),$AP$310,HLOOKUP(INDIRECT(ADDRESS(2,COLUMN())),OFFSET($BN$2,0,0,ROW()-1,60),ROW()-1,FALSE))</f>
        <v>41.174999999999997</v>
      </c>
      <c r="AQ58">
        <f ca="1">IF(AND(ISNUMBER($AQ$310),$B$258=1),$AQ$310,HLOOKUP(INDIRECT(ADDRESS(2,COLUMN())),OFFSET($BN$2,0,0,ROW()-1,60),ROW()-1,FALSE))</f>
        <v>40.713000000000001</v>
      </c>
      <c r="AR58">
        <f ca="1">IF(AND(ISNUMBER($AR$310),$B$258=1),$AR$310,HLOOKUP(INDIRECT(ADDRESS(2,COLUMN())),OFFSET($BN$2,0,0,ROW()-1,60),ROW()-1,FALSE))</f>
        <v>37.265000000000001</v>
      </c>
      <c r="AS58" t="str">
        <f ca="1">IF(AND(ISNUMBER($AS$310),$B$258=1),$AS$310,HLOOKUP(INDIRECT(ADDRESS(2,COLUMN())),OFFSET($BN$2,0,0,ROW()-1,60),ROW()-1,FALSE))</f>
        <v/>
      </c>
      <c r="AT58">
        <f ca="1">IF(AND(ISNUMBER($AT$310),$B$258=1),$AT$310,HLOOKUP(INDIRECT(ADDRESS(2,COLUMN())),OFFSET($BN$2,0,0,ROW()-1,60),ROW()-1,FALSE))</f>
        <v>38.012999999999998</v>
      </c>
      <c r="AU58">
        <f ca="1">IF(AND(ISNUMBER($AU$310),$B$258=1),$AU$310,HLOOKUP(INDIRECT(ADDRESS(2,COLUMN())),OFFSET($BN$2,0,0,ROW()-1,60),ROW()-1,FALSE))</f>
        <v>37.969000000000001</v>
      </c>
      <c r="AV58">
        <f ca="1">IF(AND(ISNUMBER($AV$310),$B$258=1),$AV$310,HLOOKUP(INDIRECT(ADDRESS(2,COLUMN())),OFFSET($BN$2,0,0,ROW()-1,60),ROW()-1,FALSE))</f>
        <v>37.113</v>
      </c>
      <c r="AW58">
        <f ca="1">IF(AND(ISNUMBER($AW$310),$B$258=1),$AW$310,HLOOKUP(INDIRECT(ADDRESS(2,COLUMN())),OFFSET($BN$2,0,0,ROW()-1,60),ROW()-1,FALSE))</f>
        <v>36.146999999999998</v>
      </c>
      <c r="AX58">
        <f ca="1">IF(AND(ISNUMBER($AX$310),$B$258=1),$AX$310,HLOOKUP(INDIRECT(ADDRESS(2,COLUMN())),OFFSET($BN$2,0,0,ROW()-1,60),ROW()-1,FALSE))</f>
        <v>40.832000000000001</v>
      </c>
      <c r="AY58">
        <f ca="1">IF(AND(ISNUMBER($AY$310),$B$258=1),$AY$310,HLOOKUP(INDIRECT(ADDRESS(2,COLUMN())),OFFSET($BN$2,0,0,ROW()-1,60),ROW()-1,FALSE))</f>
        <v>34.247999999999998</v>
      </c>
      <c r="AZ58">
        <f ca="1">IF(AND(ISNUMBER($AZ$310),$B$258=1),$AZ$310,HLOOKUP(INDIRECT(ADDRESS(2,COLUMN())),OFFSET($BN$2,0,0,ROW()-1,60),ROW()-1,FALSE))</f>
        <v>33.015999999999998</v>
      </c>
      <c r="BA58">
        <f ca="1">IF(AND(ISNUMBER($BA$310),$B$258=1),$BA$310,HLOOKUP(INDIRECT(ADDRESS(2,COLUMN())),OFFSET($BN$2,0,0,ROW()-1,60),ROW()-1,FALSE))</f>
        <v>29.88</v>
      </c>
      <c r="BB58">
        <f ca="1">IF(AND(ISNUMBER($BB$310),$B$258=1),$BB$310,HLOOKUP(INDIRECT(ADDRESS(2,COLUMN())),OFFSET($BN$2,0,0,ROW()-1,60),ROW()-1,FALSE))</f>
        <v>29.837</v>
      </c>
      <c r="BC58">
        <f ca="1">IF(AND(ISNUMBER($BC$310),$B$258=1),$BC$310,HLOOKUP(INDIRECT(ADDRESS(2,COLUMN())),OFFSET($BN$2,0,0,ROW()-1,60),ROW()-1,FALSE))</f>
        <v>26.318999999999999</v>
      </c>
      <c r="BD58">
        <f ca="1">IF(AND(ISNUMBER($BD$310),$B$258=1),$BD$310,HLOOKUP(INDIRECT(ADDRESS(2,COLUMN())),OFFSET($BN$2,0,0,ROW()-1,60),ROW()-1,FALSE))</f>
        <v>24.858000000000001</v>
      </c>
      <c r="BE58">
        <f ca="1">IF(AND(ISNUMBER($BE$310),$B$258=1),$BE$310,HLOOKUP(INDIRECT(ADDRESS(2,COLUMN())),OFFSET($BN$2,0,0,ROW()-1,60),ROW()-1,FALSE))</f>
        <v>22.513999999999999</v>
      </c>
      <c r="BF58">
        <f ca="1">IF(AND(ISNUMBER($BF$310),$B$258=1),$BF$310,HLOOKUP(INDIRECT(ADDRESS(2,COLUMN())),OFFSET($BN$2,0,0,ROW()-1,60),ROW()-1,FALSE))</f>
        <v>21.748000000000001</v>
      </c>
      <c r="BG58">
        <f ca="1">IF(AND(ISNUMBER($BG$310),$B$258=1),$BG$310,HLOOKUP(INDIRECT(ADDRESS(2,COLUMN())),OFFSET($BN$2,0,0,ROW()-1,60),ROW()-1,FALSE))</f>
        <v>14.473000000000001</v>
      </c>
      <c r="BH58">
        <f ca="1">IF(AND(ISNUMBER($BH$310),$B$258=1),$BH$310,HLOOKUP(INDIRECT(ADDRESS(2,COLUMN())),OFFSET($BN$2,0,0,ROW()-1,60),ROW()-1,FALSE))</f>
        <v>18.572000500000001</v>
      </c>
      <c r="BI58">
        <f ca="1">IF(AND(ISNUMBER($BI$310),$B$258=1),$BI$310,HLOOKUP(INDIRECT(ADDRESS(2,COLUMN())),OFFSET($BN$2,0,0,ROW()-1,60),ROW()-1,FALSE))</f>
        <v>18.170000080000001</v>
      </c>
      <c r="BJ58">
        <f ca="1">IF(AND(ISNUMBER($BJ$310),$B$258=1),$BJ$310,HLOOKUP(INDIRECT(ADDRESS(2,COLUMN())),OFFSET($BN$2,0,0,ROW()-1,60),ROW()-1,FALSE))</f>
        <v>17.122999190000002</v>
      </c>
      <c r="BK58">
        <f ca="1">IF(AND(ISNUMBER($BK$310),$B$258=1),$BK$310,HLOOKUP(INDIRECT(ADDRESS(2,COLUMN())),OFFSET($BN$2,0,0,ROW()-1,60),ROW()-1,FALSE))</f>
        <v>16.535999</v>
      </c>
      <c r="BL58">
        <f ca="1">IF(AND(ISNUMBER($BL$310),$B$258=1),$BL$310,HLOOKUP(INDIRECT(ADDRESS(2,COLUMN())),OFFSET($BN$2,0,0,ROW()-1,60),ROW()-1,FALSE))</f>
        <v>16.351000710000001</v>
      </c>
      <c r="BM58">
        <f ca="1">IF(AND(ISNUMBER($BM$310),$B$258=1),$BM$310,HLOOKUP(INDIRECT(ADDRESS(2,COLUMN())),OFFSET($BN$2,0,0,ROW()-1,60),ROW()-1,FALSE))</f>
        <v>15.886999879999999</v>
      </c>
      <c r="BN58" t="str">
        <f>""</f>
        <v/>
      </c>
      <c r="BO58">
        <f>195.193</f>
        <v>195.19300000000001</v>
      </c>
      <c r="BP58">
        <f>194.677</f>
        <v>194.67699999999999</v>
      </c>
      <c r="BQ58">
        <f>209.459</f>
        <v>209.459</v>
      </c>
      <c r="BR58">
        <f>208.183</f>
        <v>208.18299999999999</v>
      </c>
      <c r="BS58">
        <f>210.615</f>
        <v>210.61500000000001</v>
      </c>
      <c r="BT58">
        <f>201.448</f>
        <v>201.44800000000001</v>
      </c>
      <c r="BU58">
        <f>201.975</f>
        <v>201.97499999999999</v>
      </c>
      <c r="BV58">
        <f>192.145</f>
        <v>192.14500000000001</v>
      </c>
      <c r="BW58">
        <f>190.646</f>
        <v>190.64599999999999</v>
      </c>
      <c r="BX58">
        <f>181.839</f>
        <v>181.839</v>
      </c>
      <c r="BY58">
        <f>178.132</f>
        <v>178.13200000000001</v>
      </c>
      <c r="BZ58">
        <f>115.31</f>
        <v>115.31</v>
      </c>
      <c r="CA58">
        <f>113.025</f>
        <v>113.02500000000001</v>
      </c>
      <c r="CB58">
        <f>111.747</f>
        <v>111.747</v>
      </c>
      <c r="CC58">
        <f>110.388</f>
        <v>110.38800000000001</v>
      </c>
      <c r="CD58">
        <f>110.002</f>
        <v>110.002</v>
      </c>
      <c r="CE58">
        <f>100.323</f>
        <v>100.32299999999999</v>
      </c>
      <c r="CF58">
        <f>93.837</f>
        <v>93.837000000000003</v>
      </c>
      <c r="CG58">
        <f>93.069</f>
        <v>93.069000000000003</v>
      </c>
      <c r="CH58">
        <f>93.109</f>
        <v>93.108999999999995</v>
      </c>
      <c r="CI58">
        <f>85.219</f>
        <v>85.218999999999994</v>
      </c>
      <c r="CJ58">
        <f>78.17</f>
        <v>78.17</v>
      </c>
      <c r="CK58">
        <f>75.228</f>
        <v>75.227999999999994</v>
      </c>
      <c r="CL58">
        <f>75.975</f>
        <v>75.974999999999994</v>
      </c>
      <c r="CM58">
        <f>70.071</f>
        <v>70.070999999999998</v>
      </c>
      <c r="CN58">
        <f>68.622</f>
        <v>68.622</v>
      </c>
      <c r="CO58">
        <f>68.487</f>
        <v>68.486999999999995</v>
      </c>
      <c r="CP58">
        <f>66.337</f>
        <v>66.337000000000003</v>
      </c>
      <c r="CQ58">
        <f>67.744</f>
        <v>67.744</v>
      </c>
      <c r="CR58">
        <f>66.299</f>
        <v>66.299000000000007</v>
      </c>
      <c r="CS58">
        <f>51.52</f>
        <v>51.52</v>
      </c>
      <c r="CT58">
        <f>47.209</f>
        <v>47.209000000000003</v>
      </c>
      <c r="CU58">
        <f>40.842</f>
        <v>40.841999999999999</v>
      </c>
      <c r="CV58">
        <f>41.226</f>
        <v>41.225999999999999</v>
      </c>
      <c r="CW58">
        <f>41.225</f>
        <v>41.225000000000001</v>
      </c>
      <c r="CX58">
        <f>41.175</f>
        <v>41.174999999999997</v>
      </c>
      <c r="CY58">
        <f>40.713</f>
        <v>40.713000000000001</v>
      </c>
      <c r="CZ58">
        <f>37.265</f>
        <v>37.265000000000001</v>
      </c>
      <c r="DA58" t="str">
        <f>""</f>
        <v/>
      </c>
      <c r="DB58">
        <f>38.013</f>
        <v>38.012999999999998</v>
      </c>
      <c r="DC58">
        <f>37.969</f>
        <v>37.969000000000001</v>
      </c>
      <c r="DD58">
        <f>37.113</f>
        <v>37.113</v>
      </c>
      <c r="DE58">
        <f>36.147</f>
        <v>36.146999999999998</v>
      </c>
      <c r="DF58">
        <f>40.832</f>
        <v>40.832000000000001</v>
      </c>
      <c r="DG58">
        <f>34.248</f>
        <v>34.247999999999998</v>
      </c>
      <c r="DH58">
        <f>33.016</f>
        <v>33.015999999999998</v>
      </c>
      <c r="DI58">
        <f>29.88</f>
        <v>29.88</v>
      </c>
      <c r="DJ58">
        <f>29.837</f>
        <v>29.837</v>
      </c>
      <c r="DK58">
        <f>26.319</f>
        <v>26.318999999999999</v>
      </c>
      <c r="DL58">
        <f>24.858</f>
        <v>24.858000000000001</v>
      </c>
      <c r="DM58">
        <f>22.514</f>
        <v>22.513999999999999</v>
      </c>
      <c r="DN58">
        <f>21.748</f>
        <v>21.748000000000001</v>
      </c>
      <c r="DO58">
        <f>14.473</f>
        <v>14.473000000000001</v>
      </c>
      <c r="DP58">
        <f>18.5720005</f>
        <v>18.572000500000001</v>
      </c>
      <c r="DQ58">
        <f>18.17000008</f>
        <v>18.170000080000001</v>
      </c>
      <c r="DR58">
        <f>17.12299919</f>
        <v>17.122999190000002</v>
      </c>
      <c r="DS58">
        <f>16.535999</f>
        <v>16.535999</v>
      </c>
      <c r="DT58">
        <f>16.35100071</f>
        <v>16.351000710000001</v>
      </c>
      <c r="DU58">
        <f>15.88699988</f>
        <v>15.886999879999999</v>
      </c>
    </row>
    <row r="59" spans="1:125">
      <c r="A59" t="str">
        <f>"    Sabra Health Care REIT Inc"</f>
        <v xml:space="preserve">    Sabra Health Care REIT Inc</v>
      </c>
      <c r="B59" t="str">
        <f>"SBRA US Equity"</f>
        <v>SBRA US Equity</v>
      </c>
      <c r="C59" t="str">
        <f t="shared" si="12"/>
        <v>RR502</v>
      </c>
      <c r="D59" t="str">
        <f t="shared" si="13"/>
        <v>NET_OPER_INCOME</v>
      </c>
      <c r="E59" t="str">
        <f t="shared" si="14"/>
        <v>动态</v>
      </c>
      <c r="F59" t="str">
        <f ca="1">IF(AND(ISNUMBER($F$311),$B$258=1),$F$311,HLOOKUP(INDIRECT(ADDRESS(2,COLUMN())),OFFSET($BN$2,0,0,ROW()-1,60),ROW()-1,FALSE))</f>
        <v/>
      </c>
      <c r="G59">
        <f ca="1">IF(AND(ISNUMBER($G$311),$B$258=1),$G$311,HLOOKUP(INDIRECT(ADDRESS(2,COLUMN())),OFFSET($BN$2,0,0,ROW()-1,60),ROW()-1,FALSE))</f>
        <v>159.50800000000001</v>
      </c>
      <c r="H59">
        <f ca="1">IF(AND(ISNUMBER($H$311),$B$258=1),$H$311,HLOOKUP(INDIRECT(ADDRESS(2,COLUMN())),OFFSET($BN$2,0,0,ROW()-1,60),ROW()-1,FALSE))</f>
        <v>107.699</v>
      </c>
      <c r="I59">
        <f ca="1">IF(AND(ISNUMBER($I$311),$B$258=1),$I$311,HLOOKUP(INDIRECT(ADDRESS(2,COLUMN())),OFFSET($BN$2,0,0,ROW()-1,60),ROW()-1,FALSE))</f>
        <v>62.709000000000003</v>
      </c>
      <c r="J59">
        <f ca="1">IF(AND(ISNUMBER($J$311),$B$258=1),$J$311,HLOOKUP(INDIRECT(ADDRESS(2,COLUMN())),OFFSET($BN$2,0,0,ROW()-1,60),ROW()-1,FALSE))</f>
        <v>60.704999999999998</v>
      </c>
      <c r="K59">
        <f ca="1">IF(AND(ISNUMBER($K$311),$B$258=1),$K$311,HLOOKUP(INDIRECT(ADDRESS(2,COLUMN())),OFFSET($BN$2,0,0,ROW()-1,60),ROW()-1,FALSE))</f>
        <v>59.81</v>
      </c>
      <c r="L59">
        <f ca="1">IF(AND(ISNUMBER($L$311),$B$258=1),$L$311,HLOOKUP(INDIRECT(ADDRESS(2,COLUMN())),OFFSET($BN$2,0,0,ROW()-1,60),ROW()-1,FALSE))</f>
        <v>58.77</v>
      </c>
      <c r="M59">
        <f ca="1">IF(AND(ISNUMBER($M$311),$B$258=1),$M$311,HLOOKUP(INDIRECT(ADDRESS(2,COLUMN())),OFFSET($BN$2,0,0,ROW()-1,60),ROW()-1,FALSE))</f>
        <v>57.256</v>
      </c>
      <c r="N59">
        <f ca="1">IF(AND(ISNUMBER($N$311),$B$258=1),$N$311,HLOOKUP(INDIRECT(ADDRESS(2,COLUMN())),OFFSET($BN$2,0,0,ROW()-1,60),ROW()-1,FALSE))</f>
        <v>57.226999999999997</v>
      </c>
      <c r="O59">
        <f ca="1">IF(AND(ISNUMBER($O$311),$B$258=1),$O$311,HLOOKUP(INDIRECT(ADDRESS(2,COLUMN())),OFFSET($BN$2,0,0,ROW()-1,60),ROW()-1,FALSE))</f>
        <v>58.862000000000002</v>
      </c>
      <c r="P59">
        <f ca="1">IF(AND(ISNUMBER($P$311),$B$258=1),$P$311,HLOOKUP(INDIRECT(ADDRESS(2,COLUMN())),OFFSET($BN$2,0,0,ROW()-1,60),ROW()-1,FALSE))</f>
        <v>53.173000000000002</v>
      </c>
      <c r="Q59">
        <f ca="1">IF(AND(ISNUMBER($Q$311),$B$258=1),$Q$311,HLOOKUP(INDIRECT(ADDRESS(2,COLUMN())),OFFSET($BN$2,0,0,ROW()-1,60),ROW()-1,FALSE))</f>
        <v>49.896000000000001</v>
      </c>
      <c r="R59">
        <f ca="1">IF(AND(ISNUMBER($R$311),$B$258=1),$R$311,HLOOKUP(INDIRECT(ADDRESS(2,COLUMN())),OFFSET($BN$2,0,0,ROW()-1,60),ROW()-1,FALSE))</f>
        <v>49.505000000000003</v>
      </c>
      <c r="S59">
        <f ca="1">IF(AND(ISNUMBER($S$311),$B$258=1),$S$311,HLOOKUP(INDIRECT(ADDRESS(2,COLUMN())),OFFSET($BN$2,0,0,ROW()-1,60),ROW()-1,FALSE))</f>
        <v>49.74</v>
      </c>
      <c r="T59">
        <f ca="1">IF(AND(ISNUMBER($T$311),$B$258=1),$T$311,HLOOKUP(INDIRECT(ADDRESS(2,COLUMN())),OFFSET($BN$2,0,0,ROW()-1,60),ROW()-1,FALSE))</f>
        <v>38.164999999999999</v>
      </c>
      <c r="U59">
        <f ca="1">IF(AND(ISNUMBER($U$311),$B$258=1),$U$311,HLOOKUP(INDIRECT(ADDRESS(2,COLUMN())),OFFSET($BN$2,0,0,ROW()-1,60),ROW()-1,FALSE))</f>
        <v>37.484999999999999</v>
      </c>
      <c r="V59">
        <f ca="1">IF(AND(ISNUMBER($V$311),$B$258=1),$V$311,HLOOKUP(INDIRECT(ADDRESS(2,COLUMN())),OFFSET($BN$2,0,0,ROW()-1,60),ROW()-1,FALSE))</f>
        <v>36.093000000000004</v>
      </c>
      <c r="W59">
        <f ca="1">IF(AND(ISNUMBER($W$311),$B$258=1),$W$311,HLOOKUP(INDIRECT(ADDRESS(2,COLUMN())),OFFSET($BN$2,0,0,ROW()-1,60),ROW()-1,FALSE))</f>
        <v>34.295999999999999</v>
      </c>
      <c r="X59">
        <f ca="1">IF(AND(ISNUMBER($X$311),$B$258=1),$X$311,HLOOKUP(INDIRECT(ADDRESS(2,COLUMN())),OFFSET($BN$2,0,0,ROW()-1,60),ROW()-1,FALSE))</f>
        <v>31.699000000000002</v>
      </c>
      <c r="Y59">
        <f ca="1">IF(AND(ISNUMBER($Y$311),$B$258=1),$Y$311,HLOOKUP(INDIRECT(ADDRESS(2,COLUMN())),OFFSET($BN$2,0,0,ROW()-1,60),ROW()-1,FALSE))</f>
        <v>31.518000000000001</v>
      </c>
      <c r="Z59">
        <f ca="1">IF(AND(ISNUMBER($Z$311),$B$258=1),$Z$311,HLOOKUP(INDIRECT(ADDRESS(2,COLUMN())),OFFSET($BN$2,0,0,ROW()-1,60),ROW()-1,FALSE))</f>
        <v>31.475000000000001</v>
      </c>
      <c r="AA59">
        <f ca="1">IF(AND(ISNUMBER($AA$311),$B$258=1),$AA$311,HLOOKUP(INDIRECT(ADDRESS(2,COLUMN())),OFFSET($BN$2,0,0,ROW()-1,60),ROW()-1,FALSE))</f>
        <v>27.838000000000001</v>
      </c>
      <c r="AB59">
        <f ca="1">IF(AND(ISNUMBER($AB$311),$B$258=1),$AB$311,HLOOKUP(INDIRECT(ADDRESS(2,COLUMN())),OFFSET($BN$2,0,0,ROW()-1,60),ROW()-1,FALSE))</f>
        <v>25.42</v>
      </c>
      <c r="AC59">
        <f ca="1">IF(AND(ISNUMBER($AC$311),$B$258=1),$AC$311,HLOOKUP(INDIRECT(ADDRESS(2,COLUMN())),OFFSET($BN$2,0,0,ROW()-1,60),ROW()-1,FALSE))</f>
        <v>24.82</v>
      </c>
      <c r="AD59">
        <f ca="1">IF(AND(ISNUMBER($AD$311),$B$258=1),$AD$311,HLOOKUP(INDIRECT(ADDRESS(2,COLUMN())),OFFSET($BN$2,0,0,ROW()-1,60),ROW()-1,FALSE))</f>
        <v>23.663</v>
      </c>
      <c r="AE59">
        <f ca="1">IF(AND(ISNUMBER($AE$311),$B$258=1),$AE$311,HLOOKUP(INDIRECT(ADDRESS(2,COLUMN())),OFFSET($BN$2,0,0,ROW()-1,60),ROW()-1,FALSE))</f>
        <v>23.195</v>
      </c>
      <c r="AF59">
        <f ca="1">IF(AND(ISNUMBER($AF$311),$B$258=1),$AF$311,HLOOKUP(INDIRECT(ADDRESS(2,COLUMN())),OFFSET($BN$2,0,0,ROW()-1,60),ROW()-1,FALSE))</f>
        <v>21.294</v>
      </c>
      <c r="AG59">
        <f ca="1">IF(AND(ISNUMBER($AG$311),$B$258=1),$AG$311,HLOOKUP(INDIRECT(ADDRESS(2,COLUMN())),OFFSET($BN$2,0,0,ROW()-1,60),ROW()-1,FALSE))</f>
        <v>18.628</v>
      </c>
      <c r="AH59">
        <f ca="1">IF(AND(ISNUMBER($AH$311),$B$258=1),$AH$311,HLOOKUP(INDIRECT(ADDRESS(2,COLUMN())),OFFSET($BN$2,0,0,ROW()-1,60),ROW()-1,FALSE))</f>
        <v>17.561</v>
      </c>
      <c r="AI59" t="str">
        <f ca="1">IF(AND(ISNUMBER($AI$311),$B$258=1),$AI$311,HLOOKUP(INDIRECT(ADDRESS(2,COLUMN())),OFFSET($BN$2,0,0,ROW()-1,60),ROW()-1,FALSE))</f>
        <v/>
      </c>
      <c r="AJ59" t="str">
        <f ca="1">IF(AND(ISNUMBER($AJ$311),$B$258=1),$AJ$311,HLOOKUP(INDIRECT(ADDRESS(2,COLUMN())),OFFSET($BN$2,0,0,ROW()-1,60),ROW()-1,FALSE))</f>
        <v/>
      </c>
      <c r="AK59" t="str">
        <f ca="1">IF(AND(ISNUMBER($AK$311),$B$258=1),$AK$311,HLOOKUP(INDIRECT(ADDRESS(2,COLUMN())),OFFSET($BN$2,0,0,ROW()-1,60),ROW()-1,FALSE))</f>
        <v/>
      </c>
      <c r="AL59" t="str">
        <f ca="1">IF(AND(ISNUMBER($AL$311),$B$258=1),$AL$311,HLOOKUP(INDIRECT(ADDRESS(2,COLUMN())),OFFSET($BN$2,0,0,ROW()-1,60),ROW()-1,FALSE))</f>
        <v/>
      </c>
      <c r="AM59" t="str">
        <f ca="1">IF(AND(ISNUMBER($AM$311),$B$258=1),$AM$311,HLOOKUP(INDIRECT(ADDRESS(2,COLUMN())),OFFSET($BN$2,0,0,ROW()-1,60),ROW()-1,FALSE))</f>
        <v/>
      </c>
      <c r="AN59" t="str">
        <f ca="1">IF(AND(ISNUMBER($AN$311),$B$258=1),$AN$311,HLOOKUP(INDIRECT(ADDRESS(2,COLUMN())),OFFSET($BN$2,0,0,ROW()-1,60),ROW()-1,FALSE))</f>
        <v/>
      </c>
      <c r="AO59" t="str">
        <f ca="1">IF(AND(ISNUMBER($AO$311),$B$258=1),$AO$311,HLOOKUP(INDIRECT(ADDRESS(2,COLUMN())),OFFSET($BN$2,0,0,ROW()-1,60),ROW()-1,FALSE))</f>
        <v/>
      </c>
      <c r="AP59" t="str">
        <f ca="1">IF(AND(ISNUMBER($AP$311),$B$258=1),$AP$311,HLOOKUP(INDIRECT(ADDRESS(2,COLUMN())),OFFSET($BN$2,0,0,ROW()-1,60),ROW()-1,FALSE))</f>
        <v/>
      </c>
      <c r="AQ59" t="str">
        <f ca="1">IF(AND(ISNUMBER($AQ$311),$B$258=1),$AQ$311,HLOOKUP(INDIRECT(ADDRESS(2,COLUMN())),OFFSET($BN$2,0,0,ROW()-1,60),ROW()-1,FALSE))</f>
        <v/>
      </c>
      <c r="AR59" t="str">
        <f ca="1">IF(AND(ISNUMBER($AR$311),$B$258=1),$AR$311,HLOOKUP(INDIRECT(ADDRESS(2,COLUMN())),OFFSET($BN$2,0,0,ROW()-1,60),ROW()-1,FALSE))</f>
        <v/>
      </c>
      <c r="AS59" t="str">
        <f ca="1">IF(AND(ISNUMBER($AS$311),$B$258=1),$AS$311,HLOOKUP(INDIRECT(ADDRESS(2,COLUMN())),OFFSET($BN$2,0,0,ROW()-1,60),ROW()-1,FALSE))</f>
        <v/>
      </c>
      <c r="AT59" t="str">
        <f ca="1">IF(AND(ISNUMBER($AT$311),$B$258=1),$AT$311,HLOOKUP(INDIRECT(ADDRESS(2,COLUMN())),OFFSET($BN$2,0,0,ROW()-1,60),ROW()-1,FALSE))</f>
        <v/>
      </c>
      <c r="AU59" t="str">
        <f ca="1">IF(AND(ISNUMBER($AU$311),$B$258=1),$AU$311,HLOOKUP(INDIRECT(ADDRESS(2,COLUMN())),OFFSET($BN$2,0,0,ROW()-1,60),ROW()-1,FALSE))</f>
        <v/>
      </c>
      <c r="AV59" t="str">
        <f ca="1">IF(AND(ISNUMBER($AV$311),$B$258=1),$AV$311,HLOOKUP(INDIRECT(ADDRESS(2,COLUMN())),OFFSET($BN$2,0,0,ROW()-1,60),ROW()-1,FALSE))</f>
        <v/>
      </c>
      <c r="AW59" t="str">
        <f ca="1">IF(AND(ISNUMBER($AW$311),$B$258=1),$AW$311,HLOOKUP(INDIRECT(ADDRESS(2,COLUMN())),OFFSET($BN$2,0,0,ROW()-1,60),ROW()-1,FALSE))</f>
        <v/>
      </c>
      <c r="AX59" t="str">
        <f ca="1">IF(AND(ISNUMBER($AX$311),$B$258=1),$AX$311,HLOOKUP(INDIRECT(ADDRESS(2,COLUMN())),OFFSET($BN$2,0,0,ROW()-1,60),ROW()-1,FALSE))</f>
        <v/>
      </c>
      <c r="AY59" t="str">
        <f ca="1">IF(AND(ISNUMBER($AY$311),$B$258=1),$AY$311,HLOOKUP(INDIRECT(ADDRESS(2,COLUMN())),OFFSET($BN$2,0,0,ROW()-1,60),ROW()-1,FALSE))</f>
        <v/>
      </c>
      <c r="AZ59" t="str">
        <f ca="1">IF(AND(ISNUMBER($AZ$311),$B$258=1),$AZ$311,HLOOKUP(INDIRECT(ADDRESS(2,COLUMN())),OFFSET($BN$2,0,0,ROW()-1,60),ROW()-1,FALSE))</f>
        <v/>
      </c>
      <c r="BA59" t="str">
        <f ca="1">IF(AND(ISNUMBER($BA$311),$B$258=1),$BA$311,HLOOKUP(INDIRECT(ADDRESS(2,COLUMN())),OFFSET($BN$2,0,0,ROW()-1,60),ROW()-1,FALSE))</f>
        <v/>
      </c>
      <c r="BB59" t="str">
        <f ca="1">IF(AND(ISNUMBER($BB$311),$B$258=1),$BB$311,HLOOKUP(INDIRECT(ADDRESS(2,COLUMN())),OFFSET($BN$2,0,0,ROW()-1,60),ROW()-1,FALSE))</f>
        <v/>
      </c>
      <c r="BC59" t="str">
        <f ca="1">IF(AND(ISNUMBER($BC$311),$B$258=1),$BC$311,HLOOKUP(INDIRECT(ADDRESS(2,COLUMN())),OFFSET($BN$2,0,0,ROW()-1,60),ROW()-1,FALSE))</f>
        <v/>
      </c>
      <c r="BD59" t="str">
        <f ca="1">IF(AND(ISNUMBER($BD$311),$B$258=1),$BD$311,HLOOKUP(INDIRECT(ADDRESS(2,COLUMN())),OFFSET($BN$2,0,0,ROW()-1,60),ROW()-1,FALSE))</f>
        <v/>
      </c>
      <c r="BE59" t="str">
        <f ca="1">IF(AND(ISNUMBER($BE$311),$B$258=1),$BE$311,HLOOKUP(INDIRECT(ADDRESS(2,COLUMN())),OFFSET($BN$2,0,0,ROW()-1,60),ROW()-1,FALSE))</f>
        <v/>
      </c>
      <c r="BF59" t="str">
        <f ca="1">IF(AND(ISNUMBER($BF$311),$B$258=1),$BF$311,HLOOKUP(INDIRECT(ADDRESS(2,COLUMN())),OFFSET($BN$2,0,0,ROW()-1,60),ROW()-1,FALSE))</f>
        <v/>
      </c>
      <c r="BG59" t="str">
        <f ca="1">IF(AND(ISNUMBER($BG$311),$B$258=1),$BG$311,HLOOKUP(INDIRECT(ADDRESS(2,COLUMN())),OFFSET($BN$2,0,0,ROW()-1,60),ROW()-1,FALSE))</f>
        <v/>
      </c>
      <c r="BH59" t="str">
        <f ca="1">IF(AND(ISNUMBER($BH$311),$B$258=1),$BH$311,HLOOKUP(INDIRECT(ADDRESS(2,COLUMN())),OFFSET($BN$2,0,0,ROW()-1,60),ROW()-1,FALSE))</f>
        <v/>
      </c>
      <c r="BI59" t="str">
        <f ca="1">IF(AND(ISNUMBER($BI$311),$B$258=1),$BI$311,HLOOKUP(INDIRECT(ADDRESS(2,COLUMN())),OFFSET($BN$2,0,0,ROW()-1,60),ROW()-1,FALSE))</f>
        <v/>
      </c>
      <c r="BJ59" t="str">
        <f ca="1">IF(AND(ISNUMBER($BJ$311),$B$258=1),$BJ$311,HLOOKUP(INDIRECT(ADDRESS(2,COLUMN())),OFFSET($BN$2,0,0,ROW()-1,60),ROW()-1,FALSE))</f>
        <v/>
      </c>
      <c r="BK59" t="str">
        <f ca="1">IF(AND(ISNUMBER($BK$311),$B$258=1),$BK$311,HLOOKUP(INDIRECT(ADDRESS(2,COLUMN())),OFFSET($BN$2,0,0,ROW()-1,60),ROW()-1,FALSE))</f>
        <v/>
      </c>
      <c r="BL59" t="str">
        <f ca="1">IF(AND(ISNUMBER($BL$311),$B$258=1),$BL$311,HLOOKUP(INDIRECT(ADDRESS(2,COLUMN())),OFFSET($BN$2,0,0,ROW()-1,60),ROW()-1,FALSE))</f>
        <v/>
      </c>
      <c r="BM59" t="str">
        <f ca="1">IF(AND(ISNUMBER($BM$311),$B$258=1),$BM$311,HLOOKUP(INDIRECT(ADDRESS(2,COLUMN())),OFFSET($BN$2,0,0,ROW()-1,60),ROW()-1,FALSE))</f>
        <v/>
      </c>
      <c r="BN59" t="str">
        <f>""</f>
        <v/>
      </c>
      <c r="BO59">
        <f>159.508</f>
        <v>159.50800000000001</v>
      </c>
      <c r="BP59">
        <f>107.699</f>
        <v>107.699</v>
      </c>
      <c r="BQ59">
        <f>62.709</f>
        <v>62.709000000000003</v>
      </c>
      <c r="BR59">
        <f>60.705</f>
        <v>60.704999999999998</v>
      </c>
      <c r="BS59">
        <f>59.81</f>
        <v>59.81</v>
      </c>
      <c r="BT59">
        <f>58.77</f>
        <v>58.77</v>
      </c>
      <c r="BU59">
        <f>57.256</f>
        <v>57.256</v>
      </c>
      <c r="BV59">
        <f>57.227</f>
        <v>57.226999999999997</v>
      </c>
      <c r="BW59">
        <f>58.862</f>
        <v>58.862000000000002</v>
      </c>
      <c r="BX59">
        <f>53.173</f>
        <v>53.173000000000002</v>
      </c>
      <c r="BY59">
        <f>49.896</f>
        <v>49.896000000000001</v>
      </c>
      <c r="BZ59">
        <f>49.505</f>
        <v>49.505000000000003</v>
      </c>
      <c r="CA59">
        <f>49.74</f>
        <v>49.74</v>
      </c>
      <c r="CB59">
        <f>38.165</f>
        <v>38.164999999999999</v>
      </c>
      <c r="CC59">
        <f>37.485</f>
        <v>37.484999999999999</v>
      </c>
      <c r="CD59">
        <f>36.093</f>
        <v>36.093000000000004</v>
      </c>
      <c r="CE59">
        <f>34.296</f>
        <v>34.295999999999999</v>
      </c>
      <c r="CF59">
        <f>31.699</f>
        <v>31.699000000000002</v>
      </c>
      <c r="CG59">
        <f>31.518</f>
        <v>31.518000000000001</v>
      </c>
      <c r="CH59">
        <f>31.475</f>
        <v>31.475000000000001</v>
      </c>
      <c r="CI59">
        <f>27.838</f>
        <v>27.838000000000001</v>
      </c>
      <c r="CJ59">
        <f>25.42</f>
        <v>25.42</v>
      </c>
      <c r="CK59">
        <f>24.82</f>
        <v>24.82</v>
      </c>
      <c r="CL59">
        <f>23.663</f>
        <v>23.663</v>
      </c>
      <c r="CM59">
        <f>23.195</f>
        <v>23.195</v>
      </c>
      <c r="CN59">
        <f>21.294</f>
        <v>21.294</v>
      </c>
      <c r="CO59">
        <f>18.628</f>
        <v>18.628</v>
      </c>
      <c r="CP59">
        <f>17.561</f>
        <v>17.561</v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    Senior Housing Properties Trus"</f>
        <v xml:space="preserve">    Senior Housing Properties Trus</v>
      </c>
      <c r="B60" t="str">
        <f>"SNH US Equity"</f>
        <v>SNH US Equity</v>
      </c>
      <c r="C60" t="str">
        <f t="shared" si="12"/>
        <v>RR502</v>
      </c>
      <c r="D60" t="str">
        <f t="shared" si="13"/>
        <v>NET_OPER_INCOME</v>
      </c>
      <c r="E60" t="str">
        <f t="shared" si="14"/>
        <v>动态</v>
      </c>
      <c r="F60" t="str">
        <f ca="1">IF(AND(ISNUMBER($F$312),$B$258=1),$F$312,HLOOKUP(INDIRECT(ADDRESS(2,COLUMN())),OFFSET($BN$2,0,0,ROW()-1,60),ROW()-1,FALSE))</f>
        <v/>
      </c>
      <c r="G60">
        <f ca="1">IF(AND(ISNUMBER($G$312),$B$258=1),$G$312,HLOOKUP(INDIRECT(ADDRESS(2,COLUMN())),OFFSET($BN$2,0,0,ROW()-1,60),ROW()-1,FALSE))</f>
        <v>74.72</v>
      </c>
      <c r="H60">
        <f ca="1">IF(AND(ISNUMBER($H$312),$B$258=1),$H$312,HLOOKUP(INDIRECT(ADDRESS(2,COLUMN())),OFFSET($BN$2,0,0,ROW()-1,60),ROW()-1,FALSE))</f>
        <v>63.634</v>
      </c>
      <c r="I60">
        <f ca="1">IF(AND(ISNUMBER($I$312),$B$258=1),$I$312,HLOOKUP(INDIRECT(ADDRESS(2,COLUMN())),OFFSET($BN$2,0,0,ROW()-1,60),ROW()-1,FALSE))</f>
        <v>63.851999999999997</v>
      </c>
      <c r="J60">
        <f ca="1">IF(AND(ISNUMBER($J$312),$B$258=1),$J$312,HLOOKUP(INDIRECT(ADDRESS(2,COLUMN())),OFFSET($BN$2,0,0,ROW()-1,60),ROW()-1,FALSE))</f>
        <v>65.385999999999996</v>
      </c>
      <c r="K60">
        <f ca="1">IF(AND(ISNUMBER($K$312),$B$258=1),$K$312,HLOOKUP(INDIRECT(ADDRESS(2,COLUMN())),OFFSET($BN$2,0,0,ROW()-1,60),ROW()-1,FALSE))</f>
        <v>74.256</v>
      </c>
      <c r="L60">
        <f ca="1">IF(AND(ISNUMBER($L$312),$B$258=1),$L$312,HLOOKUP(INDIRECT(ADDRESS(2,COLUMN())),OFFSET($BN$2,0,0,ROW()-1,60),ROW()-1,FALSE))</f>
        <v>62.155999999999999</v>
      </c>
      <c r="M60">
        <f ca="1">IF(AND(ISNUMBER($M$312),$B$258=1),$M$312,HLOOKUP(INDIRECT(ADDRESS(2,COLUMN())),OFFSET($BN$2,0,0,ROW()-1,60),ROW()-1,FALSE))</f>
        <v>66.522999999999996</v>
      </c>
      <c r="N60">
        <f ca="1">IF(AND(ISNUMBER($N$312),$B$258=1),$N$312,HLOOKUP(INDIRECT(ADDRESS(2,COLUMN())),OFFSET($BN$2,0,0,ROW()-1,60),ROW()-1,FALSE))</f>
        <v>63.472000000000001</v>
      </c>
      <c r="O60">
        <f ca="1">IF(AND(ISNUMBER($O$312),$B$258=1),$O$312,HLOOKUP(INDIRECT(ADDRESS(2,COLUMN())),OFFSET($BN$2,0,0,ROW()-1,60),ROW()-1,FALSE))</f>
        <v>69.44</v>
      </c>
      <c r="P60">
        <f ca="1">IF(AND(ISNUMBER($P$312),$B$258=1),$P$312,HLOOKUP(INDIRECT(ADDRESS(2,COLUMN())),OFFSET($BN$2,0,0,ROW()-1,60),ROW()-1,FALSE))</f>
        <v>61.936</v>
      </c>
      <c r="Q60">
        <f ca="1">IF(AND(ISNUMBER($Q$312),$B$258=1),$Q$312,HLOOKUP(INDIRECT(ADDRESS(2,COLUMN())),OFFSET($BN$2,0,0,ROW()-1,60),ROW()-1,FALSE))</f>
        <v>61.954000000000001</v>
      </c>
      <c r="R60">
        <f ca="1">IF(AND(ISNUMBER($R$312),$B$258=1),$R$312,HLOOKUP(INDIRECT(ADDRESS(2,COLUMN())),OFFSET($BN$2,0,0,ROW()-1,60),ROW()-1,FALSE))</f>
        <v>59.99</v>
      </c>
      <c r="S60">
        <f ca="1">IF(AND(ISNUMBER($S$312),$B$258=1),$S$312,HLOOKUP(INDIRECT(ADDRESS(2,COLUMN())),OFFSET($BN$2,0,0,ROW()-1,60),ROW()-1,FALSE))</f>
        <v>65.096000000000004</v>
      </c>
      <c r="T60">
        <f ca="1">IF(AND(ISNUMBER($T$312),$B$258=1),$T$312,HLOOKUP(INDIRECT(ADDRESS(2,COLUMN())),OFFSET($BN$2,0,0,ROW()-1,60),ROW()-1,FALSE))</f>
        <v>54.908000000000001</v>
      </c>
      <c r="U60">
        <f ca="1">IF(AND(ISNUMBER($U$312),$B$258=1),$U$312,HLOOKUP(INDIRECT(ADDRESS(2,COLUMN())),OFFSET($BN$2,0,0,ROW()-1,60),ROW()-1,FALSE))</f>
        <v>47.883000000000003</v>
      </c>
      <c r="V60">
        <f ca="1">IF(AND(ISNUMBER($V$312),$B$258=1),$V$312,HLOOKUP(INDIRECT(ADDRESS(2,COLUMN())),OFFSET($BN$2,0,0,ROW()-1,60),ROW()-1,FALSE))</f>
        <v>34.253</v>
      </c>
      <c r="W60">
        <f ca="1">IF(AND(ISNUMBER($W$312),$B$258=1),$W$312,HLOOKUP(INDIRECT(ADDRESS(2,COLUMN())),OFFSET($BN$2,0,0,ROW()-1,60),ROW()-1,FALSE))</f>
        <v>45.927</v>
      </c>
      <c r="X60">
        <f ca="1">IF(AND(ISNUMBER($X$312),$B$258=1),$X$312,HLOOKUP(INDIRECT(ADDRESS(2,COLUMN())),OFFSET($BN$2,0,0,ROW()-1,60),ROW()-1,FALSE))</f>
        <v>37.590000000000003</v>
      </c>
      <c r="Y60">
        <f ca="1">IF(AND(ISNUMBER($Y$312),$B$258=1),$Y$312,HLOOKUP(INDIRECT(ADDRESS(2,COLUMN())),OFFSET($BN$2,0,0,ROW()-1,60),ROW()-1,FALSE))</f>
        <v>37.813000000000002</v>
      </c>
      <c r="Z60">
        <f ca="1">IF(AND(ISNUMBER($Z$312),$B$258=1),$Z$312,HLOOKUP(INDIRECT(ADDRESS(2,COLUMN())),OFFSET($BN$2,0,0,ROW()-1,60),ROW()-1,FALSE))</f>
        <v>38.173000000000002</v>
      </c>
      <c r="AA60">
        <f ca="1">IF(AND(ISNUMBER($AA$312),$B$258=1),$AA$312,HLOOKUP(INDIRECT(ADDRESS(2,COLUMN())),OFFSET($BN$2,0,0,ROW()-1,60),ROW()-1,FALSE))</f>
        <v>50.651000000000003</v>
      </c>
      <c r="AB60">
        <f ca="1">IF(AND(ISNUMBER($AB$312),$B$258=1),$AB$312,HLOOKUP(INDIRECT(ADDRESS(2,COLUMN())),OFFSET($BN$2,0,0,ROW()-1,60),ROW()-1,FALSE))</f>
        <v>66.950999999999993</v>
      </c>
      <c r="AC60">
        <f ca="1">IF(AND(ISNUMBER($AC$312),$B$258=1),$AC$312,HLOOKUP(INDIRECT(ADDRESS(2,COLUMN())),OFFSET($BN$2,0,0,ROW()-1,60),ROW()-1,FALSE))</f>
        <v>68.588999999999999</v>
      </c>
      <c r="AD60">
        <f ca="1">IF(AND(ISNUMBER($AD$312),$B$258=1),$AD$312,HLOOKUP(INDIRECT(ADDRESS(2,COLUMN())),OFFSET($BN$2,0,0,ROW()-1,60),ROW()-1,FALSE))</f>
        <v>70.171000000000006</v>
      </c>
      <c r="AE60">
        <f ca="1">IF(AND(ISNUMBER($AE$312),$B$258=1),$AE$312,HLOOKUP(INDIRECT(ADDRESS(2,COLUMN())),OFFSET($BN$2,0,0,ROW()-1,60),ROW()-1,FALSE))</f>
        <v>93.248000000000005</v>
      </c>
      <c r="AF60">
        <f ca="1">IF(AND(ISNUMBER($AF$312),$B$258=1),$AF$312,HLOOKUP(INDIRECT(ADDRESS(2,COLUMN())),OFFSET($BN$2,0,0,ROW()-1,60),ROW()-1,FALSE))</f>
        <v>93.546999999999997</v>
      </c>
      <c r="AG60">
        <f ca="1">IF(AND(ISNUMBER($AG$312),$B$258=1),$AG$312,HLOOKUP(INDIRECT(ADDRESS(2,COLUMN())),OFFSET($BN$2,0,0,ROW()-1,60),ROW()-1,FALSE))</f>
        <v>89.016000000000005</v>
      </c>
      <c r="AH60">
        <f ca="1">IF(AND(ISNUMBER($AH$312),$B$258=1),$AH$312,HLOOKUP(INDIRECT(ADDRESS(2,COLUMN())),OFFSET($BN$2,0,0,ROW()-1,60),ROW()-1,FALSE))</f>
        <v>88.119</v>
      </c>
      <c r="AI60">
        <f ca="1">IF(AND(ISNUMBER($AI$312),$B$258=1),$AI$312,HLOOKUP(INDIRECT(ADDRESS(2,COLUMN())),OFFSET($BN$2,0,0,ROW()-1,60),ROW()-1,FALSE))</f>
        <v>90.959000000000003</v>
      </c>
      <c r="AJ60">
        <f ca="1">IF(AND(ISNUMBER($AJ$312),$B$258=1),$AJ$312,HLOOKUP(INDIRECT(ADDRESS(2,COLUMN())),OFFSET($BN$2,0,0,ROW()-1,60),ROW()-1,FALSE))</f>
        <v>76.366</v>
      </c>
      <c r="AK60">
        <f ca="1">IF(AND(ISNUMBER($AK$312),$B$258=1),$AK$312,HLOOKUP(INDIRECT(ADDRESS(2,COLUMN())),OFFSET($BN$2,0,0,ROW()-1,60),ROW()-1,FALSE))</f>
        <v>76.620999999999995</v>
      </c>
      <c r="AL60">
        <f ca="1">IF(AND(ISNUMBER($AL$312),$B$258=1),$AL$312,HLOOKUP(INDIRECT(ADDRESS(2,COLUMN())),OFFSET($BN$2,0,0,ROW()-1,60),ROW()-1,FALSE))</f>
        <v>76.072000000000003</v>
      </c>
      <c r="AM60">
        <f ca="1">IF(AND(ISNUMBER($AM$312),$B$258=1),$AM$312,HLOOKUP(INDIRECT(ADDRESS(2,COLUMN())),OFFSET($BN$2,0,0,ROW()-1,60),ROW()-1,FALSE))</f>
        <v>83.004999999999995</v>
      </c>
      <c r="AN60">
        <f ca="1">IF(AND(ISNUMBER($AN$312),$B$258=1),$AN$312,HLOOKUP(INDIRECT(ADDRESS(2,COLUMN())),OFFSET($BN$2,0,0,ROW()-1,60),ROW()-1,FALSE))</f>
        <v>67.897999999999996</v>
      </c>
      <c r="AO60">
        <f ca="1">IF(AND(ISNUMBER($AO$312),$B$258=1),$AO$312,HLOOKUP(INDIRECT(ADDRESS(2,COLUMN())),OFFSET($BN$2,0,0,ROW()-1,60),ROW()-1,FALSE))</f>
        <v>66.180000000000007</v>
      </c>
      <c r="AP60">
        <f ca="1">IF(AND(ISNUMBER($AP$312),$B$258=1),$AP$312,HLOOKUP(INDIRECT(ADDRESS(2,COLUMN())),OFFSET($BN$2,0,0,ROW()-1,60),ROW()-1,FALSE))</f>
        <v>65.421999999999997</v>
      </c>
      <c r="AQ60">
        <f ca="1">IF(AND(ISNUMBER($AQ$312),$B$258=1),$AQ$312,HLOOKUP(INDIRECT(ADDRESS(2,COLUMN())),OFFSET($BN$2,0,0,ROW()-1,60),ROW()-1,FALSE))</f>
        <v>70.950999999999993</v>
      </c>
      <c r="AR60">
        <f ca="1">IF(AND(ISNUMBER($AR$312),$B$258=1),$AR$312,HLOOKUP(INDIRECT(ADDRESS(2,COLUMN())),OFFSET($BN$2,0,0,ROW()-1,60),ROW()-1,FALSE))</f>
        <v>57.872999999999998</v>
      </c>
      <c r="AS60">
        <f ca="1">IF(AND(ISNUMBER($AS$312),$B$258=1),$AS$312,HLOOKUP(INDIRECT(ADDRESS(2,COLUMN())),OFFSET($BN$2,0,0,ROW()-1,60),ROW()-1,FALSE))</f>
        <v>52.607999999999997</v>
      </c>
      <c r="AT60">
        <f ca="1">IF(AND(ISNUMBER($AT$312),$B$258=1),$AT$312,HLOOKUP(INDIRECT(ADDRESS(2,COLUMN())),OFFSET($BN$2,0,0,ROW()-1,60),ROW()-1,FALSE))</f>
        <v>48.982999999999997</v>
      </c>
      <c r="AU60">
        <f ca="1">IF(AND(ISNUMBER($AU$312),$B$258=1),$AU$312,HLOOKUP(INDIRECT(ADDRESS(2,COLUMN())),OFFSET($BN$2,0,0,ROW()-1,60),ROW()-1,FALSE))</f>
        <v>52.591000000000001</v>
      </c>
      <c r="AV60">
        <f ca="1">IF(AND(ISNUMBER($AV$312),$B$258=1),$AV$312,HLOOKUP(INDIRECT(ADDRESS(2,COLUMN())),OFFSET($BN$2,0,0,ROW()-1,60),ROW()-1,FALSE))</f>
        <v>44.652999999999999</v>
      </c>
      <c r="AW60">
        <f ca="1">IF(AND(ISNUMBER($AW$312),$B$258=1),$AW$312,HLOOKUP(INDIRECT(ADDRESS(2,COLUMN())),OFFSET($BN$2,0,0,ROW()-1,60),ROW()-1,FALSE))</f>
        <v>44.405999999999999</v>
      </c>
      <c r="AX60">
        <f ca="1">IF(AND(ISNUMBER($AX$312),$B$258=1),$AX$312,HLOOKUP(INDIRECT(ADDRESS(2,COLUMN())),OFFSET($BN$2,0,0,ROW()-1,60),ROW()-1,FALSE))</f>
        <v>44.301000000000002</v>
      </c>
      <c r="AY60">
        <f ca="1">IF(AND(ISNUMBER($AY$312),$B$258=1),$AY$312,HLOOKUP(INDIRECT(ADDRESS(2,COLUMN())),OFFSET($BN$2,0,0,ROW()-1,60),ROW()-1,FALSE))</f>
        <v>54.645000000000003</v>
      </c>
      <c r="AZ60">
        <f ca="1">IF(AND(ISNUMBER($AZ$312),$B$258=1),$AZ$312,HLOOKUP(INDIRECT(ADDRESS(2,COLUMN())),OFFSET($BN$2,0,0,ROW()-1,60),ROW()-1,FALSE))</f>
        <v>41.982999999999997</v>
      </c>
      <c r="BA60">
        <f ca="1">IF(AND(ISNUMBER($BA$312),$B$258=1),$BA$312,HLOOKUP(INDIRECT(ADDRESS(2,COLUMN())),OFFSET($BN$2,0,0,ROW()-1,60),ROW()-1,FALSE))</f>
        <v>40.920999999999999</v>
      </c>
      <c r="BB60">
        <f ca="1">IF(AND(ISNUMBER($BB$312),$B$258=1),$BB$312,HLOOKUP(INDIRECT(ADDRESS(2,COLUMN())),OFFSET($BN$2,0,0,ROW()-1,60),ROW()-1,FALSE))</f>
        <v>40.823</v>
      </c>
      <c r="BC60">
        <f ca="1">IF(AND(ISNUMBER($BC$312),$B$258=1),$BC$312,HLOOKUP(INDIRECT(ADDRESS(2,COLUMN())),OFFSET($BN$2,0,0,ROW()-1,60),ROW()-1,FALSE))</f>
        <v>43.777000000000001</v>
      </c>
      <c r="BD60">
        <f ca="1">IF(AND(ISNUMBER($BD$312),$B$258=1),$BD$312,HLOOKUP(INDIRECT(ADDRESS(2,COLUMN())),OFFSET($BN$2,0,0,ROW()-1,60),ROW()-1,FALSE))</f>
        <v>39.506000520000001</v>
      </c>
      <c r="BE60">
        <f ca="1">IF(AND(ISNUMBER($BE$312),$B$258=1),$BE$312,HLOOKUP(INDIRECT(ADDRESS(2,COLUMN())),OFFSET($BN$2,0,0,ROW()-1,60),ROW()-1,FALSE))</f>
        <v>39.094001769999998</v>
      </c>
      <c r="BF60">
        <f ca="1">IF(AND(ISNUMBER($BF$312),$B$258=1),$BF$312,HLOOKUP(INDIRECT(ADDRESS(2,COLUMN())),OFFSET($BN$2,0,0,ROW()-1,60),ROW()-1,FALSE))</f>
        <v>38.888000490000003</v>
      </c>
      <c r="BG60">
        <f ca="1">IF(AND(ISNUMBER($BG$312),$B$258=1),$BG$312,HLOOKUP(INDIRECT(ADDRESS(2,COLUMN())),OFFSET($BN$2,0,0,ROW()-1,60),ROW()-1,FALSE))</f>
        <v>40.286000000000001</v>
      </c>
      <c r="BH60">
        <f ca="1">IF(AND(ISNUMBER($BH$312),$B$258=1),$BH$312,HLOOKUP(INDIRECT(ADDRESS(2,COLUMN())),OFFSET($BN$2,0,0,ROW()-1,60),ROW()-1,FALSE))</f>
        <v>35.42599869</v>
      </c>
      <c r="BI60">
        <f ca="1">IF(AND(ISNUMBER($BI$312),$B$258=1),$BI$312,HLOOKUP(INDIRECT(ADDRESS(2,COLUMN())),OFFSET($BN$2,0,0,ROW()-1,60),ROW()-1,FALSE))</f>
        <v>35.188999180000003</v>
      </c>
      <c r="BJ60">
        <f ca="1">IF(AND(ISNUMBER($BJ$312),$B$258=1),$BJ$312,HLOOKUP(INDIRECT(ADDRESS(2,COLUMN())),OFFSET($BN$2,0,0,ROW()-1,60),ROW()-1,FALSE))</f>
        <v>34.828998570000003</v>
      </c>
      <c r="BK60">
        <f ca="1">IF(AND(ISNUMBER($BK$312),$B$258=1),$BK$312,HLOOKUP(INDIRECT(ADDRESS(2,COLUMN())),OFFSET($BN$2,0,0,ROW()-1,60),ROW()-1,FALSE))</f>
        <v>35.541000369999999</v>
      </c>
      <c r="BL60" t="str">
        <f ca="1">IF(AND(ISNUMBER($BL$312),$B$258=1),$BL$312,HLOOKUP(INDIRECT(ADDRESS(2,COLUMN())),OFFSET($BN$2,0,0,ROW()-1,60),ROW()-1,FALSE))</f>
        <v/>
      </c>
      <c r="BM60" t="str">
        <f ca="1">IF(AND(ISNUMBER($BM$312),$B$258=1),$BM$312,HLOOKUP(INDIRECT(ADDRESS(2,COLUMN())),OFFSET($BN$2,0,0,ROW()-1,60),ROW()-1,FALSE))</f>
        <v/>
      </c>
      <c r="BN60" t="str">
        <f>""</f>
        <v/>
      </c>
      <c r="BO60">
        <f>74.72</f>
        <v>74.72</v>
      </c>
      <c r="BP60">
        <f>63.634</f>
        <v>63.634</v>
      </c>
      <c r="BQ60">
        <f>63.852</f>
        <v>63.851999999999997</v>
      </c>
      <c r="BR60">
        <f>65.386</f>
        <v>65.385999999999996</v>
      </c>
      <c r="BS60">
        <f>74.256</f>
        <v>74.256</v>
      </c>
      <c r="BT60">
        <f>62.156</f>
        <v>62.155999999999999</v>
      </c>
      <c r="BU60">
        <f>66.523</f>
        <v>66.522999999999996</v>
      </c>
      <c r="BV60">
        <f>63.472</f>
        <v>63.472000000000001</v>
      </c>
      <c r="BW60">
        <f>69.44</f>
        <v>69.44</v>
      </c>
      <c r="BX60">
        <f>61.936</f>
        <v>61.936</v>
      </c>
      <c r="BY60">
        <f>61.954</f>
        <v>61.954000000000001</v>
      </c>
      <c r="BZ60">
        <f>59.99</f>
        <v>59.99</v>
      </c>
      <c r="CA60">
        <f>65.096</f>
        <v>65.096000000000004</v>
      </c>
      <c r="CB60">
        <f>54.908</f>
        <v>54.908000000000001</v>
      </c>
      <c r="CC60">
        <f>47.883</f>
        <v>47.883000000000003</v>
      </c>
      <c r="CD60">
        <f>34.253</f>
        <v>34.253</v>
      </c>
      <c r="CE60">
        <f>45.927</f>
        <v>45.927</v>
      </c>
      <c r="CF60">
        <f>37.59</f>
        <v>37.590000000000003</v>
      </c>
      <c r="CG60">
        <f>37.813</f>
        <v>37.813000000000002</v>
      </c>
      <c r="CH60">
        <f>38.173</f>
        <v>38.173000000000002</v>
      </c>
      <c r="CI60">
        <f>50.651</f>
        <v>50.651000000000003</v>
      </c>
      <c r="CJ60">
        <f>66.951</f>
        <v>66.950999999999993</v>
      </c>
      <c r="CK60">
        <f>68.589</f>
        <v>68.588999999999999</v>
      </c>
      <c r="CL60">
        <f>70.171</f>
        <v>70.171000000000006</v>
      </c>
      <c r="CM60">
        <f>93.248</f>
        <v>93.248000000000005</v>
      </c>
      <c r="CN60">
        <f>93.547</f>
        <v>93.546999999999997</v>
      </c>
      <c r="CO60">
        <f>89.016</f>
        <v>89.016000000000005</v>
      </c>
      <c r="CP60">
        <f>88.119</f>
        <v>88.119</v>
      </c>
      <c r="CQ60">
        <f>90.959</f>
        <v>90.959000000000003</v>
      </c>
      <c r="CR60">
        <f>76.366</f>
        <v>76.366</v>
      </c>
      <c r="CS60">
        <f>76.621</f>
        <v>76.620999999999995</v>
      </c>
      <c r="CT60">
        <f>76.072</f>
        <v>76.072000000000003</v>
      </c>
      <c r="CU60">
        <f>83.005</f>
        <v>83.004999999999995</v>
      </c>
      <c r="CV60">
        <f>67.898</f>
        <v>67.897999999999996</v>
      </c>
      <c r="CW60">
        <f>66.18</f>
        <v>66.180000000000007</v>
      </c>
      <c r="CX60">
        <f>65.422</f>
        <v>65.421999999999997</v>
      </c>
      <c r="CY60">
        <f>70.951</f>
        <v>70.950999999999993</v>
      </c>
      <c r="CZ60">
        <f>57.873</f>
        <v>57.872999999999998</v>
      </c>
      <c r="DA60">
        <f>52.608</f>
        <v>52.607999999999997</v>
      </c>
      <c r="DB60">
        <f>48.983</f>
        <v>48.982999999999997</v>
      </c>
      <c r="DC60">
        <f>52.591</f>
        <v>52.591000000000001</v>
      </c>
      <c r="DD60">
        <f>44.653</f>
        <v>44.652999999999999</v>
      </c>
      <c r="DE60">
        <f>44.406</f>
        <v>44.405999999999999</v>
      </c>
      <c r="DF60">
        <f>44.301</f>
        <v>44.301000000000002</v>
      </c>
      <c r="DG60">
        <f>54.645</f>
        <v>54.645000000000003</v>
      </c>
      <c r="DH60">
        <f>41.983</f>
        <v>41.982999999999997</v>
      </c>
      <c r="DI60">
        <f>40.921</f>
        <v>40.920999999999999</v>
      </c>
      <c r="DJ60">
        <f>40.823</f>
        <v>40.823</v>
      </c>
      <c r="DK60">
        <f>43.777</f>
        <v>43.777000000000001</v>
      </c>
      <c r="DL60">
        <f>39.50600052</f>
        <v>39.506000520000001</v>
      </c>
      <c r="DM60">
        <f>39.09400177</f>
        <v>39.094001769999998</v>
      </c>
      <c r="DN60">
        <f>38.88800049</f>
        <v>38.888000490000003</v>
      </c>
      <c r="DO60">
        <f>40.286</f>
        <v>40.286000000000001</v>
      </c>
      <c r="DP60">
        <f>35.42599869</f>
        <v>35.42599869</v>
      </c>
      <c r="DQ60">
        <f>35.18899918</f>
        <v>35.188999180000003</v>
      </c>
      <c r="DR60">
        <f>34.82899857</f>
        <v>34.828998570000003</v>
      </c>
      <c r="DS60">
        <f>35.54100037</f>
        <v>35.541000369999999</v>
      </c>
      <c r="DT60" t="str">
        <f>""</f>
        <v/>
      </c>
      <c r="DU60" t="str">
        <f>""</f>
        <v/>
      </c>
    </row>
    <row r="61" spans="1:125">
      <c r="A61" t="str">
        <f>"    Ventas Inc"</f>
        <v xml:space="preserve">    Ventas Inc</v>
      </c>
      <c r="B61" t="str">
        <f>"VTR US Equity"</f>
        <v>VTR US Equity</v>
      </c>
      <c r="C61" t="str">
        <f t="shared" si="12"/>
        <v>RR502</v>
      </c>
      <c r="D61" t="str">
        <f t="shared" si="13"/>
        <v>NET_OPER_INCOME</v>
      </c>
      <c r="E61" t="str">
        <f t="shared" si="14"/>
        <v>动态</v>
      </c>
      <c r="F61" t="str">
        <f ca="1">IF(AND(ISNUMBER($F$313),$B$258=1),$F$313,HLOOKUP(INDIRECT(ADDRESS(2,COLUMN())),OFFSET($BN$2,0,0,ROW()-1,60),ROW()-1,FALSE))</f>
        <v/>
      </c>
      <c r="G61">
        <f ca="1">IF(AND(ISNUMBER($G$313),$B$258=1),$G$313,HLOOKUP(INDIRECT(ADDRESS(2,COLUMN())),OFFSET($BN$2,0,0,ROW()-1,60),ROW()-1,FALSE))</f>
        <v>485.95100000000002</v>
      </c>
      <c r="H61">
        <f ca="1">IF(AND(ISNUMBER($H$313),$B$258=1),$H$313,HLOOKUP(INDIRECT(ADDRESS(2,COLUMN())),OFFSET($BN$2,0,0,ROW()-1,60),ROW()-1,FALSE))</f>
        <v>490.565</v>
      </c>
      <c r="I61">
        <f ca="1">IF(AND(ISNUMBER($I$313),$B$258=1),$I$313,HLOOKUP(INDIRECT(ADDRESS(2,COLUMN())),OFFSET($BN$2,0,0,ROW()-1,60),ROW()-1,FALSE))</f>
        <v>497.09</v>
      </c>
      <c r="J61">
        <f ca="1">IF(AND(ISNUMBER($J$313),$B$258=1),$J$313,HLOOKUP(INDIRECT(ADDRESS(2,COLUMN())),OFFSET($BN$2,0,0,ROW()-1,60),ROW()-1,FALSE))</f>
        <v>493.82900000000001</v>
      </c>
      <c r="K61">
        <f ca="1">IF(AND(ISNUMBER($K$313),$B$258=1),$K$313,HLOOKUP(INDIRECT(ADDRESS(2,COLUMN())),OFFSET($BN$2,0,0,ROW()-1,60),ROW()-1,FALSE))</f>
        <v>490.16500000000002</v>
      </c>
      <c r="L61">
        <f ca="1">IF(AND(ISNUMBER($L$313),$B$258=1),$L$313,HLOOKUP(INDIRECT(ADDRESS(2,COLUMN())),OFFSET($BN$2,0,0,ROW()-1,60),ROW()-1,FALSE))</f>
        <v>473.87099999999998</v>
      </c>
      <c r="M61">
        <f ca="1">IF(AND(ISNUMBER($M$313),$B$258=1),$M$313,HLOOKUP(INDIRECT(ADDRESS(2,COLUMN())),OFFSET($BN$2,0,0,ROW()-1,60),ROW()-1,FALSE))</f>
        <v>472.19200000000001</v>
      </c>
      <c r="N61">
        <f ca="1">IF(AND(ISNUMBER($N$313),$B$258=1),$N$313,HLOOKUP(INDIRECT(ADDRESS(2,COLUMN())),OFFSET($BN$2,0,0,ROW()-1,60),ROW()-1,FALSE))</f>
        <v>473.56200000000001</v>
      </c>
      <c r="O61">
        <f ca="1">IF(AND(ISNUMBER($O$313),$B$258=1),$O$313,HLOOKUP(INDIRECT(ADDRESS(2,COLUMN())),OFFSET($BN$2,0,0,ROW()-1,60),ROW()-1,FALSE))</f>
        <v>468.24599999999998</v>
      </c>
      <c r="P61">
        <f ca="1">IF(AND(ISNUMBER($P$313),$B$258=1),$P$313,HLOOKUP(INDIRECT(ADDRESS(2,COLUMN())),OFFSET($BN$2,0,0,ROW()-1,60),ROW()-1,FALSE))</f>
        <v>460.76299999999998</v>
      </c>
      <c r="Q61">
        <f ca="1">IF(AND(ISNUMBER($Q$313),$B$258=1),$Q$313,HLOOKUP(INDIRECT(ADDRESS(2,COLUMN())),OFFSET($BN$2,0,0,ROW()-1,60),ROW()-1,FALSE))</f>
        <v>443.86900000000003</v>
      </c>
      <c r="R61">
        <f ca="1">IF(AND(ISNUMBER($R$313),$B$258=1),$R$313,HLOOKUP(INDIRECT(ADDRESS(2,COLUMN())),OFFSET($BN$2,0,0,ROW()-1,60),ROW()-1,FALSE))</f>
        <v>442.27499999999998</v>
      </c>
      <c r="S61">
        <f ca="1">IF(AND(ISNUMBER($S$313),$B$258=1),$S$313,HLOOKUP(INDIRECT(ADDRESS(2,COLUMN())),OFFSET($BN$2,0,0,ROW()-1,60),ROW()-1,FALSE))</f>
        <v>401.38799999999998</v>
      </c>
      <c r="T61">
        <f ca="1">IF(AND(ISNUMBER($T$313),$B$258=1),$T$313,HLOOKUP(INDIRECT(ADDRESS(2,COLUMN())),OFFSET($BN$2,0,0,ROW()-1,60),ROW()-1,FALSE))</f>
        <v>384.84300000000002</v>
      </c>
      <c r="U61">
        <f ca="1">IF(AND(ISNUMBER($U$313),$B$258=1),$U$313,HLOOKUP(INDIRECT(ADDRESS(2,COLUMN())),OFFSET($BN$2,0,0,ROW()-1,60),ROW()-1,FALSE))</f>
        <v>447.697</v>
      </c>
      <c r="V61">
        <f ca="1">IF(AND(ISNUMBER($V$313),$B$258=1),$V$313,HLOOKUP(INDIRECT(ADDRESS(2,COLUMN())),OFFSET($BN$2,0,0,ROW()-1,60),ROW()-1,FALSE))</f>
        <v>442.79</v>
      </c>
      <c r="W61">
        <f ca="1">IF(AND(ISNUMBER($W$313),$B$258=1),$W$313,HLOOKUP(INDIRECT(ADDRESS(2,COLUMN())),OFFSET($BN$2,0,0,ROW()-1,60),ROW()-1,FALSE))</f>
        <v>432.05399999999997</v>
      </c>
      <c r="X61">
        <f ca="1">IF(AND(ISNUMBER($X$313),$B$258=1),$X$313,HLOOKUP(INDIRECT(ADDRESS(2,COLUMN())),OFFSET($BN$2,0,0,ROW()-1,60),ROW()-1,FALSE))</f>
        <v>411.85300000000001</v>
      </c>
      <c r="Y61">
        <f ca="1">IF(AND(ISNUMBER($Y$313),$B$258=1),$Y$313,HLOOKUP(INDIRECT(ADDRESS(2,COLUMN())),OFFSET($BN$2,0,0,ROW()-1,60),ROW()-1,FALSE))</f>
        <v>399.09100000000001</v>
      </c>
      <c r="Z61">
        <f ca="1">IF(AND(ISNUMBER($Z$313),$B$258=1),$Z$313,HLOOKUP(INDIRECT(ADDRESS(2,COLUMN())),OFFSET($BN$2,0,0,ROW()-1,60),ROW()-1,FALSE))</f>
        <v>398.56700000000001</v>
      </c>
      <c r="AA61">
        <f ca="1">IF(AND(ISNUMBER($AA$313),$B$258=1),$AA$313,HLOOKUP(INDIRECT(ADDRESS(2,COLUMN())),OFFSET($BN$2,0,0,ROW()-1,60),ROW()-1,FALSE))</f>
        <v>378.37799999999999</v>
      </c>
      <c r="AB61">
        <f ca="1">IF(AND(ISNUMBER($AB$313),$B$258=1),$AB$313,HLOOKUP(INDIRECT(ADDRESS(2,COLUMN())),OFFSET($BN$2,0,0,ROW()-1,60),ROW()-1,FALSE))</f>
        <v>376.84</v>
      </c>
      <c r="AC61">
        <f ca="1">IF(AND(ISNUMBER($AC$313),$B$258=1),$AC$313,HLOOKUP(INDIRECT(ADDRESS(2,COLUMN())),OFFSET($BN$2,0,0,ROW()-1,60),ROW()-1,FALSE))</f>
        <v>367.09500000000003</v>
      </c>
      <c r="AD61">
        <f ca="1">IF(AND(ISNUMBER($AD$313),$B$258=1),$AD$313,HLOOKUP(INDIRECT(ADDRESS(2,COLUMN())),OFFSET($BN$2,0,0,ROW()-1,60),ROW()-1,FALSE))</f>
        <v>342.50400000000002</v>
      </c>
      <c r="AE61">
        <f ca="1">IF(AND(ISNUMBER($AE$313),$B$258=1),$AE$313,HLOOKUP(INDIRECT(ADDRESS(2,COLUMN())),OFFSET($BN$2,0,0,ROW()-1,60),ROW()-1,FALSE))</f>
        <v>343.78199999999998</v>
      </c>
      <c r="AF61">
        <f ca="1">IF(AND(ISNUMBER($AF$313),$B$258=1),$AF$313,HLOOKUP(INDIRECT(ADDRESS(2,COLUMN())),OFFSET($BN$2,0,0,ROW()-1,60),ROW()-1,FALSE))</f>
        <v>337.50599999999997</v>
      </c>
      <c r="AG61">
        <f ca="1">IF(AND(ISNUMBER($AG$313),$B$258=1),$AG$313,HLOOKUP(INDIRECT(ADDRESS(2,COLUMN())),OFFSET($BN$2,0,0,ROW()-1,60),ROW()-1,FALSE))</f>
        <v>206.86500000000001</v>
      </c>
      <c r="AH61">
        <f ca="1">IF(AND(ISNUMBER($AH$313),$B$258=1),$AH$313,HLOOKUP(INDIRECT(ADDRESS(2,COLUMN())),OFFSET($BN$2,0,0,ROW()-1,60),ROW()-1,FALSE))</f>
        <v>175.482</v>
      </c>
      <c r="AI61">
        <f ca="1">IF(AND(ISNUMBER($AI$313),$B$258=1),$AI$313,HLOOKUP(INDIRECT(ADDRESS(2,COLUMN())),OFFSET($BN$2,0,0,ROW()-1,60),ROW()-1,FALSE))</f>
        <v>180.941</v>
      </c>
      <c r="AJ61">
        <f ca="1">IF(AND(ISNUMBER($AJ$313),$B$258=1),$AJ$313,HLOOKUP(INDIRECT(ADDRESS(2,COLUMN())),OFFSET($BN$2,0,0,ROW()-1,60),ROW()-1,FALSE))</f>
        <v>178.60900000000001</v>
      </c>
      <c r="AK61">
        <f ca="1">IF(AND(ISNUMBER($AK$313),$B$258=1),$AK$313,HLOOKUP(INDIRECT(ADDRESS(2,COLUMN())),OFFSET($BN$2,0,0,ROW()-1,60),ROW()-1,FALSE))</f>
        <v>164.31</v>
      </c>
      <c r="AL61">
        <f ca="1">IF(AND(ISNUMBER($AL$313),$B$258=1),$AL$313,HLOOKUP(INDIRECT(ADDRESS(2,COLUMN())),OFFSET($BN$2,0,0,ROW()-1,60),ROW()-1,FALSE))</f>
        <v>158.12899999999999</v>
      </c>
      <c r="AM61">
        <f ca="1">IF(AND(ISNUMBER($AM$313),$B$258=1),$AM$313,HLOOKUP(INDIRECT(ADDRESS(2,COLUMN())),OFFSET($BN$2,0,0,ROW()-1,60),ROW()-1,FALSE))</f>
        <v>155.82499999999999</v>
      </c>
      <c r="AN61">
        <f ca="1">IF(AND(ISNUMBER($AN$313),$B$258=1),$AN$313,HLOOKUP(INDIRECT(ADDRESS(2,COLUMN())),OFFSET($BN$2,0,0,ROW()-1,60),ROW()-1,FALSE))</f>
        <v>154.98599999999999</v>
      </c>
      <c r="AO61">
        <f ca="1">IF(AND(ISNUMBER($AO$313),$B$258=1),$AO$313,HLOOKUP(INDIRECT(ADDRESS(2,COLUMN())),OFFSET($BN$2,0,0,ROW()-1,60),ROW()-1,FALSE))</f>
        <v>155.447</v>
      </c>
      <c r="AP61">
        <f ca="1">IF(AND(ISNUMBER($AP$313),$B$258=1),$AP$313,HLOOKUP(INDIRECT(ADDRESS(2,COLUMN())),OFFSET($BN$2,0,0,ROW()-1,60),ROW()-1,FALSE))</f>
        <v>149.869</v>
      </c>
      <c r="AQ61">
        <f ca="1">IF(AND(ISNUMBER($AQ$313),$B$258=1),$AQ$313,HLOOKUP(INDIRECT(ADDRESS(2,COLUMN())),OFFSET($BN$2,0,0,ROW()-1,60),ROW()-1,FALSE))</f>
        <v>151.83500000000001</v>
      </c>
      <c r="AR61">
        <f ca="1">IF(AND(ISNUMBER($AR$313),$B$258=1),$AR$313,HLOOKUP(INDIRECT(ADDRESS(2,COLUMN())),OFFSET($BN$2,0,0,ROW()-1,60),ROW()-1,FALSE))</f>
        <v>148.084</v>
      </c>
      <c r="AS61">
        <f ca="1">IF(AND(ISNUMBER($AS$313),$B$258=1),$AS$313,HLOOKUP(INDIRECT(ADDRESS(2,COLUMN())),OFFSET($BN$2,0,0,ROW()-1,60),ROW()-1,FALSE))</f>
        <v>154.911</v>
      </c>
      <c r="AT61">
        <f ca="1">IF(AND(ISNUMBER($AT$313),$B$258=1),$AT$313,HLOOKUP(INDIRECT(ADDRESS(2,COLUMN())),OFFSET($BN$2,0,0,ROW()-1,60),ROW()-1,FALSE))</f>
        <v>150.43</v>
      </c>
      <c r="AU61">
        <f ca="1">IF(AND(ISNUMBER($AU$313),$B$258=1),$AU$313,HLOOKUP(INDIRECT(ADDRESS(2,COLUMN())),OFFSET($BN$2,0,0,ROW()-1,60),ROW()-1,FALSE))</f>
        <v>151.328</v>
      </c>
      <c r="AV61">
        <f ca="1">IF(AND(ISNUMBER($AV$313),$B$258=1),$AV$313,HLOOKUP(INDIRECT(ADDRESS(2,COLUMN())),OFFSET($BN$2,0,0,ROW()-1,60),ROW()-1,FALSE))</f>
        <v>150.92099999999999</v>
      </c>
      <c r="AW61">
        <f ca="1">IF(AND(ISNUMBER($AW$313),$B$258=1),$AW$313,HLOOKUP(INDIRECT(ADDRESS(2,COLUMN())),OFFSET($BN$2,0,0,ROW()-1,60),ROW()-1,FALSE))</f>
        <v>139.245</v>
      </c>
      <c r="AX61">
        <f ca="1">IF(AND(ISNUMBER($AX$313),$B$258=1),$AX$313,HLOOKUP(INDIRECT(ADDRESS(2,COLUMN())),OFFSET($BN$2,0,0,ROW()-1,60),ROW()-1,FALSE))</f>
        <v>115.404</v>
      </c>
      <c r="AY61">
        <f ca="1">IF(AND(ISNUMBER($AY$313),$B$258=1),$AY$313,HLOOKUP(INDIRECT(ADDRESS(2,COLUMN())),OFFSET($BN$2,0,0,ROW()-1,60),ROW()-1,FALSE))</f>
        <v>108.75</v>
      </c>
      <c r="AZ61">
        <f ca="1">IF(AND(ISNUMBER($AZ$313),$B$258=1),$AZ$313,HLOOKUP(INDIRECT(ADDRESS(2,COLUMN())),OFFSET($BN$2,0,0,ROW()-1,60),ROW()-1,FALSE))</f>
        <v>103.27723</v>
      </c>
      <c r="BA61">
        <f ca="1">IF(AND(ISNUMBER($BA$313),$B$258=1),$BA$313,HLOOKUP(INDIRECT(ADDRESS(2,COLUMN())),OFFSET($BN$2,0,0,ROW()-1,60),ROW()-1,FALSE))</f>
        <v>94.870999999999995</v>
      </c>
      <c r="BB61">
        <f ca="1">IF(AND(ISNUMBER($BB$313),$B$258=1),$BB$313,HLOOKUP(INDIRECT(ADDRESS(2,COLUMN())),OFFSET($BN$2,0,0,ROW()-1,60),ROW()-1,FALSE))</f>
        <v>95.882999999999996</v>
      </c>
      <c r="BC61">
        <f ca="1">IF(AND(ISNUMBER($BC$313),$B$258=1),$BC$313,HLOOKUP(INDIRECT(ADDRESS(2,COLUMN())),OFFSET($BN$2,0,0,ROW()-1,60),ROW()-1,FALSE))</f>
        <v>95.567999999999998</v>
      </c>
      <c r="BD61">
        <f ca="1">IF(AND(ISNUMBER($BD$313),$B$258=1),$BD$313,HLOOKUP(INDIRECT(ADDRESS(2,COLUMN())),OFFSET($BN$2,0,0,ROW()-1,60),ROW()-1,FALSE))</f>
        <v>92.891999999999996</v>
      </c>
      <c r="BE61">
        <f ca="1">IF(AND(ISNUMBER($BE$313),$B$258=1),$BE$313,HLOOKUP(INDIRECT(ADDRESS(2,COLUMN())),OFFSET($BN$2,0,0,ROW()-1,60),ROW()-1,FALSE))</f>
        <v>71.698999999999998</v>
      </c>
      <c r="BF61">
        <f ca="1">IF(AND(ISNUMBER($BF$313),$B$258=1),$BF$313,HLOOKUP(INDIRECT(ADDRESS(2,COLUMN())),OFFSET($BN$2,0,0,ROW()-1,60),ROW()-1,FALSE))</f>
        <v>62.186999999999998</v>
      </c>
      <c r="BG61">
        <f ca="1">IF(AND(ISNUMBER($BG$313),$B$258=1),$BG$313,HLOOKUP(INDIRECT(ADDRESS(2,COLUMN())),OFFSET($BN$2,0,0,ROW()-1,60),ROW()-1,FALSE))</f>
        <v>60.859000000000002</v>
      </c>
      <c r="BH61">
        <f ca="1">IF(AND(ISNUMBER($BH$313),$B$258=1),$BH$313,HLOOKUP(INDIRECT(ADDRESS(2,COLUMN())),OFFSET($BN$2,0,0,ROW()-1,60),ROW()-1,FALSE))</f>
        <v>59.938000000000002</v>
      </c>
      <c r="BI61">
        <f ca="1">IF(AND(ISNUMBER($BI$313),$B$258=1),$BI$313,HLOOKUP(INDIRECT(ADDRESS(2,COLUMN())),OFFSET($BN$2,0,0,ROW()-1,60),ROW()-1,FALSE))</f>
        <v>57.656999999999996</v>
      </c>
      <c r="BJ61">
        <f ca="1">IF(AND(ISNUMBER($BJ$313),$B$258=1),$BJ$313,HLOOKUP(INDIRECT(ADDRESS(2,COLUMN())),OFFSET($BN$2,0,0,ROW()-1,60),ROW()-1,FALSE))</f>
        <v>52.426000000000002</v>
      </c>
      <c r="BK61">
        <f ca="1">IF(AND(ISNUMBER($BK$313),$B$258=1),$BK$313,HLOOKUP(INDIRECT(ADDRESS(2,COLUMN())),OFFSET($BN$2,0,0,ROW()-1,60),ROW()-1,FALSE))</f>
        <v>49.07400131</v>
      </c>
      <c r="BL61">
        <f ca="1">IF(AND(ISNUMBER($BL$313),$B$258=1),$BL$313,HLOOKUP(INDIRECT(ADDRESS(2,COLUMN())),OFFSET($BN$2,0,0,ROW()-1,60),ROW()-1,FALSE))</f>
        <v>48.938999529999997</v>
      </c>
      <c r="BM61">
        <f ca="1">IF(AND(ISNUMBER($BM$313),$B$258=1),$BM$313,HLOOKUP(INDIRECT(ADDRESS(2,COLUMN())),OFFSET($BN$2,0,0,ROW()-1,60),ROW()-1,FALSE))</f>
        <v>46.003</v>
      </c>
      <c r="BN61" t="str">
        <f>""</f>
        <v/>
      </c>
      <c r="BO61">
        <f>485.951</f>
        <v>485.95100000000002</v>
      </c>
      <c r="BP61">
        <f>490.565</f>
        <v>490.565</v>
      </c>
      <c r="BQ61">
        <f>497.09</f>
        <v>497.09</v>
      </c>
      <c r="BR61">
        <f>493.829</f>
        <v>493.82900000000001</v>
      </c>
      <c r="BS61">
        <f>490.165</f>
        <v>490.16500000000002</v>
      </c>
      <c r="BT61">
        <f>473.871</f>
        <v>473.87099999999998</v>
      </c>
      <c r="BU61">
        <f>472.192</f>
        <v>472.19200000000001</v>
      </c>
      <c r="BV61">
        <f>473.562</f>
        <v>473.56200000000001</v>
      </c>
      <c r="BW61">
        <f>468.246</f>
        <v>468.24599999999998</v>
      </c>
      <c r="BX61">
        <f>460.763</f>
        <v>460.76299999999998</v>
      </c>
      <c r="BY61">
        <f>443.869</f>
        <v>443.86900000000003</v>
      </c>
      <c r="BZ61">
        <f>442.275</f>
        <v>442.27499999999998</v>
      </c>
      <c r="CA61">
        <f>401.388</f>
        <v>401.38799999999998</v>
      </c>
      <c r="CB61">
        <f>384.843</f>
        <v>384.84300000000002</v>
      </c>
      <c r="CC61">
        <f>447.697</f>
        <v>447.697</v>
      </c>
      <c r="CD61">
        <f>442.79</f>
        <v>442.79</v>
      </c>
      <c r="CE61">
        <f>432.054</f>
        <v>432.05399999999997</v>
      </c>
      <c r="CF61">
        <f>411.853</f>
        <v>411.85300000000001</v>
      </c>
      <c r="CG61">
        <f>399.091</f>
        <v>399.09100000000001</v>
      </c>
      <c r="CH61">
        <f>398.567</f>
        <v>398.56700000000001</v>
      </c>
      <c r="CI61">
        <f>378.378</f>
        <v>378.37799999999999</v>
      </c>
      <c r="CJ61">
        <f>376.84</f>
        <v>376.84</v>
      </c>
      <c r="CK61">
        <f>367.095</f>
        <v>367.09500000000003</v>
      </c>
      <c r="CL61">
        <f>342.504</f>
        <v>342.50400000000002</v>
      </c>
      <c r="CM61">
        <f>343.782</f>
        <v>343.78199999999998</v>
      </c>
      <c r="CN61">
        <f>337.506</f>
        <v>337.50599999999997</v>
      </c>
      <c r="CO61">
        <f>206.865</f>
        <v>206.86500000000001</v>
      </c>
      <c r="CP61">
        <f>175.482</f>
        <v>175.482</v>
      </c>
      <c r="CQ61">
        <f>180.941</f>
        <v>180.941</v>
      </c>
      <c r="CR61">
        <f>178.609</f>
        <v>178.60900000000001</v>
      </c>
      <c r="CS61">
        <f>164.31</f>
        <v>164.31</v>
      </c>
      <c r="CT61">
        <f>158.129</f>
        <v>158.12899999999999</v>
      </c>
      <c r="CU61">
        <f>155.825</f>
        <v>155.82499999999999</v>
      </c>
      <c r="CV61">
        <f>154.986</f>
        <v>154.98599999999999</v>
      </c>
      <c r="CW61">
        <f>155.447</f>
        <v>155.447</v>
      </c>
      <c r="CX61">
        <f>149.869</f>
        <v>149.869</v>
      </c>
      <c r="CY61">
        <f>151.835</f>
        <v>151.83500000000001</v>
      </c>
      <c r="CZ61">
        <f>148.084</f>
        <v>148.084</v>
      </c>
      <c r="DA61">
        <f>154.911</f>
        <v>154.911</v>
      </c>
      <c r="DB61">
        <f>150.43</f>
        <v>150.43</v>
      </c>
      <c r="DC61">
        <f>151.328</f>
        <v>151.328</v>
      </c>
      <c r="DD61">
        <f>150.921</f>
        <v>150.92099999999999</v>
      </c>
      <c r="DE61">
        <f>139.245</f>
        <v>139.245</v>
      </c>
      <c r="DF61">
        <f>115.404</f>
        <v>115.404</v>
      </c>
      <c r="DG61">
        <f>108.75</f>
        <v>108.75</v>
      </c>
      <c r="DH61">
        <f>103.27723</f>
        <v>103.27723</v>
      </c>
      <c r="DI61">
        <f>94.871</f>
        <v>94.870999999999995</v>
      </c>
      <c r="DJ61">
        <f>95.883</f>
        <v>95.882999999999996</v>
      </c>
      <c r="DK61">
        <f>95.568</f>
        <v>95.567999999999998</v>
      </c>
      <c r="DL61">
        <f>92.892</f>
        <v>92.891999999999996</v>
      </c>
      <c r="DM61">
        <f>71.699</f>
        <v>71.698999999999998</v>
      </c>
      <c r="DN61">
        <f>62.187</f>
        <v>62.186999999999998</v>
      </c>
      <c r="DO61">
        <f>60.859</f>
        <v>60.859000000000002</v>
      </c>
      <c r="DP61">
        <f>59.938</f>
        <v>59.938000000000002</v>
      </c>
      <c r="DQ61">
        <f>57.657</f>
        <v>57.656999999999996</v>
      </c>
      <c r="DR61">
        <f>52.426</f>
        <v>52.426000000000002</v>
      </c>
      <c r="DS61">
        <f>49.07400131</f>
        <v>49.07400131</v>
      </c>
      <c r="DT61">
        <f>48.93899953</f>
        <v>48.938999529999997</v>
      </c>
      <c r="DU61">
        <f>46.003</f>
        <v>46.003</v>
      </c>
    </row>
    <row r="62" spans="1:125">
      <c r="A62" t="str">
        <f>"    Welltower Inc"</f>
        <v xml:space="preserve">    Welltower Inc</v>
      </c>
      <c r="B62" t="str">
        <f>"HCN US Equity"</f>
        <v>HCN US Equity</v>
      </c>
      <c r="C62" t="str">
        <f t="shared" si="12"/>
        <v>RR502</v>
      </c>
      <c r="D62" t="str">
        <f t="shared" si="13"/>
        <v>NET_OPER_INCOME</v>
      </c>
      <c r="E62" t="str">
        <f t="shared" si="14"/>
        <v>动态</v>
      </c>
      <c r="F62" t="str">
        <f ca="1">IF(AND(ISNUMBER($F$314),$B$258=1),$F$314,HLOOKUP(INDIRECT(ADDRESS(2,COLUMN())),OFFSET($BN$2,0,0,ROW()-1,60),ROW()-1,FALSE))</f>
        <v/>
      </c>
      <c r="G62">
        <f ca="1">IF(AND(ISNUMBER($G$314),$B$258=1),$G$314,HLOOKUP(INDIRECT(ADDRESS(2,COLUMN())),OFFSET($BN$2,0,0,ROW()-1,60),ROW()-1,FALSE))</f>
        <v>542.01099999999997</v>
      </c>
      <c r="H62">
        <f ca="1">IF(AND(ISNUMBER($H$314),$B$258=1),$H$314,HLOOKUP(INDIRECT(ADDRESS(2,COLUMN())),OFFSET($BN$2,0,0,ROW()-1,60),ROW()-1,FALSE))</f>
        <v>541.26300000000003</v>
      </c>
      <c r="I62">
        <f ca="1">IF(AND(ISNUMBER($I$314),$B$258=1),$I$314,HLOOKUP(INDIRECT(ADDRESS(2,COLUMN())),OFFSET($BN$2,0,0,ROW()-1,60),ROW()-1,FALSE))</f>
        <v>530.78399999999999</v>
      </c>
      <c r="J62">
        <f ca="1">IF(AND(ISNUMBER($J$314),$B$258=1),$J$314,HLOOKUP(INDIRECT(ADDRESS(2,COLUMN())),OFFSET($BN$2,0,0,ROW()-1,60),ROW()-1,FALSE))</f>
        <v>527.30899999999997</v>
      </c>
      <c r="K62">
        <f ca="1">IF(AND(ISNUMBER($K$314),$B$258=1),$K$314,HLOOKUP(INDIRECT(ADDRESS(2,COLUMN())),OFFSET($BN$2,0,0,ROW()-1,60),ROW()-1,FALSE))</f>
        <v>551.88199999999995</v>
      </c>
      <c r="L62">
        <f ca="1">IF(AND(ISNUMBER($L$314),$B$258=1),$L$314,HLOOKUP(INDIRECT(ADDRESS(2,COLUMN())),OFFSET($BN$2,0,0,ROW()-1,60),ROW()-1,FALSE))</f>
        <v>577.48900000000003</v>
      </c>
      <c r="M62">
        <f ca="1">IF(AND(ISNUMBER($M$314),$B$258=1),$M$314,HLOOKUP(INDIRECT(ADDRESS(2,COLUMN())),OFFSET($BN$2,0,0,ROW()-1,60),ROW()-1,FALSE))</f>
        <v>579.01599999999996</v>
      </c>
      <c r="N62">
        <f ca="1">IF(AND(ISNUMBER($N$314),$B$258=1),$N$314,HLOOKUP(INDIRECT(ADDRESS(2,COLUMN())),OFFSET($BN$2,0,0,ROW()-1,60),ROW()-1,FALSE))</f>
        <v>568.17600000000004</v>
      </c>
      <c r="O62">
        <f ca="1">IF(AND(ISNUMBER($O$314),$B$258=1),$O$314,HLOOKUP(INDIRECT(ADDRESS(2,COLUMN())),OFFSET($BN$2,0,0,ROW()-1,60),ROW()-1,FALSE))</f>
        <v>559.42100000000005</v>
      </c>
      <c r="P62">
        <f ca="1">IF(AND(ISNUMBER($P$314),$B$258=1),$P$314,HLOOKUP(INDIRECT(ADDRESS(2,COLUMN())),OFFSET($BN$2,0,0,ROW()-1,60),ROW()-1,FALSE))</f>
        <v>545.84199999999998</v>
      </c>
      <c r="Q62">
        <f ca="1">IF(AND(ISNUMBER($Q$314),$B$258=1),$Q$314,HLOOKUP(INDIRECT(ADDRESS(2,COLUMN())),OFFSET($BN$2,0,0,ROW()-1,60),ROW()-1,FALSE))</f>
        <v>533.82500000000005</v>
      </c>
      <c r="R62">
        <f ca="1">IF(AND(ISNUMBER($R$314),$B$258=1),$R$314,HLOOKUP(INDIRECT(ADDRESS(2,COLUMN())),OFFSET($BN$2,0,0,ROW()-1,60),ROW()-1,FALSE))</f>
        <v>495.63600000000002</v>
      </c>
      <c r="S62">
        <f ca="1">IF(AND(ISNUMBER($S$314),$B$258=1),$S$314,HLOOKUP(INDIRECT(ADDRESS(2,COLUMN())),OFFSET($BN$2,0,0,ROW()-1,60),ROW()-1,FALSE))</f>
        <v>490.221</v>
      </c>
      <c r="T62">
        <f ca="1">IF(AND(ISNUMBER($T$314),$B$258=1),$T$314,HLOOKUP(INDIRECT(ADDRESS(2,COLUMN())),OFFSET($BN$2,0,0,ROW()-1,60),ROW()-1,FALSE))</f>
        <v>481.40300000000002</v>
      </c>
      <c r="U62">
        <f ca="1">IF(AND(ISNUMBER($U$314),$B$258=1),$U$314,HLOOKUP(INDIRECT(ADDRESS(2,COLUMN())),OFFSET($BN$2,0,0,ROW()-1,60),ROW()-1,FALSE))</f>
        <v>471.73200000000003</v>
      </c>
      <c r="V62">
        <f ca="1">IF(AND(ISNUMBER($V$314),$B$258=1),$V$314,HLOOKUP(INDIRECT(ADDRESS(2,COLUMN())),OFFSET($BN$2,0,0,ROW()-1,60),ROW()-1,FALSE))</f>
        <v>451.28899999999999</v>
      </c>
      <c r="W62">
        <f ca="1">IF(AND(ISNUMBER($W$314),$B$258=1),$W$314,HLOOKUP(INDIRECT(ADDRESS(2,COLUMN())),OFFSET($BN$2,0,0,ROW()-1,60),ROW()-1,FALSE))</f>
        <v>445.23</v>
      </c>
      <c r="X62">
        <f ca="1">IF(AND(ISNUMBER($X$314),$B$258=1),$X$314,HLOOKUP(INDIRECT(ADDRESS(2,COLUMN())),OFFSET($BN$2,0,0,ROW()-1,60),ROW()-1,FALSE))</f>
        <v>432.71800000000002</v>
      </c>
      <c r="Y62">
        <f ca="1">IF(AND(ISNUMBER($Y$314),$B$258=1),$Y$314,HLOOKUP(INDIRECT(ADDRESS(2,COLUMN())),OFFSET($BN$2,0,0,ROW()-1,60),ROW()-1,FALSE))</f>
        <v>391.91</v>
      </c>
      <c r="Z62">
        <f ca="1">IF(AND(ISNUMBER($Z$314),$B$258=1),$Z$314,HLOOKUP(INDIRECT(ADDRESS(2,COLUMN())),OFFSET($BN$2,0,0,ROW()-1,60),ROW()-1,FALSE))</f>
        <v>367.14400000000001</v>
      </c>
      <c r="AA62">
        <f ca="1">IF(AND(ISNUMBER($AA$314),$B$258=1),$AA$314,HLOOKUP(INDIRECT(ADDRESS(2,COLUMN())),OFFSET($BN$2,0,0,ROW()-1,60),ROW()-1,FALSE))</f>
        <v>320.34699999999998</v>
      </c>
      <c r="AB62">
        <f ca="1">IF(AND(ISNUMBER($AB$314),$B$258=1),$AB$314,HLOOKUP(INDIRECT(ADDRESS(2,COLUMN())),OFFSET($BN$2,0,0,ROW()-1,60),ROW()-1,FALSE))</f>
        <v>307.96600000000001</v>
      </c>
      <c r="AC62">
        <f ca="1">IF(AND(ISNUMBER($AC$314),$B$258=1),$AC$314,HLOOKUP(INDIRECT(ADDRESS(2,COLUMN())),OFFSET($BN$2,0,0,ROW()-1,60),ROW()-1,FALSE))</f>
        <v>293.51900000000001</v>
      </c>
      <c r="AD62">
        <f ca="1">IF(AND(ISNUMBER($AD$314),$B$258=1),$AD$314,HLOOKUP(INDIRECT(ADDRESS(2,COLUMN())),OFFSET($BN$2,0,0,ROW()-1,60),ROW()-1,FALSE))</f>
        <v>279.36799999999999</v>
      </c>
      <c r="AE62">
        <f ca="1">IF(AND(ISNUMBER($AE$314),$B$258=1),$AE$314,HLOOKUP(INDIRECT(ADDRESS(2,COLUMN())),OFFSET($BN$2,0,0,ROW()-1,60),ROW()-1,FALSE))</f>
        <v>262.33600000000001</v>
      </c>
      <c r="AF62">
        <f ca="1">IF(AND(ISNUMBER($AF$314),$B$258=1),$AF$314,HLOOKUP(INDIRECT(ADDRESS(2,COLUMN())),OFFSET($BN$2,0,0,ROW()-1,60),ROW()-1,FALSE))</f>
        <v>257.93599999999998</v>
      </c>
      <c r="AG62">
        <f ca="1">IF(AND(ISNUMBER($AG$314),$B$258=1),$AG$314,HLOOKUP(INDIRECT(ADDRESS(2,COLUMN())),OFFSET($BN$2,0,0,ROW()-1,60),ROW()-1,FALSE))</f>
        <v>251.58699999999999</v>
      </c>
      <c r="AH62">
        <f ca="1">IF(AND(ISNUMBER($AH$314),$B$258=1),$AH$314,HLOOKUP(INDIRECT(ADDRESS(2,COLUMN())),OFFSET($BN$2,0,0,ROW()-1,60),ROW()-1,FALSE))</f>
        <v>167.66</v>
      </c>
      <c r="AI62">
        <f ca="1">IF(AND(ISNUMBER($AI$314),$B$258=1),$AI$314,HLOOKUP(INDIRECT(ADDRESS(2,COLUMN())),OFFSET($BN$2,0,0,ROW()-1,60),ROW()-1,FALSE))</f>
        <v>145.197</v>
      </c>
      <c r="AJ62">
        <f ca="1">IF(AND(ISNUMBER($AJ$314),$B$258=1),$AJ$314,HLOOKUP(INDIRECT(ADDRESS(2,COLUMN())),OFFSET($BN$2,0,0,ROW()-1,60),ROW()-1,FALSE))</f>
        <v>137.40600000000001</v>
      </c>
      <c r="AK62">
        <f ca="1">IF(AND(ISNUMBER($AK$314),$B$258=1),$AK$314,HLOOKUP(INDIRECT(ADDRESS(2,COLUMN())),OFFSET($BN$2,0,0,ROW()-1,60),ROW()-1,FALSE))</f>
        <v>129.79400000000001</v>
      </c>
      <c r="AL62">
        <f ca="1">IF(AND(ISNUMBER($AL$314),$B$258=1),$AL$314,HLOOKUP(INDIRECT(ADDRESS(2,COLUMN())),OFFSET($BN$2,0,0,ROW()-1,60),ROW()-1,FALSE))</f>
        <v>122.82</v>
      </c>
      <c r="AM62">
        <f ca="1">IF(AND(ISNUMBER($AM$314),$B$258=1),$AM$314,HLOOKUP(INDIRECT(ADDRESS(2,COLUMN())),OFFSET($BN$2,0,0,ROW()-1,60),ROW()-1,FALSE))</f>
        <v>118.125</v>
      </c>
      <c r="AN62">
        <f ca="1">IF(AND(ISNUMBER($AN$314),$B$258=1),$AN$314,HLOOKUP(INDIRECT(ADDRESS(2,COLUMN())),OFFSET($BN$2,0,0,ROW()-1,60),ROW()-1,FALSE))</f>
        <v>116.374</v>
      </c>
      <c r="AO62">
        <f ca="1">IF(AND(ISNUMBER($AO$314),$B$258=1),$AO$314,HLOOKUP(INDIRECT(ADDRESS(2,COLUMN())),OFFSET($BN$2,0,0,ROW()-1,60),ROW()-1,FALSE))</f>
        <v>116.404</v>
      </c>
      <c r="AP62">
        <f ca="1">IF(AND(ISNUMBER($AP$314),$B$258=1),$AP$314,HLOOKUP(INDIRECT(ADDRESS(2,COLUMN())),OFFSET($BN$2,0,0,ROW()-1,60),ROW()-1,FALSE))</f>
        <v>116.36</v>
      </c>
      <c r="AQ62">
        <f ca="1">IF(AND(ISNUMBER($AQ$314),$B$258=1),$AQ$314,HLOOKUP(INDIRECT(ADDRESS(2,COLUMN())),OFFSET($BN$2,0,0,ROW()-1,60),ROW()-1,FALSE))</f>
        <v>105.455</v>
      </c>
      <c r="AR62">
        <f ca="1">IF(AND(ISNUMBER($AR$314),$B$258=1),$AR$314,HLOOKUP(INDIRECT(ADDRESS(2,COLUMN())),OFFSET($BN$2,0,0,ROW()-1,60),ROW()-1,FALSE))</f>
        <v>115.19199999999999</v>
      </c>
      <c r="AS62">
        <f ca="1">IF(AND(ISNUMBER($AS$314),$B$258=1),$AS$314,HLOOKUP(INDIRECT(ADDRESS(2,COLUMN())),OFFSET($BN$2,0,0,ROW()-1,60),ROW()-1,FALSE))</f>
        <v>107.428</v>
      </c>
      <c r="AT62">
        <f ca="1">IF(AND(ISNUMBER($AT$314),$B$258=1),$AT$314,HLOOKUP(INDIRECT(ADDRESS(2,COLUMN())),OFFSET($BN$2,0,0,ROW()-1,60),ROW()-1,FALSE))</f>
        <v>105.113</v>
      </c>
      <c r="AU62">
        <f ca="1">IF(AND(ISNUMBER($AU$314),$B$258=1),$AU$314,HLOOKUP(INDIRECT(ADDRESS(2,COLUMN())),OFFSET($BN$2,0,0,ROW()-1,60),ROW()-1,FALSE))</f>
        <v>100.75</v>
      </c>
      <c r="AV62">
        <f ca="1">IF(AND(ISNUMBER($AV$314),$B$258=1),$AV$314,HLOOKUP(INDIRECT(ADDRESS(2,COLUMN())),OFFSET($BN$2,0,0,ROW()-1,60),ROW()-1,FALSE))</f>
        <v>101.26600000000001</v>
      </c>
      <c r="AW62">
        <f ca="1">IF(AND(ISNUMBER($AW$314),$B$258=1),$AW$314,HLOOKUP(INDIRECT(ADDRESS(2,COLUMN())),OFFSET($BN$2,0,0,ROW()-1,60),ROW()-1,FALSE))</f>
        <v>96.366</v>
      </c>
      <c r="AX62">
        <f ca="1">IF(AND(ISNUMBER($AX$314),$B$258=1),$AX$314,HLOOKUP(INDIRECT(ADDRESS(2,COLUMN())),OFFSET($BN$2,0,0,ROW()-1,60),ROW()-1,FALSE))</f>
        <v>96.328000000000003</v>
      </c>
      <c r="AY62">
        <f ca="1">IF(AND(ISNUMBER($AY$314),$B$258=1),$AY$314,HLOOKUP(INDIRECT(ADDRESS(2,COLUMN())),OFFSET($BN$2,0,0,ROW()-1,60),ROW()-1,FALSE))</f>
        <v>80.146000000000001</v>
      </c>
      <c r="AZ62">
        <f ca="1">IF(AND(ISNUMBER($AZ$314),$B$258=1),$AZ$314,HLOOKUP(INDIRECT(ADDRESS(2,COLUMN())),OFFSET($BN$2,0,0,ROW()-1,60),ROW()-1,FALSE))</f>
        <v>73.328000000000003</v>
      </c>
      <c r="BA62">
        <f ca="1">IF(AND(ISNUMBER($BA$314),$B$258=1),$BA$314,HLOOKUP(INDIRECT(ADDRESS(2,COLUMN())),OFFSET($BN$2,0,0,ROW()-1,60),ROW()-1,FALSE))</f>
        <v>71.757000000000005</v>
      </c>
      <c r="BB62">
        <f ca="1">IF(AND(ISNUMBER($BB$314),$B$258=1),$BB$314,HLOOKUP(INDIRECT(ADDRESS(2,COLUMN())),OFFSET($BN$2,0,0,ROW()-1,60),ROW()-1,FALSE))</f>
        <v>71.38</v>
      </c>
      <c r="BC62">
        <f ca="1">IF(AND(ISNUMBER($BC$314),$B$258=1),$BC$314,HLOOKUP(INDIRECT(ADDRESS(2,COLUMN())),OFFSET($BN$2,0,0,ROW()-1,60),ROW()-1,FALSE))</f>
        <v>67.27</v>
      </c>
      <c r="BD62" t="str">
        <f ca="1">IF(AND(ISNUMBER($BD$314),$B$258=1),$BD$314,HLOOKUP(INDIRECT(ADDRESS(2,COLUMN())),OFFSET($BN$2,0,0,ROW()-1,60),ROW()-1,FALSE))</f>
        <v/>
      </c>
      <c r="BE62" t="str">
        <f ca="1">IF(AND(ISNUMBER($BE$314),$B$258=1),$BE$314,HLOOKUP(INDIRECT(ADDRESS(2,COLUMN())),OFFSET($BN$2,0,0,ROW()-1,60),ROW()-1,FALSE))</f>
        <v/>
      </c>
      <c r="BF62" t="str">
        <f ca="1">IF(AND(ISNUMBER($BF$314),$B$258=1),$BF$314,HLOOKUP(INDIRECT(ADDRESS(2,COLUMN())),OFFSET($BN$2,0,0,ROW()-1,60),ROW()-1,FALSE))</f>
        <v/>
      </c>
      <c r="BG62">
        <f ca="1">IF(AND(ISNUMBER($BG$314),$B$258=1),$BG$314,HLOOKUP(INDIRECT(ADDRESS(2,COLUMN())),OFFSET($BN$2,0,0,ROW()-1,60),ROW()-1,FALSE))</f>
        <v>51.33</v>
      </c>
      <c r="BH62" t="str">
        <f ca="1">IF(AND(ISNUMBER($BH$314),$B$258=1),$BH$314,HLOOKUP(INDIRECT(ADDRESS(2,COLUMN())),OFFSET($BN$2,0,0,ROW()-1,60),ROW()-1,FALSE))</f>
        <v/>
      </c>
      <c r="BI62" t="str">
        <f ca="1">IF(AND(ISNUMBER($BI$314),$B$258=1),$BI$314,HLOOKUP(INDIRECT(ADDRESS(2,COLUMN())),OFFSET($BN$2,0,0,ROW()-1,60),ROW()-1,FALSE))</f>
        <v/>
      </c>
      <c r="BJ62" t="str">
        <f ca="1">IF(AND(ISNUMBER($BJ$314),$B$258=1),$BJ$314,HLOOKUP(INDIRECT(ADDRESS(2,COLUMN())),OFFSET($BN$2,0,0,ROW()-1,60),ROW()-1,FALSE))</f>
        <v/>
      </c>
      <c r="BK62">
        <f ca="1">IF(AND(ISNUMBER($BK$314),$B$258=1),$BK$314,HLOOKUP(INDIRECT(ADDRESS(2,COLUMN())),OFFSET($BN$2,0,0,ROW()-1,60),ROW()-1,FALSE))</f>
        <v>54.748001000000002</v>
      </c>
      <c r="BL62" t="str">
        <f ca="1">IF(AND(ISNUMBER($BL$314),$B$258=1),$BL$314,HLOOKUP(INDIRECT(ADDRESS(2,COLUMN())),OFFSET($BN$2,0,0,ROW()-1,60),ROW()-1,FALSE))</f>
        <v/>
      </c>
      <c r="BM62" t="str">
        <f ca="1">IF(AND(ISNUMBER($BM$314),$B$258=1),$BM$314,HLOOKUP(INDIRECT(ADDRESS(2,COLUMN())),OFFSET($BN$2,0,0,ROW()-1,60),ROW()-1,FALSE))</f>
        <v/>
      </c>
      <c r="BN62" t="str">
        <f>""</f>
        <v/>
      </c>
      <c r="BO62">
        <f>542.011</f>
        <v>542.01099999999997</v>
      </c>
      <c r="BP62">
        <f>541.263</f>
        <v>541.26300000000003</v>
      </c>
      <c r="BQ62">
        <f>530.784</f>
        <v>530.78399999999999</v>
      </c>
      <c r="BR62">
        <f>527.309</f>
        <v>527.30899999999997</v>
      </c>
      <c r="BS62">
        <f>551.882</f>
        <v>551.88199999999995</v>
      </c>
      <c r="BT62">
        <f>577.489</f>
        <v>577.48900000000003</v>
      </c>
      <c r="BU62">
        <f>579.016</f>
        <v>579.01599999999996</v>
      </c>
      <c r="BV62">
        <f>568.176</f>
        <v>568.17600000000004</v>
      </c>
      <c r="BW62">
        <f>559.421</f>
        <v>559.42100000000005</v>
      </c>
      <c r="BX62">
        <f>545.842</f>
        <v>545.84199999999998</v>
      </c>
      <c r="BY62">
        <f>533.825</f>
        <v>533.82500000000005</v>
      </c>
      <c r="BZ62">
        <f>495.636</f>
        <v>495.63600000000002</v>
      </c>
      <c r="CA62">
        <f>490.221</f>
        <v>490.221</v>
      </c>
      <c r="CB62">
        <f>481.403</f>
        <v>481.40300000000002</v>
      </c>
      <c r="CC62">
        <f>471.732</f>
        <v>471.73200000000003</v>
      </c>
      <c r="CD62">
        <f>451.289</f>
        <v>451.28899999999999</v>
      </c>
      <c r="CE62">
        <f>445.23</f>
        <v>445.23</v>
      </c>
      <c r="CF62">
        <f>432.718</f>
        <v>432.71800000000002</v>
      </c>
      <c r="CG62">
        <f>391.91</f>
        <v>391.91</v>
      </c>
      <c r="CH62">
        <f>367.144</f>
        <v>367.14400000000001</v>
      </c>
      <c r="CI62">
        <f>320.347</f>
        <v>320.34699999999998</v>
      </c>
      <c r="CJ62">
        <f>307.966</f>
        <v>307.96600000000001</v>
      </c>
      <c r="CK62">
        <f>293.519</f>
        <v>293.51900000000001</v>
      </c>
      <c r="CL62">
        <f>279.368</f>
        <v>279.36799999999999</v>
      </c>
      <c r="CM62">
        <f>262.336</f>
        <v>262.33600000000001</v>
      </c>
      <c r="CN62">
        <f>257.936</f>
        <v>257.93599999999998</v>
      </c>
      <c r="CO62">
        <f>251.587</f>
        <v>251.58699999999999</v>
      </c>
      <c r="CP62">
        <f>167.66</f>
        <v>167.66</v>
      </c>
      <c r="CQ62">
        <f>145.197</f>
        <v>145.197</v>
      </c>
      <c r="CR62">
        <f>137.406</f>
        <v>137.40600000000001</v>
      </c>
      <c r="CS62">
        <f>129.794</f>
        <v>129.79400000000001</v>
      </c>
      <c r="CT62">
        <f>122.82</f>
        <v>122.82</v>
      </c>
      <c r="CU62">
        <f>118.125</f>
        <v>118.125</v>
      </c>
      <c r="CV62">
        <f>116.374</f>
        <v>116.374</v>
      </c>
      <c r="CW62">
        <f>116.404</f>
        <v>116.404</v>
      </c>
      <c r="CX62">
        <f>116.36</f>
        <v>116.36</v>
      </c>
      <c r="CY62">
        <f>105.455</f>
        <v>105.455</v>
      </c>
      <c r="CZ62">
        <f>115.192</f>
        <v>115.19199999999999</v>
      </c>
      <c r="DA62">
        <f>107.428</f>
        <v>107.428</v>
      </c>
      <c r="DB62">
        <f>105.113</f>
        <v>105.113</v>
      </c>
      <c r="DC62">
        <f>100.75</f>
        <v>100.75</v>
      </c>
      <c r="DD62">
        <f>101.266</f>
        <v>101.26600000000001</v>
      </c>
      <c r="DE62">
        <f>96.366</f>
        <v>96.366</v>
      </c>
      <c r="DF62">
        <f>96.328</f>
        <v>96.328000000000003</v>
      </c>
      <c r="DG62">
        <f>80.146</f>
        <v>80.146000000000001</v>
      </c>
      <c r="DH62">
        <f>73.328</f>
        <v>73.328000000000003</v>
      </c>
      <c r="DI62">
        <f>71.757</f>
        <v>71.757000000000005</v>
      </c>
      <c r="DJ62">
        <f>71.38</f>
        <v>71.38</v>
      </c>
      <c r="DK62">
        <f>67.27</f>
        <v>67.27</v>
      </c>
      <c r="DL62" t="str">
        <f>""</f>
        <v/>
      </c>
      <c r="DM62" t="str">
        <f>""</f>
        <v/>
      </c>
      <c r="DN62" t="str">
        <f>""</f>
        <v/>
      </c>
      <c r="DO62">
        <f>51.33</f>
        <v>51.33</v>
      </c>
      <c r="DP62" t="str">
        <f>""</f>
        <v/>
      </c>
      <c r="DQ62" t="str">
        <f>""</f>
        <v/>
      </c>
      <c r="DR62" t="str">
        <f>""</f>
        <v/>
      </c>
      <c r="DS62">
        <f>54.748001</f>
        <v>54.748001000000002</v>
      </c>
      <c r="DT62" t="str">
        <f>""</f>
        <v/>
      </c>
      <c r="DU62" t="str">
        <f>""</f>
        <v/>
      </c>
    </row>
    <row r="63" spans="1:125">
      <c r="A63" t="str">
        <f>"EBITDA"</f>
        <v>EBITDA</v>
      </c>
      <c r="B63" t="str">
        <f>""</f>
        <v/>
      </c>
      <c r="E63" t="str">
        <f>"Median"</f>
        <v>Median</v>
      </c>
      <c r="F63" t="str">
        <f ca="1">IF(ISERROR(IF(MEDIAN($F$64:$F$74) = 0, "", MEDIAN($F$64:$F$74))), "", (IF(MEDIAN($F$64:$F$74) = 0, "", MEDIAN($F$64:$F$74))))</f>
        <v/>
      </c>
      <c r="G63">
        <f ca="1">IF(ISERROR(IF(MEDIAN($G$64:$G$74) = 0, "", MEDIAN($G$64:$G$74))), "", (IF(MEDIAN($G$64:$G$74) = 0, "", MEDIAN($G$64:$G$74))))</f>
        <v>142.66550000000001</v>
      </c>
      <c r="H63">
        <f ca="1">IF(ISERROR(IF(MEDIAN($H$64:$H$74) = 0, "", MEDIAN($H$64:$H$74))), "", (IF(MEDIAN($H$64:$H$74) = 0, "", MEDIAN($H$64:$H$74))))</f>
        <v>148.38150000000002</v>
      </c>
      <c r="I63">
        <f ca="1">IF(ISERROR(IF(MEDIAN($I$64:$I$74) = 0, "", MEDIAN($I$64:$I$74))), "", (IF(MEDIAN($I$64:$I$74) = 0, "", MEDIAN($I$64:$I$74))))</f>
        <v>141.14699999999999</v>
      </c>
      <c r="J63">
        <f ca="1">IF(ISERROR(IF(MEDIAN($J$64:$J$74) = 0, "", MEDIAN($J$64:$J$74))), "", (IF(MEDIAN($J$64:$J$74) = 0, "", MEDIAN($J$64:$J$74))))</f>
        <v>148.12899999999999</v>
      </c>
      <c r="K63">
        <f ca="1">IF(ISERROR(IF(MEDIAN($K$64:$K$74) = 0, "", MEDIAN($K$64:$K$74))), "", (IF(MEDIAN($K$64:$K$74) = 0, "", MEDIAN($K$64:$K$74))))</f>
        <v>142.43600000000001</v>
      </c>
      <c r="L63">
        <f ca="1">IF(ISERROR(IF(MEDIAN($L$64:$L$74) = 0, "", MEDIAN($L$64:$L$74))), "", (IF(MEDIAN($L$64:$L$74) = 0, "", MEDIAN($L$64:$L$74))))</f>
        <v>134.40899999999999</v>
      </c>
      <c r="M63">
        <f ca="1">IF(ISERROR(IF(MEDIAN($M$64:$M$74) = 0, "", MEDIAN($M$64:$M$74))), "", (IF(MEDIAN($M$64:$M$74) = 0, "", MEDIAN($M$64:$M$74))))</f>
        <v>101.973</v>
      </c>
      <c r="N63">
        <f ca="1">IF(ISERROR(IF(MEDIAN($N$64:$N$74) = 0, "", MEDIAN($N$64:$N$74))), "", (IF(MEDIAN($N$64:$N$74) = 0, "", MEDIAN($N$64:$N$74))))</f>
        <v>124.244</v>
      </c>
      <c r="O63">
        <f ca="1">IF(ISERROR(IF(MEDIAN($O$64:$O$74) = 0, "", MEDIAN($O$64:$O$74))), "", (IF(MEDIAN($O$64:$O$74) = 0, "", MEDIAN($O$64:$O$74))))</f>
        <v>131.19999999999999</v>
      </c>
      <c r="P63">
        <f ca="1">IF(ISERROR(IF(MEDIAN($P$64:$P$74) = 0, "", MEDIAN($P$64:$P$74))), "", (IF(MEDIAN($P$64:$P$74) = 0, "", MEDIAN($P$64:$P$74))))</f>
        <v>134.62100000000001</v>
      </c>
      <c r="Q63">
        <f ca="1">IF(ISERROR(IF(MEDIAN($Q$64:$Q$74) = 0, "", MEDIAN($Q$64:$Q$74))), "", (IF(MEDIAN($Q$64:$Q$74) = 0, "", MEDIAN($Q$64:$Q$74))))</f>
        <v>130.1635</v>
      </c>
      <c r="R63">
        <f ca="1">IF(ISERROR(IF(MEDIAN($R$64:$R$74) = 0, "", MEDIAN($R$64:$R$74))), "", (IF(MEDIAN($R$64:$R$74) = 0, "", MEDIAN($R$64:$R$74))))</f>
        <v>92.708500000000001</v>
      </c>
      <c r="S63">
        <f ca="1">IF(ISERROR(IF(MEDIAN($S$64:$S$74) = 0, "", MEDIAN($S$64:$S$74))), "", (IF(MEDIAN($S$64:$S$74) = 0, "", MEDIAN($S$64:$S$74))))</f>
        <v>93.464500000000001</v>
      </c>
      <c r="T63">
        <f ca="1">IF(ISERROR(IF(MEDIAN($T$64:$T$74) = 0, "", MEDIAN($T$64:$T$74))), "", (IF(MEDIAN($T$64:$T$74) = 0, "", MEDIAN($T$64:$T$74))))</f>
        <v>118.9575</v>
      </c>
      <c r="U63">
        <f ca="1">IF(ISERROR(IF(MEDIAN($U$64:$U$74) = 0, "", MEDIAN($U$64:$U$74))), "", (IF(MEDIAN($U$64:$U$74) = 0, "", MEDIAN($U$64:$U$74))))</f>
        <v>110.67599999999999</v>
      </c>
      <c r="V63">
        <f ca="1">IF(ISERROR(IF(MEDIAN($V$64:$V$74) = 0, "", MEDIAN($V$64:$V$74))), "", (IF(MEDIAN($V$64:$V$74) = 0, "", MEDIAN($V$64:$V$74))))</f>
        <v>107.869</v>
      </c>
      <c r="W63">
        <f ca="1">IF(ISERROR(IF(MEDIAN($W$64:$W$74) = 0, "", MEDIAN($W$64:$W$74))), "", (IF(MEDIAN($W$64:$W$74) = 0, "", MEDIAN($W$64:$W$74))))</f>
        <v>105.8035</v>
      </c>
      <c r="X63">
        <f ca="1">IF(ISERROR(IF(MEDIAN($X$64:$X$74) = 0, "", MEDIAN($X$64:$X$74))), "", (IF(MEDIAN($X$64:$X$74) = 0, "", MEDIAN($X$64:$X$74))))</f>
        <v>97.364000000000004</v>
      </c>
      <c r="Y63">
        <f ca="1">IF(ISERROR(IF(MEDIAN($Y$64:$Y$74) = 0, "", MEDIAN($Y$64:$Y$74))), "", (IF(MEDIAN($Y$64:$Y$74) = 0, "", MEDIAN($Y$64:$Y$74))))</f>
        <v>96.195999999999998</v>
      </c>
      <c r="Z63">
        <f ca="1">IF(ISERROR(IF(MEDIAN($Z$64:$Z$74) = 0, "", MEDIAN($Z$64:$Z$74))), "", (IF(MEDIAN($Z$64:$Z$74) = 0, "", MEDIAN($Z$64:$Z$74))))</f>
        <v>95.422500000000014</v>
      </c>
      <c r="AA63">
        <f ca="1">IF(ISERROR(IF(MEDIAN($AA$64:$AA$74) = 0, "", MEDIAN($AA$64:$AA$74))), "", (IF(MEDIAN($AA$64:$AA$74) = 0, "", MEDIAN($AA$64:$AA$74))))</f>
        <v>90.171499999999995</v>
      </c>
      <c r="AB63">
        <f ca="1">IF(ISERROR(IF(MEDIAN($AB$64:$AB$74) = 0, "", MEDIAN($AB$64:$AB$74))), "", (IF(MEDIAN($AB$64:$AB$74) = 0, "", MEDIAN($AB$64:$AB$74))))</f>
        <v>84.609000000000009</v>
      </c>
      <c r="AC63">
        <f ca="1">IF(ISERROR(IF(MEDIAN($AC$64:$AC$74) = 0, "", MEDIAN($AC$64:$AC$74))), "", (IF(MEDIAN($AC$64:$AC$74) = 0, "", MEDIAN($AC$64:$AC$74))))</f>
        <v>85.789999999999992</v>
      </c>
      <c r="AD63">
        <f ca="1">IF(ISERROR(IF(MEDIAN($AD$64:$AD$74) = 0, "", MEDIAN($AD$64:$AD$74))), "", (IF(MEDIAN($AD$64:$AD$74) = 0, "", MEDIAN($AD$64:$AD$74))))</f>
        <v>82.566000000000003</v>
      </c>
      <c r="AE63">
        <f ca="1">IF(ISERROR(IF(MEDIAN($AE$64:$AE$74) = 0, "", MEDIAN($AE$64:$AE$74))), "", (IF(MEDIAN($AE$64:$AE$74) = 0, "", MEDIAN($AE$64:$AE$74))))</f>
        <v>77.419000000000011</v>
      </c>
      <c r="AF63">
        <f ca="1">IF(ISERROR(IF(MEDIAN($AF$64:$AF$74) = 0, "", MEDIAN($AF$64:$AF$74))), "", (IF(MEDIAN($AF$64:$AF$74) = 0, "", MEDIAN($AF$64:$AF$74))))</f>
        <v>75.805999999999997</v>
      </c>
      <c r="AG63">
        <f ca="1">IF(ISERROR(IF(MEDIAN($AG$64:$AG$74) = 0, "", MEDIAN($AG$64:$AG$74))), "", (IF(MEDIAN($AG$64:$AG$74) = 0, "", MEDIAN($AG$64:$AG$74))))</f>
        <v>71.782499999999999</v>
      </c>
      <c r="AH63">
        <f ca="1">IF(ISERROR(IF(MEDIAN($AH$64:$AH$74) = 0, "", MEDIAN($AH$64:$AH$74))), "", (IF(MEDIAN($AH$64:$AH$74) = 0, "", MEDIAN($AH$64:$AH$74))))</f>
        <v>60.343999999999994</v>
      </c>
      <c r="AI63">
        <f ca="1">IF(ISERROR(IF(MEDIAN($AI$64:$AI$74) = 0, "", MEDIAN($AI$64:$AI$74))), "", (IF(MEDIAN($AI$64:$AI$74) = 0, "", MEDIAN($AI$64:$AI$74))))</f>
        <v>77.858999999999995</v>
      </c>
      <c r="AJ63">
        <f ca="1">IF(ISERROR(IF(MEDIAN($AJ$64:$AJ$74) = 0, "", MEDIAN($AJ$64:$AJ$74))), "", (IF(MEDIAN($AJ$64:$AJ$74) = 0, "", MEDIAN($AJ$64:$AJ$74))))</f>
        <v>70.531000000000006</v>
      </c>
      <c r="AK63">
        <f ca="1">IF(ISERROR(IF(MEDIAN($AK$64:$AK$74) = 0, "", MEDIAN($AK$64:$AK$74))), "", (IF(MEDIAN($AK$64:$AK$74) = 0, "", MEDIAN($AK$64:$AK$74))))</f>
        <v>70.804000000000002</v>
      </c>
      <c r="AL63">
        <f ca="1">IF(ISERROR(IF(MEDIAN($AL$64:$AL$74) = 0, "", MEDIAN($AL$64:$AL$74))), "", (IF(MEDIAN($AL$64:$AL$74) = 0, "", MEDIAN($AL$64:$AL$74))))</f>
        <v>70.536000000000001</v>
      </c>
      <c r="AM63">
        <f ca="1">IF(ISERROR(IF(MEDIAN($AM$64:$AM$74) = 0, "", MEDIAN($AM$64:$AM$74))), "", (IF(MEDIAN($AM$64:$AM$74) = 0, "", MEDIAN($AM$64:$AM$74))))</f>
        <v>75.450500000000005</v>
      </c>
      <c r="AN63">
        <f ca="1">IF(ISERROR(IF(MEDIAN($AN$64:$AN$74) = 0, "", MEDIAN($AN$64:$AN$74))), "", (IF(MEDIAN($AN$64:$AN$74) = 0, "", MEDIAN($AN$64:$AN$74))))</f>
        <v>63.293000000000006</v>
      </c>
      <c r="AO63">
        <f ca="1">IF(ISERROR(IF(MEDIAN($AO$64:$AO$74) = 0, "", MEDIAN($AO$64:$AO$74))), "", (IF(MEDIAN($AO$64:$AO$74) = 0, "", MEDIAN($AO$64:$AO$74))))</f>
        <v>72.091000000000008</v>
      </c>
      <c r="AP63">
        <f ca="1">IF(ISERROR(IF(MEDIAN($AP$64:$AP$74) = 0, "", MEDIAN($AP$64:$AP$74))), "", (IF(MEDIAN($AP$64:$AP$74) = 0, "", MEDIAN($AP$64:$AP$74))))</f>
        <v>75.256500000000003</v>
      </c>
      <c r="AQ63">
        <f ca="1">IF(ISERROR(IF(MEDIAN($AQ$64:$AQ$74) = 0, "", MEDIAN($AQ$64:$AQ$74))), "", (IF(MEDIAN($AQ$64:$AQ$74) = 0, "", MEDIAN($AQ$64:$AQ$74))))</f>
        <v>56.721499999999999</v>
      </c>
      <c r="AR63">
        <f ca="1">IF(ISERROR(IF(MEDIAN($AR$64:$AR$74) = 0, "", MEDIAN($AR$64:$AR$74))), "", (IF(MEDIAN($AR$64:$AR$74) = 0, "", MEDIAN($AR$64:$AR$74))))</f>
        <v>45.332499999999996</v>
      </c>
      <c r="AS63">
        <f ca="1">IF(ISERROR(IF(MEDIAN($AS$64:$AS$74) = 0, "", MEDIAN($AS$64:$AS$74))), "", (IF(MEDIAN($AS$64:$AS$74) = 0, "", MEDIAN($AS$64:$AS$74))))</f>
        <v>62.025500000000001</v>
      </c>
      <c r="AT63">
        <f ca="1">IF(ISERROR(IF(MEDIAN($AT$64:$AT$74) = 0, "", MEDIAN($AT$64:$AT$74))), "", (IF(MEDIAN($AT$64:$AT$74) = 0, "", MEDIAN($AT$64:$AT$74))))</f>
        <v>59.295000000000002</v>
      </c>
      <c r="AU63">
        <f ca="1">IF(ISERROR(IF(MEDIAN($AU$64:$AU$74) = 0, "", MEDIAN($AU$64:$AU$74))), "", (IF(MEDIAN($AU$64:$AU$74) = 0, "", MEDIAN($AU$64:$AU$74))))</f>
        <v>61.351500000000001</v>
      </c>
      <c r="AV63">
        <f ca="1">IF(ISERROR(IF(MEDIAN($AV$64:$AV$74) = 0, "", MEDIAN($AV$64:$AV$74))), "", (IF(MEDIAN($AV$64:$AV$74) = 0, "", MEDIAN($AV$64:$AV$74))))</f>
        <v>55.488999999999997</v>
      </c>
      <c r="AW63">
        <f ca="1">IF(ISERROR(IF(MEDIAN($AW$64:$AW$74) = 0, "", MEDIAN($AW$64:$AW$74))), "", (IF(MEDIAN($AW$64:$AW$74) = 0, "", MEDIAN($AW$64:$AW$74))))</f>
        <v>52.912499999999994</v>
      </c>
      <c r="AX63">
        <f ca="1">IF(ISERROR(IF(MEDIAN($AX$64:$AX$74) = 0, "", MEDIAN($AX$64:$AX$74))), "", (IF(MEDIAN($AX$64:$AX$74) = 0, "", MEDIAN($AX$64:$AX$74))))</f>
        <v>52.534500000000001</v>
      </c>
      <c r="AY63">
        <f ca="1">IF(ISERROR(IF(MEDIAN($AY$64:$AY$74) = 0, "", MEDIAN($AY$64:$AY$74))), "", (IF(MEDIAN($AY$64:$AY$74) = 0, "", MEDIAN($AY$64:$AY$74))))</f>
        <v>57.609000000000002</v>
      </c>
      <c r="AZ63">
        <f ca="1">IF(ISERROR(IF(MEDIAN($AZ$64:$AZ$74) = 0, "", MEDIAN($AZ$64:$AZ$74))), "", (IF(MEDIAN($AZ$64:$AZ$74) = 0, "", MEDIAN($AZ$64:$AZ$74))))</f>
        <v>48.349499999999999</v>
      </c>
      <c r="BA63">
        <f ca="1">IF(ISERROR(IF(MEDIAN($BA$64:$BA$74) = 0, "", MEDIAN($BA$64:$BA$74))), "", (IF(MEDIAN($BA$64:$BA$74) = 0, "", MEDIAN($BA$64:$BA$74))))</f>
        <v>43.83</v>
      </c>
      <c r="BB63">
        <f ca="1">IF(ISERROR(IF(MEDIAN($BB$64:$BB$74) = 0, "", MEDIAN($BB$64:$BB$74))), "", (IF(MEDIAN($BB$64:$BB$74) = 0, "", MEDIAN($BB$64:$BB$74))))</f>
        <v>42.253</v>
      </c>
      <c r="BC63">
        <f ca="1">IF(ISERROR(IF(MEDIAN($BC$64:$BC$74) = 0, "", MEDIAN($BC$64:$BC$74))), "", (IF(MEDIAN($BC$64:$BC$74) = 0, "", MEDIAN($BC$64:$BC$74))))</f>
        <v>42.587500000000006</v>
      </c>
      <c r="BD63">
        <f ca="1">IF(ISERROR(IF(MEDIAN($BD$64:$BD$74) = 0, "", MEDIAN($BD$64:$BD$74))), "", (IF(MEDIAN($BD$64:$BD$74) = 0, "", MEDIAN($BD$64:$BD$74))))</f>
        <v>40.794499999999999</v>
      </c>
      <c r="BE63">
        <f ca="1">IF(ISERROR(IF(MEDIAN($BE$64:$BE$74) = 0, "", MEDIAN($BE$64:$BE$74))), "", (IF(MEDIAN($BE$64:$BE$74) = 0, "", MEDIAN($BE$64:$BE$74))))</f>
        <v>38.353999825000002</v>
      </c>
      <c r="BF63">
        <f ca="1">IF(ISERROR(IF(MEDIAN($BF$64:$BF$74) = 0, "", MEDIAN($BF$64:$BF$74))), "", (IF(MEDIAN($BF$64:$BF$74) = 0, "", MEDIAN($BF$64:$BF$74))))</f>
        <v>38.132000000000005</v>
      </c>
      <c r="BG63">
        <f ca="1">IF(ISERROR(IF(MEDIAN($BG$64:$BG$74) = 0, "", MEDIAN($BG$64:$BG$74))), "", (IF(MEDIAN($BG$64:$BG$74) = 0, "", MEDIAN($BG$64:$BG$74))))</f>
        <v>37.725000000000001</v>
      </c>
      <c r="BH63">
        <f ca="1">IF(ISERROR(IF(MEDIAN($BH$64:$BH$74) = 0, "", MEDIAN($BH$64:$BH$74))), "", (IF(MEDIAN($BH$64:$BH$74) = 0, "", MEDIAN($BH$64:$BH$74))))</f>
        <v>39.718000000000004</v>
      </c>
      <c r="BI63">
        <f ca="1">IF(ISERROR(IF(MEDIAN($BI$64:$BI$74) = 0, "", MEDIAN($BI$64:$BI$74))), "", (IF(MEDIAN($BI$64:$BI$74) = 0, "", MEDIAN($BI$64:$BI$74))))</f>
        <v>37.531999999999996</v>
      </c>
      <c r="BJ63">
        <f ca="1">IF(ISERROR(IF(MEDIAN($BJ$64:$BJ$74) = 0, "", MEDIAN($BJ$64:$BJ$74))), "", (IF(MEDIAN($BJ$64:$BJ$74) = 0, "", MEDIAN($BJ$64:$BJ$74))))</f>
        <v>33.998999599999998</v>
      </c>
      <c r="BK63">
        <f ca="1">IF(ISERROR(IF(MEDIAN($BK$64:$BK$74) = 0, "", MEDIAN($BK$64:$BK$74))), "", (IF(MEDIAN($BK$64:$BK$74) = 0, "", MEDIAN($BK$64:$BK$74))))</f>
        <v>39.764000000000003</v>
      </c>
      <c r="BL63">
        <f ca="1">IF(ISERROR(IF(MEDIAN($BL$64:$BL$74) = 0, "", MEDIAN($BL$64:$BL$74))), "", (IF(MEDIAN($BL$64:$BL$74) = 0, "", MEDIAN($BL$64:$BL$74))))</f>
        <v>46.493999479999999</v>
      </c>
      <c r="BM63">
        <f ca="1">IF(ISERROR(IF(MEDIAN($BM$64:$BM$74) = 0, "", MEDIAN($BM$64:$BM$74))), "", (IF(MEDIAN($BM$64:$BM$74) = 0, "", MEDIAN($BM$64:$BM$74))))</f>
        <v>36.197999000000003</v>
      </c>
      <c r="BN63" t="str">
        <f>""</f>
        <v/>
      </c>
      <c r="BO63">
        <f>142.6655</f>
        <v>142.66550000000001</v>
      </c>
      <c r="BP63">
        <f>148.3815</f>
        <v>148.38149999999999</v>
      </c>
      <c r="BQ63">
        <f>141.147</f>
        <v>141.14699999999999</v>
      </c>
      <c r="BR63">
        <f>148.129</f>
        <v>148.12899999999999</v>
      </c>
      <c r="BS63">
        <f>142.436</f>
        <v>142.43600000000001</v>
      </c>
      <c r="BT63">
        <f>134.409</f>
        <v>134.40899999999999</v>
      </c>
      <c r="BU63">
        <f>101.973</f>
        <v>101.973</v>
      </c>
      <c r="BV63">
        <f>124.244</f>
        <v>124.244</v>
      </c>
      <c r="BW63">
        <f>131.2</f>
        <v>131.19999999999999</v>
      </c>
      <c r="BX63">
        <f>134.621</f>
        <v>134.62100000000001</v>
      </c>
      <c r="BY63">
        <f>130.1635</f>
        <v>130.1635</v>
      </c>
      <c r="BZ63">
        <f>92.7085</f>
        <v>92.708500000000001</v>
      </c>
      <c r="CA63">
        <f>93.4645</f>
        <v>93.464500000000001</v>
      </c>
      <c r="CB63">
        <f>118.9575</f>
        <v>118.9575</v>
      </c>
      <c r="CC63">
        <f>110.676</f>
        <v>110.676</v>
      </c>
      <c r="CD63">
        <f>107.869</f>
        <v>107.869</v>
      </c>
      <c r="CE63">
        <f>105.8035</f>
        <v>105.8035</v>
      </c>
      <c r="CF63">
        <f>97.364</f>
        <v>97.364000000000004</v>
      </c>
      <c r="CG63">
        <f>96.196</f>
        <v>96.195999999999998</v>
      </c>
      <c r="CH63">
        <f>95.4225</f>
        <v>95.422499999999999</v>
      </c>
      <c r="CI63">
        <f>90.1715</f>
        <v>90.171499999999995</v>
      </c>
      <c r="CJ63">
        <f>84.609</f>
        <v>84.608999999999995</v>
      </c>
      <c r="CK63">
        <f>85.79</f>
        <v>85.79</v>
      </c>
      <c r="CL63">
        <f>82.566</f>
        <v>82.566000000000003</v>
      </c>
      <c r="CM63">
        <f>77.419</f>
        <v>77.418999999999997</v>
      </c>
      <c r="CN63">
        <f>75.806</f>
        <v>75.805999999999997</v>
      </c>
      <c r="CO63">
        <f>71.7825</f>
        <v>71.782499999999999</v>
      </c>
      <c r="CP63">
        <f>60.344</f>
        <v>60.344000000000001</v>
      </c>
      <c r="CQ63">
        <f>77.859</f>
        <v>77.858999999999995</v>
      </c>
      <c r="CR63">
        <f>70.531</f>
        <v>70.531000000000006</v>
      </c>
      <c r="CS63">
        <f>70.804</f>
        <v>70.804000000000002</v>
      </c>
      <c r="CT63">
        <f>70.536</f>
        <v>70.536000000000001</v>
      </c>
      <c r="CU63">
        <f>75.4505</f>
        <v>75.450500000000005</v>
      </c>
      <c r="CV63">
        <f>63.293</f>
        <v>63.292999999999999</v>
      </c>
      <c r="CW63">
        <f>72.091</f>
        <v>72.090999999999994</v>
      </c>
      <c r="CX63">
        <f>75.2565</f>
        <v>75.256500000000003</v>
      </c>
      <c r="CY63">
        <f>56.7215</f>
        <v>56.721499999999999</v>
      </c>
      <c r="CZ63">
        <f>45.3325</f>
        <v>45.332500000000003</v>
      </c>
      <c r="DA63">
        <f>62.0255</f>
        <v>62.025500000000001</v>
      </c>
      <c r="DB63">
        <f>59.295</f>
        <v>59.295000000000002</v>
      </c>
      <c r="DC63">
        <f>61.3515</f>
        <v>61.351500000000001</v>
      </c>
      <c r="DD63">
        <f>55.489</f>
        <v>55.488999999999997</v>
      </c>
      <c r="DE63">
        <f>52.9125</f>
        <v>52.912500000000001</v>
      </c>
      <c r="DF63">
        <f>52.5345</f>
        <v>52.534500000000001</v>
      </c>
      <c r="DG63">
        <f>57.609</f>
        <v>57.609000000000002</v>
      </c>
      <c r="DH63">
        <f>48.3495</f>
        <v>48.349499999999999</v>
      </c>
      <c r="DI63">
        <f>43.83</f>
        <v>43.83</v>
      </c>
      <c r="DJ63">
        <f>42.253</f>
        <v>42.253</v>
      </c>
      <c r="DK63">
        <f>42.5875</f>
        <v>42.587499999999999</v>
      </c>
      <c r="DL63">
        <f>40.7945</f>
        <v>40.794499999999999</v>
      </c>
      <c r="DM63">
        <f>38.35399982</f>
        <v>38.353999819999999</v>
      </c>
      <c r="DN63">
        <f>38.132</f>
        <v>38.131999999999998</v>
      </c>
      <c r="DO63">
        <f>37.725</f>
        <v>37.725000000000001</v>
      </c>
      <c r="DP63">
        <f>39.718</f>
        <v>39.718000000000004</v>
      </c>
      <c r="DQ63">
        <f>37.532</f>
        <v>37.531999999999996</v>
      </c>
      <c r="DR63">
        <f>33.9989996</f>
        <v>33.998999599999998</v>
      </c>
      <c r="DS63">
        <f>39.764</f>
        <v>39.764000000000003</v>
      </c>
      <c r="DT63">
        <f>46.49399948</f>
        <v>46.493999479999999</v>
      </c>
      <c r="DU63">
        <f>36.197999</f>
        <v>36.197999000000003</v>
      </c>
    </row>
    <row r="64" spans="1:125">
      <c r="A64" t="str">
        <f>"    Alexandria Real Estate Equitie"</f>
        <v xml:space="preserve">    Alexandria Real Estate Equitie</v>
      </c>
      <c r="B64" t="str">
        <f>"ARE US Equity"</f>
        <v>ARE US Equity</v>
      </c>
      <c r="C64" t="str">
        <f t="shared" ref="C64:C74" si="15">"RR009"</f>
        <v>RR009</v>
      </c>
      <c r="D64" t="str">
        <f t="shared" ref="D64:D74" si="16">"EBITDA"</f>
        <v>EBITDA</v>
      </c>
      <c r="E64" t="str">
        <f t="shared" ref="E64:E74" si="17">"动态"</f>
        <v>动态</v>
      </c>
      <c r="F64" t="str">
        <f ca="1">IF(AND(ISNUMBER($F$315),$B$258=1),$F$315,HLOOKUP(INDIRECT(ADDRESS(2,COLUMN())),OFFSET($BN$2,0,0,ROW()-1,60),ROW()-1,FALSE))</f>
        <v/>
      </c>
      <c r="G64">
        <f ca="1">IF(AND(ISNUMBER($G$315),$B$258=1),$G$315,HLOOKUP(INDIRECT(ADDRESS(2,COLUMN())),OFFSET($BN$2,0,0,ROW()-1,60),ROW()-1,FALSE))</f>
        <v>191.80799999999999</v>
      </c>
      <c r="H64">
        <f ca="1">IF(AND(ISNUMBER($H$315),$B$258=1),$H$315,HLOOKUP(INDIRECT(ADDRESS(2,COLUMN())),OFFSET($BN$2,0,0,ROW()-1,60),ROW()-1,FALSE))</f>
        <v>184.26499999999999</v>
      </c>
      <c r="I64">
        <f ca="1">IF(AND(ISNUMBER($I$315),$B$258=1),$I$315,HLOOKUP(INDIRECT(ADDRESS(2,COLUMN())),OFFSET($BN$2,0,0,ROW()-1,60),ROW()-1,FALSE))</f>
        <v>176.642</v>
      </c>
      <c r="J64">
        <f ca="1">IF(AND(ISNUMBER($J$315),$B$258=1),$J$315,HLOOKUP(INDIRECT(ADDRESS(2,COLUMN())),OFFSET($BN$2,0,0,ROW()-1,60),ROW()-1,FALSE))</f>
        <v>174.56100000000001</v>
      </c>
      <c r="K64">
        <f ca="1">IF(AND(ISNUMBER($K$315),$B$258=1),$K$315,HLOOKUP(INDIRECT(ADDRESS(2,COLUMN())),OFFSET($BN$2,0,0,ROW()-1,60),ROW()-1,FALSE))</f>
        <v>142.43600000000001</v>
      </c>
      <c r="L64">
        <f ca="1">IF(AND(ISNUMBER($L$315),$B$258=1),$L$315,HLOOKUP(INDIRECT(ADDRESS(2,COLUMN())),OFFSET($BN$2,0,0,ROW()-1,60),ROW()-1,FALSE))</f>
        <v>134.40899999999999</v>
      </c>
      <c r="M64">
        <f ca="1">IF(AND(ISNUMBER($M$315),$B$258=1),$M$315,HLOOKUP(INDIRECT(ADDRESS(2,COLUMN())),OFFSET($BN$2,0,0,ROW()-1,60),ROW()-1,FALSE))</f>
        <v>-12.776</v>
      </c>
      <c r="N64">
        <f ca="1">IF(AND(ISNUMBER($N$315),$B$258=1),$N$315,HLOOKUP(INDIRECT(ADDRESS(2,COLUMN())),OFFSET($BN$2,0,0,ROW()-1,60),ROW()-1,FALSE))</f>
        <v>106.084</v>
      </c>
      <c r="O64">
        <f ca="1">IF(AND(ISNUMBER($O$315),$B$258=1),$O$315,HLOOKUP(INDIRECT(ADDRESS(2,COLUMN())),OFFSET($BN$2,0,0,ROW()-1,60),ROW()-1,FALSE))</f>
        <v>131.19999999999999</v>
      </c>
      <c r="P64">
        <f ca="1">IF(AND(ISNUMBER($P$315),$B$258=1),$P$315,HLOOKUP(INDIRECT(ADDRESS(2,COLUMN())),OFFSET($BN$2,0,0,ROW()-1,60),ROW()-1,FALSE))</f>
        <v>134.62100000000001</v>
      </c>
      <c r="Q64">
        <f ca="1">IF(AND(ISNUMBER($Q$315),$B$258=1),$Q$315,HLOOKUP(INDIRECT(ADDRESS(2,COLUMN())),OFFSET($BN$2,0,0,ROW()-1,60),ROW()-1,FALSE))</f>
        <v>126.917</v>
      </c>
      <c r="R64">
        <f ca="1">IF(AND(ISNUMBER($R$315),$B$258=1),$R$315,HLOOKUP(INDIRECT(ADDRESS(2,COLUMN())),OFFSET($BN$2,0,0,ROW()-1,60),ROW()-1,FALSE))</f>
        <v>106.633</v>
      </c>
      <c r="S64">
        <f ca="1">IF(AND(ISNUMBER($S$315),$B$258=1),$S$315,HLOOKUP(INDIRECT(ADDRESS(2,COLUMN())),OFFSET($BN$2,0,0,ROW()-1,60),ROW()-1,FALSE))</f>
        <v>66.257000000000005</v>
      </c>
      <c r="T64">
        <f ca="1">IF(AND(ISNUMBER($T$315),$B$258=1),$T$315,HLOOKUP(INDIRECT(ADDRESS(2,COLUMN())),OFFSET($BN$2,0,0,ROW()-1,60),ROW()-1,FALSE))</f>
        <v>115.583</v>
      </c>
      <c r="U64">
        <f ca="1">IF(AND(ISNUMBER($U$315),$B$258=1),$U$315,HLOOKUP(INDIRECT(ADDRESS(2,COLUMN())),OFFSET($BN$2,0,0,ROW()-1,60),ROW()-1,FALSE))</f>
        <v>110.21299999999999</v>
      </c>
      <c r="V64">
        <f ca="1">IF(AND(ISNUMBER($V$315),$B$258=1),$V$315,HLOOKUP(INDIRECT(ADDRESS(2,COLUMN())),OFFSET($BN$2,0,0,ROW()-1,60),ROW()-1,FALSE))</f>
        <v>110.455</v>
      </c>
      <c r="W64">
        <f ca="1">IF(AND(ISNUMBER($W$315),$B$258=1),$W$315,HLOOKUP(INDIRECT(ADDRESS(2,COLUMN())),OFFSET($BN$2,0,0,ROW()-1,60),ROW()-1,FALSE))</f>
        <v>106.197</v>
      </c>
      <c r="X64">
        <f ca="1">IF(AND(ISNUMBER($X$315),$B$258=1),$X$315,HLOOKUP(INDIRECT(ADDRESS(2,COLUMN())),OFFSET($BN$2,0,0,ROW()-1,60),ROW()-1,FALSE))</f>
        <v>99.200999999999993</v>
      </c>
      <c r="Y64">
        <f ca="1">IF(AND(ISNUMBER($Y$315),$B$258=1),$Y$315,HLOOKUP(INDIRECT(ADDRESS(2,COLUMN())),OFFSET($BN$2,0,0,ROW()-1,60),ROW()-1,FALSE))</f>
        <v>95.433999999999997</v>
      </c>
      <c r="Z64">
        <f ca="1">IF(AND(ISNUMBER($Z$315),$B$258=1),$Z$315,HLOOKUP(INDIRECT(ADDRESS(2,COLUMN())),OFFSET($BN$2,0,0,ROW()-1,60),ROW()-1,FALSE))</f>
        <v>94.415000000000006</v>
      </c>
      <c r="AA64">
        <f ca="1">IF(AND(ISNUMBER($AA$315),$B$258=1),$AA$315,HLOOKUP(INDIRECT(ADDRESS(2,COLUMN())),OFFSET($BN$2,0,0,ROW()-1,60),ROW()-1,FALSE))</f>
        <v>91.230999999999995</v>
      </c>
      <c r="AB64">
        <f ca="1">IF(AND(ISNUMBER($AB$315),$B$258=1),$AB$315,HLOOKUP(INDIRECT(ADDRESS(2,COLUMN())),OFFSET($BN$2,0,0,ROW()-1,60),ROW()-1,FALSE))</f>
        <v>87.766000000000005</v>
      </c>
      <c r="AC64">
        <f ca="1">IF(AND(ISNUMBER($AC$315),$B$258=1),$AC$315,HLOOKUP(INDIRECT(ADDRESS(2,COLUMN())),OFFSET($BN$2,0,0,ROW()-1,60),ROW()-1,FALSE))</f>
        <v>92.807000000000002</v>
      </c>
      <c r="AD64">
        <f ca="1">IF(AND(ISNUMBER($AD$315),$B$258=1),$AD$315,HLOOKUP(INDIRECT(ADDRESS(2,COLUMN())),OFFSET($BN$2,0,0,ROW()-1,60),ROW()-1,FALSE))</f>
        <v>86.52</v>
      </c>
      <c r="AE64">
        <f ca="1">IF(AND(ISNUMBER($AE$315),$B$258=1),$AE$315,HLOOKUP(INDIRECT(ADDRESS(2,COLUMN())),OFFSET($BN$2,0,0,ROW()-1,60),ROW()-1,FALSE))</f>
        <v>88.299000000000007</v>
      </c>
      <c r="AF64">
        <f ca="1">IF(AND(ISNUMBER($AF$315),$B$258=1),$AF$315,HLOOKUP(INDIRECT(ADDRESS(2,COLUMN())),OFFSET($BN$2,0,0,ROW()-1,60),ROW()-1,FALSE))</f>
        <v>88.149000000000001</v>
      </c>
      <c r="AG64">
        <f ca="1">IF(AND(ISNUMBER($AG$315),$B$258=1),$AG$315,HLOOKUP(INDIRECT(ADDRESS(2,COLUMN())),OFFSET($BN$2,0,0,ROW()-1,60),ROW()-1,FALSE))</f>
        <v>92.152000000000001</v>
      </c>
      <c r="AH64">
        <f ca="1">IF(AND(ISNUMBER($AH$315),$B$258=1),$AH$315,HLOOKUP(INDIRECT(ADDRESS(2,COLUMN())),OFFSET($BN$2,0,0,ROW()-1,60),ROW()-1,FALSE))</f>
        <v>89.486999999999995</v>
      </c>
      <c r="AI64">
        <f ca="1">IF(AND(ISNUMBER($AI$315),$B$258=1),$AI$315,HLOOKUP(INDIRECT(ADDRESS(2,COLUMN())),OFFSET($BN$2,0,0,ROW()-1,60),ROW()-1,FALSE))</f>
        <v>86.631</v>
      </c>
      <c r="AJ64">
        <f ca="1">IF(AND(ISNUMBER($AJ$315),$B$258=1),$AJ$315,HLOOKUP(INDIRECT(ADDRESS(2,COLUMN())),OFFSET($BN$2,0,0,ROW()-1,60),ROW()-1,FALSE))</f>
        <v>79.369</v>
      </c>
      <c r="AK64">
        <f ca="1">IF(AND(ISNUMBER($AK$315),$B$258=1),$AK$315,HLOOKUP(INDIRECT(ADDRESS(2,COLUMN())),OFFSET($BN$2,0,0,ROW()-1,60),ROW()-1,FALSE))</f>
        <v>78.451999999999998</v>
      </c>
      <c r="AL64">
        <f ca="1">IF(AND(ISNUMBER($AL$315),$B$258=1),$AL$315,HLOOKUP(INDIRECT(ADDRESS(2,COLUMN())),OFFSET($BN$2,0,0,ROW()-1,60),ROW()-1,FALSE))</f>
        <v>75.492000000000004</v>
      </c>
      <c r="AM64">
        <f ca="1">IF(AND(ISNUMBER($AM$315),$B$258=1),$AM$315,HLOOKUP(INDIRECT(ADDRESS(2,COLUMN())),OFFSET($BN$2,0,0,ROW()-1,60),ROW()-1,FALSE))</f>
        <v>77.188000000000002</v>
      </c>
      <c r="AN64">
        <f ca="1">IF(AND(ISNUMBER($AN$315),$B$258=1),$AN$315,HLOOKUP(INDIRECT(ADDRESS(2,COLUMN())),OFFSET($BN$2,0,0,ROW()-1,60),ROW()-1,FALSE))</f>
        <v>75.221000000000004</v>
      </c>
      <c r="AO64">
        <f ca="1">IF(AND(ISNUMBER($AO$315),$B$258=1),$AO$315,HLOOKUP(INDIRECT(ADDRESS(2,COLUMN())),OFFSET($BN$2,0,0,ROW()-1,60),ROW()-1,FALSE))</f>
        <v>83.233000000000004</v>
      </c>
      <c r="AP64">
        <f ca="1">IF(AND(ISNUMBER($AP$315),$B$258=1),$AP$315,HLOOKUP(INDIRECT(ADDRESS(2,COLUMN())),OFFSET($BN$2,0,0,ROW()-1,60),ROW()-1,FALSE))</f>
        <v>89.911000000000001</v>
      </c>
      <c r="AQ64">
        <f ca="1">IF(AND(ISNUMBER($AQ$315),$B$258=1),$AQ$315,HLOOKUP(INDIRECT(ADDRESS(2,COLUMN())),OFFSET($BN$2,0,0,ROW()-1,60),ROW()-1,FALSE))</f>
        <v>87.671999999999997</v>
      </c>
      <c r="AR64">
        <f ca="1">IF(AND(ISNUMBER($AR$315),$B$258=1),$AR$315,HLOOKUP(INDIRECT(ADDRESS(2,COLUMN())),OFFSET($BN$2,0,0,ROW()-1,60),ROW()-1,FALSE))</f>
        <v>73.596000000000004</v>
      </c>
      <c r="AS64">
        <f ca="1">IF(AND(ISNUMBER($AS$315),$B$258=1),$AS$315,HLOOKUP(INDIRECT(ADDRESS(2,COLUMN())),OFFSET($BN$2,0,0,ROW()-1,60),ROW()-1,FALSE))</f>
        <v>75.268000000000001</v>
      </c>
      <c r="AT64">
        <f ca="1">IF(AND(ISNUMBER($AT$315),$B$258=1),$AT$315,HLOOKUP(INDIRECT(ADDRESS(2,COLUMN())),OFFSET($BN$2,0,0,ROW()-1,60),ROW()-1,FALSE))</f>
        <v>72.733000000000004</v>
      </c>
      <c r="AU64">
        <f ca="1">IF(AND(ISNUMBER($AU$315),$B$258=1),$AU$315,HLOOKUP(INDIRECT(ADDRESS(2,COLUMN())),OFFSET($BN$2,0,0,ROW()-1,60),ROW()-1,FALSE))</f>
        <v>73.040999999999997</v>
      </c>
      <c r="AV64">
        <f ca="1">IF(AND(ISNUMBER($AV$315),$B$258=1),$AV$315,HLOOKUP(INDIRECT(ADDRESS(2,COLUMN())),OFFSET($BN$2,0,0,ROW()-1,60),ROW()-1,FALSE))</f>
        <v>69.320999999999998</v>
      </c>
      <c r="AW64">
        <f ca="1">IF(AND(ISNUMBER($AW$315),$B$258=1),$AW$315,HLOOKUP(INDIRECT(ADDRESS(2,COLUMN())),OFFSET($BN$2,0,0,ROW()-1,60),ROW()-1,FALSE))</f>
        <v>64.311999999999998</v>
      </c>
      <c r="AX64">
        <f ca="1">IF(AND(ISNUMBER($AX$315),$B$258=1),$AX$315,HLOOKUP(INDIRECT(ADDRESS(2,COLUMN())),OFFSET($BN$2,0,0,ROW()-1,60),ROW()-1,FALSE))</f>
        <v>64.033000000000001</v>
      </c>
      <c r="AY64">
        <f ca="1">IF(AND(ISNUMBER($AY$315),$B$258=1),$AY$315,HLOOKUP(INDIRECT(ADDRESS(2,COLUMN())),OFFSET($BN$2,0,0,ROW()-1,60),ROW()-1,FALSE))</f>
        <v>63.948</v>
      </c>
      <c r="AZ64">
        <f ca="1">IF(AND(ISNUMBER($AZ$315),$B$258=1),$AZ$315,HLOOKUP(INDIRECT(ADDRESS(2,COLUMN())),OFFSET($BN$2,0,0,ROW()-1,60),ROW()-1,FALSE))</f>
        <v>58.47</v>
      </c>
      <c r="BA64">
        <f ca="1">IF(AND(ISNUMBER($BA$315),$B$258=1),$BA$315,HLOOKUP(INDIRECT(ADDRESS(2,COLUMN())),OFFSET($BN$2,0,0,ROW()-1,60),ROW()-1,FALSE))</f>
        <v>49.767000000000003</v>
      </c>
      <c r="BB64">
        <f ca="1">IF(AND(ISNUMBER($BB$315),$B$258=1),$BB$315,HLOOKUP(INDIRECT(ADDRESS(2,COLUMN())),OFFSET($BN$2,0,0,ROW()-1,60),ROW()-1,FALSE))</f>
        <v>46.737000000000002</v>
      </c>
      <c r="BC64">
        <f ca="1">IF(AND(ISNUMBER($BC$315),$B$258=1),$BC$315,HLOOKUP(INDIRECT(ADDRESS(2,COLUMN())),OFFSET($BN$2,0,0,ROW()-1,60),ROW()-1,FALSE))</f>
        <v>44.42</v>
      </c>
      <c r="BD64">
        <f ca="1">IF(AND(ISNUMBER($BD$315),$B$258=1),$BD$315,HLOOKUP(INDIRECT(ADDRESS(2,COLUMN())),OFFSET($BN$2,0,0,ROW()-1,60),ROW()-1,FALSE))</f>
        <v>42.411999999999999</v>
      </c>
      <c r="BE64">
        <f ca="1">IF(AND(ISNUMBER($BE$315),$B$258=1),$BE$315,HLOOKUP(INDIRECT(ADDRESS(2,COLUMN())),OFFSET($BN$2,0,0,ROW()-1,60),ROW()-1,FALSE))</f>
        <v>40.19</v>
      </c>
      <c r="BF64">
        <f ca="1">IF(AND(ISNUMBER($BF$315),$B$258=1),$BF$315,HLOOKUP(INDIRECT(ADDRESS(2,COLUMN())),OFFSET($BN$2,0,0,ROW()-1,60),ROW()-1,FALSE))</f>
        <v>38.344000000000001</v>
      </c>
      <c r="BG64">
        <f ca="1">IF(AND(ISNUMBER($BG$315),$B$258=1),$BG$315,HLOOKUP(INDIRECT(ADDRESS(2,COLUMN())),OFFSET($BN$2,0,0,ROW()-1,60),ROW()-1,FALSE))</f>
        <v>35.631999999999998</v>
      </c>
      <c r="BH64">
        <f ca="1">IF(AND(ISNUMBER($BH$315),$B$258=1),$BH$315,HLOOKUP(INDIRECT(ADDRESS(2,COLUMN())),OFFSET($BN$2,0,0,ROW()-1,60),ROW()-1,FALSE))</f>
        <v>32.628</v>
      </c>
      <c r="BI64">
        <f ca="1">IF(AND(ISNUMBER($BI$315),$B$258=1),$BI$315,HLOOKUP(INDIRECT(ADDRESS(2,COLUMN())),OFFSET($BN$2,0,0,ROW()-1,60),ROW()-1,FALSE))</f>
        <v>30.901</v>
      </c>
      <c r="BJ64">
        <f ca="1">IF(AND(ISNUMBER($BJ$315),$B$258=1),$BJ$315,HLOOKUP(INDIRECT(ADDRESS(2,COLUMN())),OFFSET($BN$2,0,0,ROW()-1,60),ROW()-1,FALSE))</f>
        <v>30.404</v>
      </c>
      <c r="BK64">
        <f ca="1">IF(AND(ISNUMBER($BK$315),$B$258=1),$BK$315,HLOOKUP(INDIRECT(ADDRESS(2,COLUMN())),OFFSET($BN$2,0,0,ROW()-1,60),ROW()-1,FALSE))</f>
        <v>39.764000000000003</v>
      </c>
      <c r="BL64">
        <f ca="1">IF(AND(ISNUMBER($BL$315),$B$258=1),$BL$315,HLOOKUP(INDIRECT(ADDRESS(2,COLUMN())),OFFSET($BN$2,0,0,ROW()-1,60),ROW()-1,FALSE))</f>
        <v>47.643000000000001</v>
      </c>
      <c r="BM64">
        <f ca="1">IF(AND(ISNUMBER($BM$315),$B$258=1),$BM$315,HLOOKUP(INDIRECT(ADDRESS(2,COLUMN())),OFFSET($BN$2,0,0,ROW()-1,60),ROW()-1,FALSE))</f>
        <v>27.858000000000001</v>
      </c>
      <c r="BN64" t="str">
        <f>""</f>
        <v/>
      </c>
      <c r="BO64">
        <f>191.808</f>
        <v>191.80799999999999</v>
      </c>
      <c r="BP64">
        <f>184.265</f>
        <v>184.26499999999999</v>
      </c>
      <c r="BQ64">
        <f>176.642</f>
        <v>176.642</v>
      </c>
      <c r="BR64">
        <f>174.561</f>
        <v>174.56100000000001</v>
      </c>
      <c r="BS64">
        <f>142.436</f>
        <v>142.43600000000001</v>
      </c>
      <c r="BT64">
        <f>134.409</f>
        <v>134.40899999999999</v>
      </c>
      <c r="BU64">
        <f>-12.776</f>
        <v>-12.776</v>
      </c>
      <c r="BV64">
        <f>106.084</f>
        <v>106.084</v>
      </c>
      <c r="BW64">
        <f>131.2</f>
        <v>131.19999999999999</v>
      </c>
      <c r="BX64">
        <f>134.621</f>
        <v>134.62100000000001</v>
      </c>
      <c r="BY64">
        <f>126.917</f>
        <v>126.917</v>
      </c>
      <c r="BZ64">
        <f>106.633</f>
        <v>106.633</v>
      </c>
      <c r="CA64">
        <f>66.257</f>
        <v>66.257000000000005</v>
      </c>
      <c r="CB64">
        <f>115.583</f>
        <v>115.583</v>
      </c>
      <c r="CC64">
        <f>110.213</f>
        <v>110.21299999999999</v>
      </c>
      <c r="CD64">
        <f>110.455</f>
        <v>110.455</v>
      </c>
      <c r="CE64">
        <f>106.197</f>
        <v>106.197</v>
      </c>
      <c r="CF64">
        <f>99.201</f>
        <v>99.200999999999993</v>
      </c>
      <c r="CG64">
        <f>95.434</f>
        <v>95.433999999999997</v>
      </c>
      <c r="CH64">
        <f>94.415</f>
        <v>94.415000000000006</v>
      </c>
      <c r="CI64">
        <f>91.231</f>
        <v>91.230999999999995</v>
      </c>
      <c r="CJ64">
        <f>87.766</f>
        <v>87.766000000000005</v>
      </c>
      <c r="CK64">
        <f>92.807</f>
        <v>92.807000000000002</v>
      </c>
      <c r="CL64">
        <f>86.52</f>
        <v>86.52</v>
      </c>
      <c r="CM64">
        <f>88.299</f>
        <v>88.299000000000007</v>
      </c>
      <c r="CN64">
        <f>88.149</f>
        <v>88.149000000000001</v>
      </c>
      <c r="CO64">
        <f>92.152</f>
        <v>92.152000000000001</v>
      </c>
      <c r="CP64">
        <f>89.487</f>
        <v>89.486999999999995</v>
      </c>
      <c r="CQ64">
        <f>86.631</f>
        <v>86.631</v>
      </c>
      <c r="CR64">
        <f>79.369</f>
        <v>79.369</v>
      </c>
      <c r="CS64">
        <f>78.452</f>
        <v>78.451999999999998</v>
      </c>
      <c r="CT64">
        <f>75.492</f>
        <v>75.492000000000004</v>
      </c>
      <c r="CU64">
        <f>77.188</f>
        <v>77.188000000000002</v>
      </c>
      <c r="CV64">
        <f>75.221</f>
        <v>75.221000000000004</v>
      </c>
      <c r="CW64">
        <f>83.233</f>
        <v>83.233000000000004</v>
      </c>
      <c r="CX64">
        <f>89.911</f>
        <v>89.911000000000001</v>
      </c>
      <c r="CY64">
        <f>87.672</f>
        <v>87.671999999999997</v>
      </c>
      <c r="CZ64">
        <f>73.596</f>
        <v>73.596000000000004</v>
      </c>
      <c r="DA64">
        <f>75.268</f>
        <v>75.268000000000001</v>
      </c>
      <c r="DB64">
        <f>72.733</f>
        <v>72.733000000000004</v>
      </c>
      <c r="DC64">
        <f>73.041</f>
        <v>73.040999999999997</v>
      </c>
      <c r="DD64">
        <f>69.321</f>
        <v>69.320999999999998</v>
      </c>
      <c r="DE64">
        <f>64.312</f>
        <v>64.311999999999998</v>
      </c>
      <c r="DF64">
        <f>64.033</f>
        <v>64.033000000000001</v>
      </c>
      <c r="DG64">
        <f>63.948</f>
        <v>63.948</v>
      </c>
      <c r="DH64">
        <f>58.47</f>
        <v>58.47</v>
      </c>
      <c r="DI64">
        <f>49.767</f>
        <v>49.767000000000003</v>
      </c>
      <c r="DJ64">
        <f>46.737</f>
        <v>46.737000000000002</v>
      </c>
      <c r="DK64">
        <f>44.42</f>
        <v>44.42</v>
      </c>
      <c r="DL64">
        <f>42.412</f>
        <v>42.411999999999999</v>
      </c>
      <c r="DM64">
        <f>40.19</f>
        <v>40.19</v>
      </c>
      <c r="DN64">
        <f>38.344</f>
        <v>38.344000000000001</v>
      </c>
      <c r="DO64">
        <f>35.632</f>
        <v>35.631999999999998</v>
      </c>
      <c r="DP64">
        <f>32.628</f>
        <v>32.628</v>
      </c>
      <c r="DQ64">
        <f>30.901</f>
        <v>30.901</v>
      </c>
      <c r="DR64">
        <f>30.404</f>
        <v>30.404</v>
      </c>
      <c r="DS64">
        <f>39.764</f>
        <v>39.764000000000003</v>
      </c>
      <c r="DT64">
        <f>47.643</f>
        <v>47.643000000000001</v>
      </c>
      <c r="DU64">
        <f>27.858</f>
        <v>27.858000000000001</v>
      </c>
    </row>
    <row r="65" spans="1:125">
      <c r="A65" t="str">
        <f>"    Care Capital Properties Inc"</f>
        <v xml:space="preserve">    Care Capital Properties Inc</v>
      </c>
      <c r="B65" t="str">
        <f>"CCP US Equity"</f>
        <v>CCP US Equity</v>
      </c>
      <c r="C65" t="str">
        <f t="shared" si="15"/>
        <v>RR009</v>
      </c>
      <c r="D65" t="str">
        <f t="shared" si="16"/>
        <v>EBITDA</v>
      </c>
      <c r="E65" t="str">
        <f t="shared" si="17"/>
        <v>动态</v>
      </c>
      <c r="F65" t="str">
        <f ca="1">IF(AND(ISNUMBER($F$316),$B$258=1),$F$316,HLOOKUP(INDIRECT(ADDRESS(2,COLUMN())),OFFSET($BN$2,0,0,ROW()-1,60),ROW()-1,FALSE))</f>
        <v/>
      </c>
      <c r="G65" t="str">
        <f ca="1">IF(AND(ISNUMBER($G$316),$B$258=1),$G$316,HLOOKUP(INDIRECT(ADDRESS(2,COLUMN())),OFFSET($BN$2,0,0,ROW()-1,60),ROW()-1,FALSE))</f>
        <v/>
      </c>
      <c r="H65" t="str">
        <f ca="1">IF(AND(ISNUMBER($H$316),$B$258=1),$H$316,HLOOKUP(INDIRECT(ADDRESS(2,COLUMN())),OFFSET($BN$2,0,0,ROW()-1,60),ROW()-1,FALSE))</f>
        <v/>
      </c>
      <c r="I65">
        <f ca="1">IF(AND(ISNUMBER($I$316),$B$258=1),$I$316,HLOOKUP(INDIRECT(ADDRESS(2,COLUMN())),OFFSET($BN$2,0,0,ROW()-1,60),ROW()-1,FALSE))</f>
        <v>94.688000000000002</v>
      </c>
      <c r="J65">
        <f ca="1">IF(AND(ISNUMBER($J$316),$B$258=1),$J$316,HLOOKUP(INDIRECT(ADDRESS(2,COLUMN())),OFFSET($BN$2,0,0,ROW()-1,60),ROW()-1,FALSE))</f>
        <v>71.245999999999995</v>
      </c>
      <c r="K65">
        <f ca="1">IF(AND(ISNUMBER($K$316),$B$258=1),$K$316,HLOOKUP(INDIRECT(ADDRESS(2,COLUMN())),OFFSET($BN$2,0,0,ROW()-1,60),ROW()-1,FALSE))</f>
        <v>78.936000000000007</v>
      </c>
      <c r="L65">
        <f ca="1">IF(AND(ISNUMBER($L$316),$B$258=1),$L$316,HLOOKUP(INDIRECT(ADDRESS(2,COLUMN())),OFFSET($BN$2,0,0,ROW()-1,60),ROW()-1,FALSE))</f>
        <v>71.683000000000007</v>
      </c>
      <c r="M65">
        <f ca="1">IF(AND(ISNUMBER($M$316),$B$258=1),$M$316,HLOOKUP(INDIRECT(ADDRESS(2,COLUMN())),OFFSET($BN$2,0,0,ROW()-1,60),ROW()-1,FALSE))</f>
        <v>73.849999999999994</v>
      </c>
      <c r="N65">
        <f ca="1">IF(AND(ISNUMBER($N$316),$B$258=1),$N$316,HLOOKUP(INDIRECT(ADDRESS(2,COLUMN())),OFFSET($BN$2,0,0,ROW()-1,60),ROW()-1,FALSE))</f>
        <v>73.256</v>
      </c>
      <c r="O65">
        <f ca="1">IF(AND(ISNUMBER($O$316),$B$258=1),$O$316,HLOOKUP(INDIRECT(ADDRESS(2,COLUMN())),OFFSET($BN$2,0,0,ROW()-1,60),ROW()-1,FALSE))</f>
        <v>75.680000000000007</v>
      </c>
      <c r="P65">
        <f ca="1">IF(AND(ISNUMBER($P$316),$B$258=1),$P$316,HLOOKUP(INDIRECT(ADDRESS(2,COLUMN())),OFFSET($BN$2,0,0,ROW()-1,60),ROW()-1,FALSE))</f>
        <v>69.787999999999997</v>
      </c>
      <c r="Q65" t="str">
        <f ca="1">IF(AND(ISNUMBER($Q$316),$B$258=1),$Q$316,HLOOKUP(INDIRECT(ADDRESS(2,COLUMN())),OFFSET($BN$2,0,0,ROW()-1,60),ROW()-1,FALSE))</f>
        <v/>
      </c>
      <c r="R65" t="str">
        <f ca="1">IF(AND(ISNUMBER($R$316),$B$258=1),$R$316,HLOOKUP(INDIRECT(ADDRESS(2,COLUMN())),OFFSET($BN$2,0,0,ROW()-1,60),ROW()-1,FALSE))</f>
        <v/>
      </c>
      <c r="S65" t="str">
        <f ca="1">IF(AND(ISNUMBER($S$316),$B$258=1),$S$316,HLOOKUP(INDIRECT(ADDRESS(2,COLUMN())),OFFSET($BN$2,0,0,ROW()-1,60),ROW()-1,FALSE))</f>
        <v/>
      </c>
      <c r="T65" t="str">
        <f ca="1">IF(AND(ISNUMBER($T$316),$B$258=1),$T$316,HLOOKUP(INDIRECT(ADDRESS(2,COLUMN())),OFFSET($BN$2,0,0,ROW()-1,60),ROW()-1,FALSE))</f>
        <v/>
      </c>
      <c r="U65" t="str">
        <f ca="1">IF(AND(ISNUMBER($U$316),$B$258=1),$U$316,HLOOKUP(INDIRECT(ADDRESS(2,COLUMN())),OFFSET($BN$2,0,0,ROW()-1,60),ROW()-1,FALSE))</f>
        <v/>
      </c>
      <c r="V65" t="str">
        <f ca="1">IF(AND(ISNUMBER($V$316),$B$258=1),$V$316,HLOOKUP(INDIRECT(ADDRESS(2,COLUMN())),OFFSET($BN$2,0,0,ROW()-1,60),ROW()-1,FALSE))</f>
        <v/>
      </c>
      <c r="W65" t="str">
        <f ca="1">IF(AND(ISNUMBER($W$316),$B$258=1),$W$316,HLOOKUP(INDIRECT(ADDRESS(2,COLUMN())),OFFSET($BN$2,0,0,ROW()-1,60),ROW()-1,FALSE))</f>
        <v/>
      </c>
      <c r="X65" t="str">
        <f ca="1">IF(AND(ISNUMBER($X$316),$B$258=1),$X$316,HLOOKUP(INDIRECT(ADDRESS(2,COLUMN())),OFFSET($BN$2,0,0,ROW()-1,60),ROW()-1,FALSE))</f>
        <v/>
      </c>
      <c r="Y65" t="str">
        <f ca="1">IF(AND(ISNUMBER($Y$316),$B$258=1),$Y$316,HLOOKUP(INDIRECT(ADDRESS(2,COLUMN())),OFFSET($BN$2,0,0,ROW()-1,60),ROW()-1,FALSE))</f>
        <v/>
      </c>
      <c r="Z65" t="str">
        <f ca="1">IF(AND(ISNUMBER($Z$316),$B$258=1),$Z$316,HLOOKUP(INDIRECT(ADDRESS(2,COLUMN())),OFFSET($BN$2,0,0,ROW()-1,60),ROW()-1,FALSE))</f>
        <v/>
      </c>
      <c r="AA65" t="str">
        <f ca="1">IF(AND(ISNUMBER($AA$316),$B$258=1),$AA$316,HLOOKUP(INDIRECT(ADDRESS(2,COLUMN())),OFFSET($BN$2,0,0,ROW()-1,60),ROW()-1,FALSE))</f>
        <v/>
      </c>
      <c r="AB65" t="str">
        <f ca="1">IF(AND(ISNUMBER($AB$316),$B$258=1),$AB$316,HLOOKUP(INDIRECT(ADDRESS(2,COLUMN())),OFFSET($BN$2,0,0,ROW()-1,60),ROW()-1,FALSE))</f>
        <v/>
      </c>
      <c r="AC65" t="str">
        <f ca="1">IF(AND(ISNUMBER($AC$316),$B$258=1),$AC$316,HLOOKUP(INDIRECT(ADDRESS(2,COLUMN())),OFFSET($BN$2,0,0,ROW()-1,60),ROW()-1,FALSE))</f>
        <v/>
      </c>
      <c r="AD65" t="str">
        <f ca="1">IF(AND(ISNUMBER($AD$316),$B$258=1),$AD$316,HLOOKUP(INDIRECT(ADDRESS(2,COLUMN())),OFFSET($BN$2,0,0,ROW()-1,60),ROW()-1,FALSE))</f>
        <v/>
      </c>
      <c r="AE65" t="str">
        <f ca="1">IF(AND(ISNUMBER($AE$316),$B$258=1),$AE$316,HLOOKUP(INDIRECT(ADDRESS(2,COLUMN())),OFFSET($BN$2,0,0,ROW()-1,60),ROW()-1,FALSE))</f>
        <v/>
      </c>
      <c r="AF65" t="str">
        <f ca="1">IF(AND(ISNUMBER($AF$316),$B$258=1),$AF$316,HLOOKUP(INDIRECT(ADDRESS(2,COLUMN())),OFFSET($BN$2,0,0,ROW()-1,60),ROW()-1,FALSE))</f>
        <v/>
      </c>
      <c r="AG65" t="str">
        <f ca="1">IF(AND(ISNUMBER($AG$316),$B$258=1),$AG$316,HLOOKUP(INDIRECT(ADDRESS(2,COLUMN())),OFFSET($BN$2,0,0,ROW()-1,60),ROW()-1,FALSE))</f>
        <v/>
      </c>
      <c r="AH65" t="str">
        <f ca="1">IF(AND(ISNUMBER($AH$316),$B$258=1),$AH$316,HLOOKUP(INDIRECT(ADDRESS(2,COLUMN())),OFFSET($BN$2,0,0,ROW()-1,60),ROW()-1,FALSE))</f>
        <v/>
      </c>
      <c r="AI65" t="str">
        <f ca="1">IF(AND(ISNUMBER($AI$316),$B$258=1),$AI$316,HLOOKUP(INDIRECT(ADDRESS(2,COLUMN())),OFFSET($BN$2,0,0,ROW()-1,60),ROW()-1,FALSE))</f>
        <v/>
      </c>
      <c r="AJ65" t="str">
        <f ca="1">IF(AND(ISNUMBER($AJ$316),$B$258=1),$AJ$316,HLOOKUP(INDIRECT(ADDRESS(2,COLUMN())),OFFSET($BN$2,0,0,ROW()-1,60),ROW()-1,FALSE))</f>
        <v/>
      </c>
      <c r="AK65" t="str">
        <f ca="1">IF(AND(ISNUMBER($AK$316),$B$258=1),$AK$316,HLOOKUP(INDIRECT(ADDRESS(2,COLUMN())),OFFSET($BN$2,0,0,ROW()-1,60),ROW()-1,FALSE))</f>
        <v/>
      </c>
      <c r="AL65" t="str">
        <f ca="1">IF(AND(ISNUMBER($AL$316),$B$258=1),$AL$316,HLOOKUP(INDIRECT(ADDRESS(2,COLUMN())),OFFSET($BN$2,0,0,ROW()-1,60),ROW()-1,FALSE))</f>
        <v/>
      </c>
      <c r="AM65" t="str">
        <f ca="1">IF(AND(ISNUMBER($AM$316),$B$258=1),$AM$316,HLOOKUP(INDIRECT(ADDRESS(2,COLUMN())),OFFSET($BN$2,0,0,ROW()-1,60),ROW()-1,FALSE))</f>
        <v/>
      </c>
      <c r="AN65" t="str">
        <f ca="1">IF(AND(ISNUMBER($AN$316),$B$258=1),$AN$316,HLOOKUP(INDIRECT(ADDRESS(2,COLUMN())),OFFSET($BN$2,0,0,ROW()-1,60),ROW()-1,FALSE))</f>
        <v/>
      </c>
      <c r="AO65" t="str">
        <f ca="1">IF(AND(ISNUMBER($AO$316),$B$258=1),$AO$316,HLOOKUP(INDIRECT(ADDRESS(2,COLUMN())),OFFSET($BN$2,0,0,ROW()-1,60),ROW()-1,FALSE))</f>
        <v/>
      </c>
      <c r="AP65" t="str">
        <f ca="1">IF(AND(ISNUMBER($AP$316),$B$258=1),$AP$316,HLOOKUP(INDIRECT(ADDRESS(2,COLUMN())),OFFSET($BN$2,0,0,ROW()-1,60),ROW()-1,FALSE))</f>
        <v/>
      </c>
      <c r="AQ65" t="str">
        <f ca="1">IF(AND(ISNUMBER($AQ$316),$B$258=1),$AQ$316,HLOOKUP(INDIRECT(ADDRESS(2,COLUMN())),OFFSET($BN$2,0,0,ROW()-1,60),ROW()-1,FALSE))</f>
        <v/>
      </c>
      <c r="AR65" t="str">
        <f ca="1">IF(AND(ISNUMBER($AR$316),$B$258=1),$AR$316,HLOOKUP(INDIRECT(ADDRESS(2,COLUMN())),OFFSET($BN$2,0,0,ROW()-1,60),ROW()-1,FALSE))</f>
        <v/>
      </c>
      <c r="AS65" t="str">
        <f ca="1">IF(AND(ISNUMBER($AS$316),$B$258=1),$AS$316,HLOOKUP(INDIRECT(ADDRESS(2,COLUMN())),OFFSET($BN$2,0,0,ROW()-1,60),ROW()-1,FALSE))</f>
        <v/>
      </c>
      <c r="AT65" t="str">
        <f ca="1">IF(AND(ISNUMBER($AT$316),$B$258=1),$AT$316,HLOOKUP(INDIRECT(ADDRESS(2,COLUMN())),OFFSET($BN$2,0,0,ROW()-1,60),ROW()-1,FALSE))</f>
        <v/>
      </c>
      <c r="AU65" t="str">
        <f ca="1">IF(AND(ISNUMBER($AU$316),$B$258=1),$AU$316,HLOOKUP(INDIRECT(ADDRESS(2,COLUMN())),OFFSET($BN$2,0,0,ROW()-1,60),ROW()-1,FALSE))</f>
        <v/>
      </c>
      <c r="AV65" t="str">
        <f ca="1">IF(AND(ISNUMBER($AV$316),$B$258=1),$AV$316,HLOOKUP(INDIRECT(ADDRESS(2,COLUMN())),OFFSET($BN$2,0,0,ROW()-1,60),ROW()-1,FALSE))</f>
        <v/>
      </c>
      <c r="AW65" t="str">
        <f ca="1">IF(AND(ISNUMBER($AW$316),$B$258=1),$AW$316,HLOOKUP(INDIRECT(ADDRESS(2,COLUMN())),OFFSET($BN$2,0,0,ROW()-1,60),ROW()-1,FALSE))</f>
        <v/>
      </c>
      <c r="AX65" t="str">
        <f ca="1">IF(AND(ISNUMBER($AX$316),$B$258=1),$AX$316,HLOOKUP(INDIRECT(ADDRESS(2,COLUMN())),OFFSET($BN$2,0,0,ROW()-1,60),ROW()-1,FALSE))</f>
        <v/>
      </c>
      <c r="AY65" t="str">
        <f ca="1">IF(AND(ISNUMBER($AY$316),$B$258=1),$AY$316,HLOOKUP(INDIRECT(ADDRESS(2,COLUMN())),OFFSET($BN$2,0,0,ROW()-1,60),ROW()-1,FALSE))</f>
        <v/>
      </c>
      <c r="AZ65" t="str">
        <f ca="1">IF(AND(ISNUMBER($AZ$316),$B$258=1),$AZ$316,HLOOKUP(INDIRECT(ADDRESS(2,COLUMN())),OFFSET($BN$2,0,0,ROW()-1,60),ROW()-1,FALSE))</f>
        <v/>
      </c>
      <c r="BA65" t="str">
        <f ca="1">IF(AND(ISNUMBER($BA$316),$B$258=1),$BA$316,HLOOKUP(INDIRECT(ADDRESS(2,COLUMN())),OFFSET($BN$2,0,0,ROW()-1,60),ROW()-1,FALSE))</f>
        <v/>
      </c>
      <c r="BB65" t="str">
        <f ca="1">IF(AND(ISNUMBER($BB$316),$B$258=1),$BB$316,HLOOKUP(INDIRECT(ADDRESS(2,COLUMN())),OFFSET($BN$2,0,0,ROW()-1,60),ROW()-1,FALSE))</f>
        <v/>
      </c>
      <c r="BC65" t="str">
        <f ca="1">IF(AND(ISNUMBER($BC$316),$B$258=1),$BC$316,HLOOKUP(INDIRECT(ADDRESS(2,COLUMN())),OFFSET($BN$2,0,0,ROW()-1,60),ROW()-1,FALSE))</f>
        <v/>
      </c>
      <c r="BD65" t="str">
        <f ca="1">IF(AND(ISNUMBER($BD$316),$B$258=1),$BD$316,HLOOKUP(INDIRECT(ADDRESS(2,COLUMN())),OFFSET($BN$2,0,0,ROW()-1,60),ROW()-1,FALSE))</f>
        <v/>
      </c>
      <c r="BE65" t="str">
        <f ca="1">IF(AND(ISNUMBER($BE$316),$B$258=1),$BE$316,HLOOKUP(INDIRECT(ADDRESS(2,COLUMN())),OFFSET($BN$2,0,0,ROW()-1,60),ROW()-1,FALSE))</f>
        <v/>
      </c>
      <c r="BF65" t="str">
        <f ca="1">IF(AND(ISNUMBER($BF$316),$B$258=1),$BF$316,HLOOKUP(INDIRECT(ADDRESS(2,COLUMN())),OFFSET($BN$2,0,0,ROW()-1,60),ROW()-1,FALSE))</f>
        <v/>
      </c>
      <c r="BG65" t="str">
        <f ca="1">IF(AND(ISNUMBER($BG$316),$B$258=1),$BG$316,HLOOKUP(INDIRECT(ADDRESS(2,COLUMN())),OFFSET($BN$2,0,0,ROW()-1,60),ROW()-1,FALSE))</f>
        <v/>
      </c>
      <c r="BH65" t="str">
        <f ca="1">IF(AND(ISNUMBER($BH$316),$B$258=1),$BH$316,HLOOKUP(INDIRECT(ADDRESS(2,COLUMN())),OFFSET($BN$2,0,0,ROW()-1,60),ROW()-1,FALSE))</f>
        <v/>
      </c>
      <c r="BI65" t="str">
        <f ca="1">IF(AND(ISNUMBER($BI$316),$B$258=1),$BI$316,HLOOKUP(INDIRECT(ADDRESS(2,COLUMN())),OFFSET($BN$2,0,0,ROW()-1,60),ROW()-1,FALSE))</f>
        <v/>
      </c>
      <c r="BJ65" t="str">
        <f ca="1">IF(AND(ISNUMBER($BJ$316),$B$258=1),$BJ$316,HLOOKUP(INDIRECT(ADDRESS(2,COLUMN())),OFFSET($BN$2,0,0,ROW()-1,60),ROW()-1,FALSE))</f>
        <v/>
      </c>
      <c r="BK65" t="str">
        <f ca="1">IF(AND(ISNUMBER($BK$316),$B$258=1),$BK$316,HLOOKUP(INDIRECT(ADDRESS(2,COLUMN())),OFFSET($BN$2,0,0,ROW()-1,60),ROW()-1,FALSE))</f>
        <v/>
      </c>
      <c r="BL65" t="str">
        <f ca="1">IF(AND(ISNUMBER($BL$316),$B$258=1),$BL$316,HLOOKUP(INDIRECT(ADDRESS(2,COLUMN())),OFFSET($BN$2,0,0,ROW()-1,60),ROW()-1,FALSE))</f>
        <v/>
      </c>
      <c r="BM65" t="str">
        <f ca="1">IF(AND(ISNUMBER($BM$316),$B$258=1),$BM$316,HLOOKUP(INDIRECT(ADDRESS(2,COLUMN())),OFFSET($BN$2,0,0,ROW()-1,60),ROW()-1,FALSE))</f>
        <v/>
      </c>
      <c r="BN65" t="str">
        <f>""</f>
        <v/>
      </c>
      <c r="BO65" t="str">
        <f>""</f>
        <v/>
      </c>
      <c r="BP65" t="str">
        <f>""</f>
        <v/>
      </c>
      <c r="BQ65">
        <f>94.688</f>
        <v>94.688000000000002</v>
      </c>
      <c r="BR65">
        <f>71.246</f>
        <v>71.245999999999995</v>
      </c>
      <c r="BS65">
        <f>78.936</f>
        <v>78.936000000000007</v>
      </c>
      <c r="BT65">
        <f>71.683</f>
        <v>71.683000000000007</v>
      </c>
      <c r="BU65">
        <f>73.85</f>
        <v>73.849999999999994</v>
      </c>
      <c r="BV65">
        <f>73.256</f>
        <v>73.256</v>
      </c>
      <c r="BW65">
        <f>75.68</f>
        <v>75.680000000000007</v>
      </c>
      <c r="BX65">
        <f>69.788</f>
        <v>69.787999999999997</v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  <c r="CI65" t="str">
        <f>""</f>
        <v/>
      </c>
      <c r="CJ65" t="str">
        <f>""</f>
        <v/>
      </c>
      <c r="CK65" t="str">
        <f>""</f>
        <v/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</row>
    <row r="66" spans="1:125">
      <c r="A66" t="str">
        <f>"    HCP Inc"</f>
        <v xml:space="preserve">    HCP Inc</v>
      </c>
      <c r="B66" t="str">
        <f>"HCP US Equity"</f>
        <v>HCP US Equity</v>
      </c>
      <c r="C66" t="str">
        <f t="shared" si="15"/>
        <v>RR009</v>
      </c>
      <c r="D66" t="str">
        <f t="shared" si="16"/>
        <v>EBITDA</v>
      </c>
      <c r="E66" t="str">
        <f t="shared" si="17"/>
        <v>动态</v>
      </c>
      <c r="F66" t="str">
        <f ca="1">IF(AND(ISNUMBER($F$317),$B$258=1),$F$317,HLOOKUP(INDIRECT(ADDRESS(2,COLUMN())),OFFSET($BN$2,0,0,ROW()-1,60),ROW()-1,FALSE))</f>
        <v/>
      </c>
      <c r="G66">
        <f ca="1">IF(AND(ISNUMBER($G$317),$B$258=1),$G$317,HLOOKUP(INDIRECT(ADDRESS(2,COLUMN())),OFFSET($BN$2,0,0,ROW()-1,60),ROW()-1,FALSE))</f>
        <v>136.66499999999999</v>
      </c>
      <c r="H66">
        <f ca="1">IF(AND(ISNUMBER($H$317),$B$258=1),$H$317,HLOOKUP(INDIRECT(ADDRESS(2,COLUMN())),OFFSET($BN$2,0,0,ROW()-1,60),ROW()-1,FALSE))</f>
        <v>253.02699999999999</v>
      </c>
      <c r="I66">
        <f ca="1">IF(AND(ISNUMBER($I$317),$B$258=1),$I$317,HLOOKUP(INDIRECT(ADDRESS(2,COLUMN())),OFFSET($BN$2,0,0,ROW()-1,60),ROW()-1,FALSE))</f>
        <v>230.25700000000001</v>
      </c>
      <c r="J66">
        <f ca="1">IF(AND(ISNUMBER($J$317),$B$258=1),$J$317,HLOOKUP(INDIRECT(ADDRESS(2,COLUMN())),OFFSET($BN$2,0,0,ROW()-1,60),ROW()-1,FALSE))</f>
        <v>313.31700000000001</v>
      </c>
      <c r="K66">
        <f ca="1">IF(AND(ISNUMBER($K$317),$B$258=1),$K$317,HLOOKUP(INDIRECT(ADDRESS(2,COLUMN())),OFFSET($BN$2,0,0,ROW()-1,60),ROW()-1,FALSE))</f>
        <v>325.40100000000001</v>
      </c>
      <c r="L66">
        <f ca="1">IF(AND(ISNUMBER($L$317),$B$258=1),$L$317,HLOOKUP(INDIRECT(ADDRESS(2,COLUMN())),OFFSET($BN$2,0,0,ROW()-1,60),ROW()-1,FALSE))</f>
        <v>422.54899999999998</v>
      </c>
      <c r="M66">
        <f ca="1">IF(AND(ISNUMBER($M$317),$B$258=1),$M$317,HLOOKUP(INDIRECT(ADDRESS(2,COLUMN())),OFFSET($BN$2,0,0,ROW()-1,60),ROW()-1,FALSE))</f>
        <v>338.81400000000002</v>
      </c>
      <c r="N66">
        <f ca="1">IF(AND(ISNUMBER($N$317),$B$258=1),$N$317,HLOOKUP(INDIRECT(ADDRESS(2,COLUMN())),OFFSET($BN$2,0,0,ROW()-1,60),ROW()-1,FALSE))</f>
        <v>440.73</v>
      </c>
      <c r="O66">
        <f ca="1">IF(AND(ISNUMBER($O$317),$B$258=1),$O$317,HLOOKUP(INDIRECT(ADDRESS(2,COLUMN())),OFFSET($BN$2,0,0,ROW()-1,60),ROW()-1,FALSE))</f>
        <v>335.18799999999999</v>
      </c>
      <c r="P66">
        <f ca="1">IF(AND(ISNUMBER($P$317),$B$258=1),$P$317,HLOOKUP(INDIRECT(ADDRESS(2,COLUMN())),OFFSET($BN$2,0,0,ROW()-1,60),ROW()-1,FALSE))</f>
        <v>397.27499999999998</v>
      </c>
      <c r="Q66">
        <f ca="1">IF(AND(ISNUMBER($Q$317),$B$258=1),$Q$317,HLOOKUP(INDIRECT(ADDRESS(2,COLUMN())),OFFSET($BN$2,0,0,ROW()-1,60),ROW()-1,FALSE))</f>
        <v>388.404</v>
      </c>
      <c r="R66">
        <f ca="1">IF(AND(ISNUMBER($R$317),$B$258=1),$R$317,HLOOKUP(INDIRECT(ADDRESS(2,COLUMN())),OFFSET($BN$2,0,0,ROW()-1,60),ROW()-1,FALSE))</f>
        <v>-22.08</v>
      </c>
      <c r="S66">
        <f ca="1">IF(AND(ISNUMBER($S$317),$B$258=1),$S$317,HLOOKUP(INDIRECT(ADDRESS(2,COLUMN())),OFFSET($BN$2,0,0,ROW()-1,60),ROW()-1,FALSE))</f>
        <v>454.279</v>
      </c>
      <c r="T66">
        <f ca="1">IF(AND(ISNUMBER($T$317),$B$258=1),$T$317,HLOOKUP(INDIRECT(ADDRESS(2,COLUMN())),OFFSET($BN$2,0,0,ROW()-1,60),ROW()-1,FALSE))</f>
        <v>477.27</v>
      </c>
      <c r="U66">
        <f ca="1">IF(AND(ISNUMBER($U$317),$B$258=1),$U$317,HLOOKUP(INDIRECT(ADDRESS(2,COLUMN())),OFFSET($BN$2,0,0,ROW()-1,60),ROW()-1,FALSE))</f>
        <v>434.13299999999998</v>
      </c>
      <c r="V66">
        <f ca="1">IF(AND(ISNUMBER($V$317),$B$258=1),$V$317,HLOOKUP(INDIRECT(ADDRESS(2,COLUMN())),OFFSET($BN$2,0,0,ROW()-1,60),ROW()-1,FALSE))</f>
        <v>437.613</v>
      </c>
      <c r="W66">
        <f ca="1">IF(AND(ISNUMBER($W$317),$B$258=1),$W$317,HLOOKUP(INDIRECT(ADDRESS(2,COLUMN())),OFFSET($BN$2,0,0,ROW()-1,60),ROW()-1,FALSE))</f>
        <v>475.82100000000003</v>
      </c>
      <c r="X66">
        <f ca="1">IF(AND(ISNUMBER($X$317),$B$258=1),$X$317,HLOOKUP(INDIRECT(ADDRESS(2,COLUMN())),OFFSET($BN$2,0,0,ROW()-1,60),ROW()-1,FALSE))</f>
        <v>423.053</v>
      </c>
      <c r="Y66">
        <f ca="1">IF(AND(ISNUMBER($Y$317),$B$258=1),$Y$317,HLOOKUP(INDIRECT(ADDRESS(2,COLUMN())),OFFSET($BN$2,0,0,ROW()-1,60),ROW()-1,FALSE))</f>
        <v>416.065</v>
      </c>
      <c r="Z66">
        <f ca="1">IF(AND(ISNUMBER($Z$317),$B$258=1),$Z$317,HLOOKUP(INDIRECT(ADDRESS(2,COLUMN())),OFFSET($BN$2,0,0,ROW()-1,60),ROW()-1,FALSE))</f>
        <v>424.73399999999998</v>
      </c>
      <c r="AA66">
        <f ca="1">IF(AND(ISNUMBER($AA$317),$B$258=1),$AA$317,HLOOKUP(INDIRECT(ADDRESS(2,COLUMN())),OFFSET($BN$2,0,0,ROW()-1,60),ROW()-1,FALSE))</f>
        <v>429.99400000000003</v>
      </c>
      <c r="AB66">
        <f ca="1">IF(AND(ISNUMBER($AB$317),$B$258=1),$AB$317,HLOOKUP(INDIRECT(ADDRESS(2,COLUMN())),OFFSET($BN$2,0,0,ROW()-1,60),ROW()-1,FALSE))</f>
        <v>370.55599999999998</v>
      </c>
      <c r="AC66">
        <f ca="1">IF(AND(ISNUMBER($AC$317),$B$258=1),$AC$317,HLOOKUP(INDIRECT(ADDRESS(2,COLUMN())),OFFSET($BN$2,0,0,ROW()-1,60),ROW()-1,FALSE))</f>
        <v>378.91500000000002</v>
      </c>
      <c r="AD66">
        <f ca="1">IF(AND(ISNUMBER($AD$317),$B$258=1),$AD$317,HLOOKUP(INDIRECT(ADDRESS(2,COLUMN())),OFFSET($BN$2,0,0,ROW()-1,60),ROW()-1,FALSE))</f>
        <v>370.70400000000001</v>
      </c>
      <c r="AE66">
        <f ca="1">IF(AND(ISNUMBER($AE$317),$B$258=1),$AE$317,HLOOKUP(INDIRECT(ADDRESS(2,COLUMN())),OFFSET($BN$2,0,0,ROW()-1,60),ROW()-1,FALSE))</f>
        <v>266.36099999999999</v>
      </c>
      <c r="AF66">
        <f ca="1">IF(AND(ISNUMBER($AF$317),$B$258=1),$AF$317,HLOOKUP(INDIRECT(ADDRESS(2,COLUMN())),OFFSET($BN$2,0,0,ROW()-1,60),ROW()-1,FALSE))</f>
        <v>349.226</v>
      </c>
      <c r="AG66">
        <f ca="1">IF(AND(ISNUMBER($AG$317),$B$258=1),$AG$317,HLOOKUP(INDIRECT(ADDRESS(2,COLUMN())),OFFSET($BN$2,0,0,ROW()-1,60),ROW()-1,FALSE))</f>
        <v>405.68900000000002</v>
      </c>
      <c r="AH66">
        <f ca="1">IF(AND(ISNUMBER($AH$317),$B$258=1),$AH$317,HLOOKUP(INDIRECT(ADDRESS(2,COLUMN())),OFFSET($BN$2,0,0,ROW()-1,60),ROW()-1,FALSE))</f>
        <v>261.66300000000001</v>
      </c>
      <c r="AI66">
        <f ca="1">IF(AND(ISNUMBER($AI$317),$B$258=1),$AI$317,HLOOKUP(INDIRECT(ADDRESS(2,COLUMN())),OFFSET($BN$2,0,0,ROW()-1,60),ROW()-1,FALSE))</f>
        <v>263.81299999999999</v>
      </c>
      <c r="AJ66">
        <f ca="1">IF(AND(ISNUMBER($AJ$317),$B$258=1),$AJ$317,HLOOKUP(INDIRECT(ADDRESS(2,COLUMN())),OFFSET($BN$2,0,0,ROW()-1,60),ROW()-1,FALSE))</f>
        <v>163.905</v>
      </c>
      <c r="AK66">
        <f ca="1">IF(AND(ISNUMBER($AK$317),$B$258=1),$AK$317,HLOOKUP(INDIRECT(ADDRESS(2,COLUMN())),OFFSET($BN$2,0,0,ROW()-1,60),ROW()-1,FALSE))</f>
        <v>235.381</v>
      </c>
      <c r="AL66">
        <f ca="1">IF(AND(ISNUMBER($AL$317),$B$258=1),$AL$317,HLOOKUP(INDIRECT(ADDRESS(2,COLUMN())),OFFSET($BN$2,0,0,ROW()-1,60),ROW()-1,FALSE))</f>
        <v>233.80500000000001</v>
      </c>
      <c r="AM66">
        <f ca="1">IF(AND(ISNUMBER($AM$317),$B$258=1),$AM$317,HLOOKUP(INDIRECT(ADDRESS(2,COLUMN())),OFFSET($BN$2,0,0,ROW()-1,60),ROW()-1,FALSE))</f>
        <v>176.03700000000001</v>
      </c>
      <c r="AN66">
        <f ca="1">IF(AND(ISNUMBER($AN$317),$B$258=1),$AN$317,HLOOKUP(INDIRECT(ADDRESS(2,COLUMN())),OFFSET($BN$2,0,0,ROW()-1,60),ROW()-1,FALSE))</f>
        <v>101.17100000000001</v>
      </c>
      <c r="AO66">
        <f ca="1">IF(AND(ISNUMBER($AO$317),$B$258=1),$AO$317,HLOOKUP(INDIRECT(ADDRESS(2,COLUMN())),OFFSET($BN$2,0,0,ROW()-1,60),ROW()-1,FALSE))</f>
        <v>213.18199999999999</v>
      </c>
      <c r="AP66">
        <f ca="1">IF(AND(ISNUMBER($AP$317),$B$258=1),$AP$317,HLOOKUP(INDIRECT(ADDRESS(2,COLUMN())),OFFSET($BN$2,0,0,ROW()-1,60),ROW()-1,FALSE))</f>
        <v>207.86600000000001</v>
      </c>
      <c r="AQ66">
        <f ca="1">IF(AND(ISNUMBER($AQ$317),$B$258=1),$AQ$317,HLOOKUP(INDIRECT(ADDRESS(2,COLUMN())),OFFSET($BN$2,0,0,ROW()-1,60),ROW()-1,FALSE))</f>
        <v>225.86699999999999</v>
      </c>
      <c r="AR66">
        <f ca="1">IF(AND(ISNUMBER($AR$317),$B$258=1),$AR$317,HLOOKUP(INDIRECT(ADDRESS(2,COLUMN())),OFFSET($BN$2,0,0,ROW()-1,60),ROW()-1,FALSE))</f>
        <v>200.09399999999999</v>
      </c>
      <c r="AS66">
        <f ca="1">IF(AND(ISNUMBER($AS$317),$B$258=1),$AS$317,HLOOKUP(INDIRECT(ADDRESS(2,COLUMN())),OFFSET($BN$2,0,0,ROW()-1,60),ROW()-1,FALSE))</f>
        <v>183.541</v>
      </c>
      <c r="AT66">
        <f ca="1">IF(AND(ISNUMBER($AT$317),$B$258=1),$AT$317,HLOOKUP(INDIRECT(ADDRESS(2,COLUMN())),OFFSET($BN$2,0,0,ROW()-1,60),ROW()-1,FALSE))</f>
        <v>178.70099999999999</v>
      </c>
      <c r="AU66">
        <f ca="1">IF(AND(ISNUMBER($AU$317),$B$258=1),$AU$317,HLOOKUP(INDIRECT(ADDRESS(2,COLUMN())),OFFSET($BN$2,0,0,ROW()-1,60),ROW()-1,FALSE))</f>
        <v>190.45</v>
      </c>
      <c r="AV66">
        <f ca="1">IF(AND(ISNUMBER($AV$317),$B$258=1),$AV$317,HLOOKUP(INDIRECT(ADDRESS(2,COLUMN())),OFFSET($BN$2,0,0,ROW()-1,60),ROW()-1,FALSE))</f>
        <v>179.43899999999999</v>
      </c>
      <c r="AW66">
        <f ca="1">IF(AND(ISNUMBER($AW$317),$B$258=1),$AW$317,HLOOKUP(INDIRECT(ADDRESS(2,COLUMN())),OFFSET($BN$2,0,0,ROW()-1,60),ROW()-1,FALSE))</f>
        <v>157.583</v>
      </c>
      <c r="AX66">
        <f ca="1">IF(AND(ISNUMBER($AX$317),$B$258=1),$AX$317,HLOOKUP(INDIRECT(ADDRESS(2,COLUMN())),OFFSET($BN$2,0,0,ROW()-1,60),ROW()-1,FALSE))</f>
        <v>157.095</v>
      </c>
      <c r="AY66">
        <f ca="1">IF(AND(ISNUMBER($AY$317),$B$258=1),$AY$317,HLOOKUP(INDIRECT(ADDRESS(2,COLUMN())),OFFSET($BN$2,0,0,ROW()-1,60),ROW()-1,FALSE))</f>
        <v>131.941</v>
      </c>
      <c r="AZ66">
        <f ca="1">IF(AND(ISNUMBER($AZ$317),$B$258=1),$AZ$317,HLOOKUP(INDIRECT(ADDRESS(2,COLUMN())),OFFSET($BN$2,0,0,ROW()-1,60),ROW()-1,FALSE))</f>
        <v>96.198999999999998</v>
      </c>
      <c r="BA66">
        <f ca="1">IF(AND(ISNUMBER($BA$317),$B$258=1),$BA$317,HLOOKUP(INDIRECT(ADDRESS(2,COLUMN())),OFFSET($BN$2,0,0,ROW()-1,60),ROW()-1,FALSE))</f>
        <v>93.337000000000003</v>
      </c>
      <c r="BB66">
        <f ca="1">IF(AND(ISNUMBER($BB$317),$B$258=1),$BB$317,HLOOKUP(INDIRECT(ADDRESS(2,COLUMN())),OFFSET($BN$2,0,0,ROW()-1,60),ROW()-1,FALSE))</f>
        <v>98.054000000000002</v>
      </c>
      <c r="BC66">
        <f ca="1">IF(AND(ISNUMBER($BC$317),$B$258=1),$BC$317,HLOOKUP(INDIRECT(ADDRESS(2,COLUMN())),OFFSET($BN$2,0,0,ROW()-1,60),ROW()-1,FALSE))</f>
        <v>64.823999999999998</v>
      </c>
      <c r="BD66">
        <f ca="1">IF(AND(ISNUMBER($BD$317),$B$258=1),$BD$317,HLOOKUP(INDIRECT(ADDRESS(2,COLUMN())),OFFSET($BN$2,0,0,ROW()-1,60),ROW()-1,FALSE))</f>
        <v>97.248999999999995</v>
      </c>
      <c r="BE66">
        <f ca="1">IF(AND(ISNUMBER($BE$317),$B$258=1),$BE$317,HLOOKUP(INDIRECT(ADDRESS(2,COLUMN())),OFFSET($BN$2,0,0,ROW()-1,60),ROW()-1,FALSE))</f>
        <v>93.93</v>
      </c>
      <c r="BF66">
        <f ca="1">IF(AND(ISNUMBER($BF$317),$B$258=1),$BF$317,HLOOKUP(INDIRECT(ADDRESS(2,COLUMN())),OFFSET($BN$2,0,0,ROW()-1,60),ROW()-1,FALSE))</f>
        <v>86.914000000000001</v>
      </c>
      <c r="BG66">
        <f ca="1">IF(AND(ISNUMBER($BG$317),$B$258=1),$BG$317,HLOOKUP(INDIRECT(ADDRESS(2,COLUMN())),OFFSET($BN$2,0,0,ROW()-1,60),ROW()-1,FALSE))</f>
        <v>83.212999999999994</v>
      </c>
      <c r="BH66">
        <f ca="1">IF(AND(ISNUMBER($BH$317),$B$258=1),$BH$317,HLOOKUP(INDIRECT(ADDRESS(2,COLUMN())),OFFSET($BN$2,0,0,ROW()-1,60),ROW()-1,FALSE))</f>
        <v>98.460999999999999</v>
      </c>
      <c r="BI66">
        <f ca="1">IF(AND(ISNUMBER($BI$317),$B$258=1),$BI$317,HLOOKUP(INDIRECT(ADDRESS(2,COLUMN())),OFFSET($BN$2,0,0,ROW()-1,60),ROW()-1,FALSE))</f>
        <v>91.069000000000003</v>
      </c>
      <c r="BJ66">
        <f ca="1">IF(AND(ISNUMBER($BJ$317),$B$258=1),$BJ$317,HLOOKUP(INDIRECT(ADDRESS(2,COLUMN())),OFFSET($BN$2,0,0,ROW()-1,60),ROW()-1,FALSE))</f>
        <v>73.738</v>
      </c>
      <c r="BK66">
        <f ca="1">IF(AND(ISNUMBER($BK$317),$B$258=1),$BK$317,HLOOKUP(INDIRECT(ADDRESS(2,COLUMN())),OFFSET($BN$2,0,0,ROW()-1,60),ROW()-1,FALSE))</f>
        <v>82.792000000000002</v>
      </c>
      <c r="BL66">
        <f ca="1">IF(AND(ISNUMBER($BL$317),$B$258=1),$BL$317,HLOOKUP(INDIRECT(ADDRESS(2,COLUMN())),OFFSET($BN$2,0,0,ROW()-1,60),ROW()-1,FALSE))</f>
        <v>86.254000000000005</v>
      </c>
      <c r="BM66">
        <f ca="1">IF(AND(ISNUMBER($BM$317),$B$258=1),$BM$317,HLOOKUP(INDIRECT(ADDRESS(2,COLUMN())),OFFSET($BN$2,0,0,ROW()-1,60),ROW()-1,FALSE))</f>
        <v>82.626999999999995</v>
      </c>
      <c r="BN66" t="str">
        <f>""</f>
        <v/>
      </c>
      <c r="BO66">
        <f>136.665</f>
        <v>136.66499999999999</v>
      </c>
      <c r="BP66">
        <f>253.027</f>
        <v>253.02699999999999</v>
      </c>
      <c r="BQ66">
        <f>230.257</f>
        <v>230.25700000000001</v>
      </c>
      <c r="BR66">
        <f>313.317</f>
        <v>313.31700000000001</v>
      </c>
      <c r="BS66">
        <f>325.401</f>
        <v>325.40100000000001</v>
      </c>
      <c r="BT66">
        <f>422.549</f>
        <v>422.54899999999998</v>
      </c>
      <c r="BU66">
        <f>338.814</f>
        <v>338.81400000000002</v>
      </c>
      <c r="BV66">
        <f>440.73</f>
        <v>440.73</v>
      </c>
      <c r="BW66">
        <f>335.188</f>
        <v>335.18799999999999</v>
      </c>
      <c r="BX66">
        <f>397.275</f>
        <v>397.27499999999998</v>
      </c>
      <c r="BY66">
        <f>388.404</f>
        <v>388.404</v>
      </c>
      <c r="BZ66">
        <f>-22.08</f>
        <v>-22.08</v>
      </c>
      <c r="CA66">
        <f>454.279</f>
        <v>454.279</v>
      </c>
      <c r="CB66">
        <f>477.27</f>
        <v>477.27</v>
      </c>
      <c r="CC66">
        <f>434.133</f>
        <v>434.13299999999998</v>
      </c>
      <c r="CD66">
        <f>437.613</f>
        <v>437.613</v>
      </c>
      <c r="CE66">
        <f>475.821</f>
        <v>475.82100000000003</v>
      </c>
      <c r="CF66">
        <f>423.053</f>
        <v>423.053</v>
      </c>
      <c r="CG66">
        <f>416.065</f>
        <v>416.065</v>
      </c>
      <c r="CH66">
        <f>424.734</f>
        <v>424.73399999999998</v>
      </c>
      <c r="CI66">
        <f>429.994</f>
        <v>429.99400000000003</v>
      </c>
      <c r="CJ66">
        <f>370.556</f>
        <v>370.55599999999998</v>
      </c>
      <c r="CK66">
        <f>378.915</f>
        <v>378.91500000000002</v>
      </c>
      <c r="CL66">
        <f>370.704</f>
        <v>370.70400000000001</v>
      </c>
      <c r="CM66">
        <f>266.361</f>
        <v>266.36099999999999</v>
      </c>
      <c r="CN66">
        <f>349.226</f>
        <v>349.226</v>
      </c>
      <c r="CO66">
        <f>405.689</f>
        <v>405.68900000000002</v>
      </c>
      <c r="CP66">
        <f>261.663</f>
        <v>261.66300000000001</v>
      </c>
      <c r="CQ66">
        <f>263.813</f>
        <v>263.81299999999999</v>
      </c>
      <c r="CR66">
        <f>163.905</f>
        <v>163.905</v>
      </c>
      <c r="CS66">
        <f>235.381</f>
        <v>235.381</v>
      </c>
      <c r="CT66">
        <f>233.805</f>
        <v>233.80500000000001</v>
      </c>
      <c r="CU66">
        <f>176.037</f>
        <v>176.03700000000001</v>
      </c>
      <c r="CV66">
        <f>101.171</f>
        <v>101.17100000000001</v>
      </c>
      <c r="CW66">
        <f>213.182</f>
        <v>213.18199999999999</v>
      </c>
      <c r="CX66">
        <f>207.866</f>
        <v>207.86600000000001</v>
      </c>
      <c r="CY66">
        <f>225.867</f>
        <v>225.86699999999999</v>
      </c>
      <c r="CZ66">
        <f>200.094</f>
        <v>200.09399999999999</v>
      </c>
      <c r="DA66">
        <f>183.541</f>
        <v>183.541</v>
      </c>
      <c r="DB66">
        <f>178.701</f>
        <v>178.70099999999999</v>
      </c>
      <c r="DC66">
        <f>190.45</f>
        <v>190.45</v>
      </c>
      <c r="DD66">
        <f>179.439</f>
        <v>179.43899999999999</v>
      </c>
      <c r="DE66">
        <f>157.583</f>
        <v>157.583</v>
      </c>
      <c r="DF66">
        <f>157.095</f>
        <v>157.095</v>
      </c>
      <c r="DG66">
        <f>131.941</f>
        <v>131.941</v>
      </c>
      <c r="DH66">
        <f>96.199</f>
        <v>96.198999999999998</v>
      </c>
      <c r="DI66">
        <f>93.337</f>
        <v>93.337000000000003</v>
      </c>
      <c r="DJ66">
        <f>98.054</f>
        <v>98.054000000000002</v>
      </c>
      <c r="DK66">
        <f>64.824</f>
        <v>64.823999999999998</v>
      </c>
      <c r="DL66">
        <f>97.249</f>
        <v>97.248999999999995</v>
      </c>
      <c r="DM66">
        <f>93.93</f>
        <v>93.93</v>
      </c>
      <c r="DN66">
        <f>86.914</f>
        <v>86.914000000000001</v>
      </c>
      <c r="DO66">
        <f>83.213</f>
        <v>83.212999999999994</v>
      </c>
      <c r="DP66">
        <f>98.461</f>
        <v>98.460999999999999</v>
      </c>
      <c r="DQ66">
        <f>91.069</f>
        <v>91.069000000000003</v>
      </c>
      <c r="DR66">
        <f>73.738</f>
        <v>73.738</v>
      </c>
      <c r="DS66">
        <f>82.792</f>
        <v>82.792000000000002</v>
      </c>
      <c r="DT66">
        <f>86.254</f>
        <v>86.254000000000005</v>
      </c>
      <c r="DU66">
        <f>82.627</f>
        <v>82.626999999999995</v>
      </c>
    </row>
    <row r="67" spans="1:125">
      <c r="A67" t="str">
        <f>"    Healthcare Realty Trust Inc"</f>
        <v xml:space="preserve">    Healthcare Realty Trust Inc</v>
      </c>
      <c r="B67" t="str">
        <f>"HR US Equity"</f>
        <v>HR US Equity</v>
      </c>
      <c r="C67" t="str">
        <f t="shared" si="15"/>
        <v>RR009</v>
      </c>
      <c r="D67" t="str">
        <f t="shared" si="16"/>
        <v>EBITDA</v>
      </c>
      <c r="E67" t="str">
        <f t="shared" si="17"/>
        <v>动态</v>
      </c>
      <c r="F67" t="str">
        <f ca="1">IF(AND(ISNUMBER($F$318),$B$258=1),$F$318,HLOOKUP(INDIRECT(ADDRESS(2,COLUMN())),OFFSET($BN$2,0,0,ROW()-1,60),ROW()-1,FALSE))</f>
        <v/>
      </c>
      <c r="G67">
        <f ca="1">IF(AND(ISNUMBER($G$318),$B$258=1),$G$318,HLOOKUP(INDIRECT(ADDRESS(2,COLUMN())),OFFSET($BN$2,0,0,ROW()-1,60),ROW()-1,FALSE))</f>
        <v>58.585999999999999</v>
      </c>
      <c r="H67">
        <f ca="1">IF(AND(ISNUMBER($H$318),$B$258=1),$H$318,HLOOKUP(INDIRECT(ADDRESS(2,COLUMN())),OFFSET($BN$2,0,0,ROW()-1,60),ROW()-1,FALSE))</f>
        <v>50.497</v>
      </c>
      <c r="I67">
        <f ca="1">IF(AND(ISNUMBER($I$318),$B$258=1),$I$318,HLOOKUP(INDIRECT(ADDRESS(2,COLUMN())),OFFSET($BN$2,0,0,ROW()-1,60),ROW()-1,FALSE))</f>
        <v>59.039000000000001</v>
      </c>
      <c r="J67">
        <f ca="1">IF(AND(ISNUMBER($J$318),$B$258=1),$J$318,HLOOKUP(INDIRECT(ADDRESS(2,COLUMN())),OFFSET($BN$2,0,0,ROW()-1,60),ROW()-1,FALSE))</f>
        <v>58.417000000000002</v>
      </c>
      <c r="K67">
        <f ca="1">IF(AND(ISNUMBER($K$318),$B$258=1),$K$318,HLOOKUP(INDIRECT(ADDRESS(2,COLUMN())),OFFSET($BN$2,0,0,ROW()-1,60),ROW()-1,FALSE))</f>
        <v>60.204000000000001</v>
      </c>
      <c r="L67">
        <f ca="1">IF(AND(ISNUMBER($L$318),$B$258=1),$L$318,HLOOKUP(INDIRECT(ADDRESS(2,COLUMN())),OFFSET($BN$2,0,0,ROW()-1,60),ROW()-1,FALSE))</f>
        <v>58.357999999999997</v>
      </c>
      <c r="M67">
        <f ca="1">IF(AND(ISNUMBER($M$318),$B$258=1),$M$318,HLOOKUP(INDIRECT(ADDRESS(2,COLUMN())),OFFSET($BN$2,0,0,ROW()-1,60),ROW()-1,FALSE))</f>
        <v>58.947000000000003</v>
      </c>
      <c r="N67">
        <f ca="1">IF(AND(ISNUMBER($N$318),$B$258=1),$N$318,HLOOKUP(INDIRECT(ADDRESS(2,COLUMN())),OFFSET($BN$2,0,0,ROW()-1,60),ROW()-1,FALSE))</f>
        <v>55.225999999999999</v>
      </c>
      <c r="O67">
        <f ca="1">IF(AND(ISNUMBER($O$318),$B$258=1),$O$318,HLOOKUP(INDIRECT(ADDRESS(2,COLUMN())),OFFSET($BN$2,0,0,ROW()-1,60),ROW()-1,FALSE))</f>
        <v>55.386000000000003</v>
      </c>
      <c r="P67">
        <f ca="1">IF(AND(ISNUMBER($P$318),$B$258=1),$P$318,HLOOKUP(INDIRECT(ADDRESS(2,COLUMN())),OFFSET($BN$2,0,0,ROW()-1,60),ROW()-1,FALSE))</f>
        <v>55.723999999999997</v>
      </c>
      <c r="Q67">
        <f ca="1">IF(AND(ISNUMBER($Q$318),$B$258=1),$Q$318,HLOOKUP(INDIRECT(ADDRESS(2,COLUMN())),OFFSET($BN$2,0,0,ROW()-1,60),ROW()-1,FALSE))</f>
        <v>51.137</v>
      </c>
      <c r="R67">
        <f ca="1">IF(AND(ISNUMBER($R$318),$B$258=1),$R$318,HLOOKUP(INDIRECT(ADDRESS(2,COLUMN())),OFFSET($BN$2,0,0,ROW()-1,60),ROW()-1,FALSE))</f>
        <v>53.494</v>
      </c>
      <c r="S67">
        <f ca="1">IF(AND(ISNUMBER($S$318),$B$258=1),$S$318,HLOOKUP(INDIRECT(ADDRESS(2,COLUMN())),OFFSET($BN$2,0,0,ROW()-1,60),ROW()-1,FALSE))</f>
        <v>56.905000000000001</v>
      </c>
      <c r="T67">
        <f ca="1">IF(AND(ISNUMBER($T$318),$B$258=1),$T$318,HLOOKUP(INDIRECT(ADDRESS(2,COLUMN())),OFFSET($BN$2,0,0,ROW()-1,60),ROW()-1,FALSE))</f>
        <v>55.694000000000003</v>
      </c>
      <c r="U67">
        <f ca="1">IF(AND(ISNUMBER($U$318),$B$258=1),$U$318,HLOOKUP(INDIRECT(ADDRESS(2,COLUMN())),OFFSET($BN$2,0,0,ROW()-1,60),ROW()-1,FALSE))</f>
        <v>53.862000000000002</v>
      </c>
      <c r="V67">
        <f ca="1">IF(AND(ISNUMBER($V$318),$B$258=1),$V$318,HLOOKUP(INDIRECT(ADDRESS(2,COLUMN())),OFFSET($BN$2,0,0,ROW()-1,60),ROW()-1,FALSE))</f>
        <v>53.344000000000001</v>
      </c>
      <c r="W67">
        <f ca="1">IF(AND(ISNUMBER($W$318),$B$258=1),$W$318,HLOOKUP(INDIRECT(ADDRESS(2,COLUMN())),OFFSET($BN$2,0,0,ROW()-1,60),ROW()-1,FALSE))</f>
        <v>53.265999999999998</v>
      </c>
      <c r="X67">
        <f ca="1">IF(AND(ISNUMBER($X$318),$B$258=1),$X$318,HLOOKUP(INDIRECT(ADDRESS(2,COLUMN())),OFFSET($BN$2,0,0,ROW()-1,60),ROW()-1,FALSE))</f>
        <v>47.523000000000003</v>
      </c>
      <c r="Y67">
        <f ca="1">IF(AND(ISNUMBER($Y$318),$B$258=1),$Y$318,HLOOKUP(INDIRECT(ADDRESS(2,COLUMN())),OFFSET($BN$2,0,0,ROW()-1,60),ROW()-1,FALSE))</f>
        <v>47.579000000000001</v>
      </c>
      <c r="Z67">
        <f ca="1">IF(AND(ISNUMBER($Z$318),$B$258=1),$Z$318,HLOOKUP(INDIRECT(ADDRESS(2,COLUMN())),OFFSET($BN$2,0,0,ROW()-1,60),ROW()-1,FALSE))</f>
        <v>46.314999999999998</v>
      </c>
      <c r="AA67">
        <f ca="1">IF(AND(ISNUMBER($AA$318),$B$258=1),$AA$318,HLOOKUP(INDIRECT(ADDRESS(2,COLUMN())),OFFSET($BN$2,0,0,ROW()-1,60),ROW()-1,FALSE))</f>
        <v>19.414000000000001</v>
      </c>
      <c r="AB67">
        <f ca="1">IF(AND(ISNUMBER($AB$318),$B$258=1),$AB$318,HLOOKUP(INDIRECT(ADDRESS(2,COLUMN())),OFFSET($BN$2,0,0,ROW()-1,60),ROW()-1,FALSE))</f>
        <v>44.48</v>
      </c>
      <c r="AC67">
        <f ca="1">IF(AND(ISNUMBER($AC$318),$B$258=1),$AC$318,HLOOKUP(INDIRECT(ADDRESS(2,COLUMN())),OFFSET($BN$2,0,0,ROW()-1,60),ROW()-1,FALSE))</f>
        <v>45.555</v>
      </c>
      <c r="AD67">
        <f ca="1">IF(AND(ISNUMBER($AD$318),$B$258=1),$AD$318,HLOOKUP(INDIRECT(ADDRESS(2,COLUMN())),OFFSET($BN$2,0,0,ROW()-1,60),ROW()-1,FALSE))</f>
        <v>44.390999999999998</v>
      </c>
      <c r="AE67">
        <f ca="1">IF(AND(ISNUMBER($AE$318),$B$258=1),$AE$318,HLOOKUP(INDIRECT(ADDRESS(2,COLUMN())),OFFSET($BN$2,0,0,ROW()-1,60),ROW()-1,FALSE))</f>
        <v>45.033000000000001</v>
      </c>
      <c r="AF67">
        <f ca="1">IF(AND(ISNUMBER($AF$318),$B$258=1),$AF$318,HLOOKUP(INDIRECT(ADDRESS(2,COLUMN())),OFFSET($BN$2,0,0,ROW()-1,60),ROW()-1,FALSE))</f>
        <v>40.686999999999998</v>
      </c>
      <c r="AG67">
        <f ca="1">IF(AND(ISNUMBER($AG$318),$B$258=1),$AG$318,HLOOKUP(INDIRECT(ADDRESS(2,COLUMN())),OFFSET($BN$2,0,0,ROW()-1,60),ROW()-1,FALSE))</f>
        <v>40.503</v>
      </c>
      <c r="AH67">
        <f ca="1">IF(AND(ISNUMBER($AH$318),$B$258=1),$AH$318,HLOOKUP(INDIRECT(ADDRESS(2,COLUMN())),OFFSET($BN$2,0,0,ROW()-1,60),ROW()-1,FALSE))</f>
        <v>39.649000000000001</v>
      </c>
      <c r="AI67">
        <f ca="1">IF(AND(ISNUMBER($AI$318),$B$258=1),$AI$318,HLOOKUP(INDIRECT(ADDRESS(2,COLUMN())),OFFSET($BN$2,0,0,ROW()-1,60),ROW()-1,FALSE))</f>
        <v>37.319000000000003</v>
      </c>
      <c r="AJ67">
        <f ca="1">IF(AND(ISNUMBER($AJ$318),$B$258=1),$AJ$318,HLOOKUP(INDIRECT(ADDRESS(2,COLUMN())),OFFSET($BN$2,0,0,ROW()-1,60),ROW()-1,FALSE))</f>
        <v>33.512999999999998</v>
      </c>
      <c r="AK67">
        <f ca="1">IF(AND(ISNUMBER($AK$318),$B$258=1),$AK$318,HLOOKUP(INDIRECT(ADDRESS(2,COLUMN())),OFFSET($BN$2,0,0,ROW()-1,60),ROW()-1,FALSE))</f>
        <v>37.728999999999999</v>
      </c>
      <c r="AL67">
        <f ca="1">IF(AND(ISNUMBER($AL$318),$B$258=1),$AL$318,HLOOKUP(INDIRECT(ADDRESS(2,COLUMN())),OFFSET($BN$2,0,0,ROW()-1,60),ROW()-1,FALSE))</f>
        <v>35.613</v>
      </c>
      <c r="AM67">
        <f ca="1">IF(AND(ISNUMBER($AM$318),$B$258=1),$AM$318,HLOOKUP(INDIRECT(ADDRESS(2,COLUMN())),OFFSET($BN$2,0,0,ROW()-1,60),ROW()-1,FALSE))</f>
        <v>34.363</v>
      </c>
      <c r="AN67">
        <f ca="1">IF(AND(ISNUMBER($AN$318),$B$258=1),$AN$318,HLOOKUP(INDIRECT(ADDRESS(2,COLUMN())),OFFSET($BN$2,0,0,ROW()-1,60),ROW()-1,FALSE))</f>
        <v>34.753999999999998</v>
      </c>
      <c r="AO67">
        <f ca="1">IF(AND(ISNUMBER($AO$318),$B$258=1),$AO$318,HLOOKUP(INDIRECT(ADDRESS(2,COLUMN())),OFFSET($BN$2,0,0,ROW()-1,60),ROW()-1,FALSE))</f>
        <v>35.97</v>
      </c>
      <c r="AP67">
        <f ca="1">IF(AND(ISNUMBER($AP$318),$B$258=1),$AP$318,HLOOKUP(INDIRECT(ADDRESS(2,COLUMN())),OFFSET($BN$2,0,0,ROW()-1,60),ROW()-1,FALSE))</f>
        <v>32.371000000000002</v>
      </c>
      <c r="AQ67">
        <f ca="1">IF(AND(ISNUMBER($AQ$318),$B$258=1),$AQ$318,HLOOKUP(INDIRECT(ADDRESS(2,COLUMN())),OFFSET($BN$2,0,0,ROW()-1,60),ROW()-1,FALSE))</f>
        <v>25.122</v>
      </c>
      <c r="AR67">
        <f ca="1">IF(AND(ISNUMBER($AR$318),$B$258=1),$AR$318,HLOOKUP(INDIRECT(ADDRESS(2,COLUMN())),OFFSET($BN$2,0,0,ROW()-1,60),ROW()-1,FALSE))</f>
        <v>27.689</v>
      </c>
      <c r="AS67">
        <f ca="1">IF(AND(ISNUMBER($AS$318),$B$258=1),$AS$318,HLOOKUP(INDIRECT(ADDRESS(2,COLUMN())),OFFSET($BN$2,0,0,ROW()-1,60),ROW()-1,FALSE))</f>
        <v>28.513999999999999</v>
      </c>
      <c r="AT67">
        <f ca="1">IF(AND(ISNUMBER($AT$318),$B$258=1),$AT$318,HLOOKUP(INDIRECT(ADDRESS(2,COLUMN())),OFFSET($BN$2,0,0,ROW()-1,60),ROW()-1,FALSE))</f>
        <v>28.806000000000001</v>
      </c>
      <c r="AU67">
        <f ca="1">IF(AND(ISNUMBER($AU$318),$B$258=1),$AU$318,HLOOKUP(INDIRECT(ADDRESS(2,COLUMN())),OFFSET($BN$2,0,0,ROW()-1,60),ROW()-1,FALSE))</f>
        <v>23.992000000000001</v>
      </c>
      <c r="AV67">
        <f ca="1">IF(AND(ISNUMBER($AV$318),$B$258=1),$AV$318,HLOOKUP(INDIRECT(ADDRESS(2,COLUMN())),OFFSET($BN$2,0,0,ROW()-1,60),ROW()-1,FALSE))</f>
        <v>28.414000000000001</v>
      </c>
      <c r="AW67">
        <f ca="1">IF(AND(ISNUMBER($AW$318),$B$258=1),$AW$318,HLOOKUP(INDIRECT(ADDRESS(2,COLUMN())),OFFSET($BN$2,0,0,ROW()-1,60),ROW()-1,FALSE))</f>
        <v>28.773</v>
      </c>
      <c r="AX67">
        <f ca="1">IF(AND(ISNUMBER($AX$318),$B$258=1),$AX$318,HLOOKUP(INDIRECT(ADDRESS(2,COLUMN())),OFFSET($BN$2,0,0,ROW()-1,60),ROW()-1,FALSE))</f>
        <v>30.821999999999999</v>
      </c>
      <c r="AY67">
        <f ca="1">IF(AND(ISNUMBER($AY$318),$B$258=1),$AY$318,HLOOKUP(INDIRECT(ADDRESS(2,COLUMN())),OFFSET($BN$2,0,0,ROW()-1,60),ROW()-1,FALSE))</f>
        <v>33.555999999999997</v>
      </c>
      <c r="AZ67">
        <f ca="1">IF(AND(ISNUMBER($AZ$318),$B$258=1),$AZ$318,HLOOKUP(INDIRECT(ADDRESS(2,COLUMN())),OFFSET($BN$2,0,0,ROW()-1,60),ROW()-1,FALSE))</f>
        <v>36.103000000000002</v>
      </c>
      <c r="BA67">
        <f ca="1">IF(AND(ISNUMBER($BA$318),$B$258=1),$BA$318,HLOOKUP(INDIRECT(ADDRESS(2,COLUMN())),OFFSET($BN$2,0,0,ROW()-1,60),ROW()-1,FALSE))</f>
        <v>34.215000000000003</v>
      </c>
      <c r="BB67">
        <f ca="1">IF(AND(ISNUMBER($BB$318),$B$258=1),$BB$318,HLOOKUP(INDIRECT(ADDRESS(2,COLUMN())),OFFSET($BN$2,0,0,ROW()-1,60),ROW()-1,FALSE))</f>
        <v>33.079000000000001</v>
      </c>
      <c r="BC67">
        <f ca="1">IF(AND(ISNUMBER($BC$318),$B$258=1),$BC$318,HLOOKUP(INDIRECT(ADDRESS(2,COLUMN())),OFFSET($BN$2,0,0,ROW()-1,60),ROW()-1,FALSE))</f>
        <v>35.173999999999999</v>
      </c>
      <c r="BD67">
        <f ca="1">IF(AND(ISNUMBER($BD$318),$B$258=1),$BD$318,HLOOKUP(INDIRECT(ADDRESS(2,COLUMN())),OFFSET($BN$2,0,0,ROW()-1,60),ROW()-1,FALSE))</f>
        <v>39.177</v>
      </c>
      <c r="BE67">
        <f ca="1">IF(AND(ISNUMBER($BE$318),$B$258=1),$BE$318,HLOOKUP(INDIRECT(ADDRESS(2,COLUMN())),OFFSET($BN$2,0,0,ROW()-1,60),ROW()-1,FALSE))</f>
        <v>35.543999999999997</v>
      </c>
      <c r="BF67">
        <f ca="1">IF(AND(ISNUMBER($BF$318),$B$258=1),$BF$318,HLOOKUP(INDIRECT(ADDRESS(2,COLUMN())),OFFSET($BN$2,0,0,ROW()-1,60),ROW()-1,FALSE))</f>
        <v>37.92</v>
      </c>
      <c r="BG67">
        <f ca="1">IF(AND(ISNUMBER($BG$318),$B$258=1),$BG$318,HLOOKUP(INDIRECT(ADDRESS(2,COLUMN())),OFFSET($BN$2,0,0,ROW()-1,60),ROW()-1,FALSE))</f>
        <v>30.056999999999999</v>
      </c>
      <c r="BH67">
        <f ca="1">IF(AND(ISNUMBER($BH$318),$B$258=1),$BH$318,HLOOKUP(INDIRECT(ADDRESS(2,COLUMN())),OFFSET($BN$2,0,0,ROW()-1,60),ROW()-1,FALSE))</f>
        <v>39.718000000000004</v>
      </c>
      <c r="BI67">
        <f ca="1">IF(AND(ISNUMBER($BI$318),$B$258=1),$BI$318,HLOOKUP(INDIRECT(ADDRESS(2,COLUMN())),OFFSET($BN$2,0,0,ROW()-1,60),ROW()-1,FALSE))</f>
        <v>37.531999999999996</v>
      </c>
      <c r="BJ67">
        <f ca="1">IF(AND(ISNUMBER($BJ$318),$B$258=1),$BJ$318,HLOOKUP(INDIRECT(ADDRESS(2,COLUMN())),OFFSET($BN$2,0,0,ROW()-1,60),ROW()-1,FALSE))</f>
        <v>32.914999999999999</v>
      </c>
      <c r="BK67">
        <f ca="1">IF(AND(ISNUMBER($BK$318),$B$258=1),$BK$318,HLOOKUP(INDIRECT(ADDRESS(2,COLUMN())),OFFSET($BN$2,0,0,ROW()-1,60),ROW()-1,FALSE))</f>
        <v>20.478999999999999</v>
      </c>
      <c r="BL67">
        <f ca="1">IF(AND(ISNUMBER($BL$318),$B$258=1),$BL$318,HLOOKUP(INDIRECT(ADDRESS(2,COLUMN())),OFFSET($BN$2,0,0,ROW()-1,60),ROW()-1,FALSE))</f>
        <v>37.08000088</v>
      </c>
      <c r="BM67">
        <f ca="1">IF(AND(ISNUMBER($BM$318),$B$258=1),$BM$318,HLOOKUP(INDIRECT(ADDRESS(2,COLUMN())),OFFSET($BN$2,0,0,ROW()-1,60),ROW()-1,FALSE))</f>
        <v>36.197999000000003</v>
      </c>
      <c r="BN67" t="str">
        <f>""</f>
        <v/>
      </c>
      <c r="BO67">
        <f>58.586</f>
        <v>58.585999999999999</v>
      </c>
      <c r="BP67">
        <f>50.497</f>
        <v>50.497</v>
      </c>
      <c r="BQ67">
        <f>59.039</f>
        <v>59.039000000000001</v>
      </c>
      <c r="BR67">
        <f>58.417</f>
        <v>58.417000000000002</v>
      </c>
      <c r="BS67">
        <f>60.204</f>
        <v>60.204000000000001</v>
      </c>
      <c r="BT67">
        <f>58.358</f>
        <v>58.357999999999997</v>
      </c>
      <c r="BU67">
        <f>58.947</f>
        <v>58.947000000000003</v>
      </c>
      <c r="BV67">
        <f>55.226</f>
        <v>55.225999999999999</v>
      </c>
      <c r="BW67">
        <f>55.386</f>
        <v>55.386000000000003</v>
      </c>
      <c r="BX67">
        <f>55.724</f>
        <v>55.723999999999997</v>
      </c>
      <c r="BY67">
        <f>51.137</f>
        <v>51.137</v>
      </c>
      <c r="BZ67">
        <f>53.494</f>
        <v>53.494</v>
      </c>
      <c r="CA67">
        <f>56.905</f>
        <v>56.905000000000001</v>
      </c>
      <c r="CB67">
        <f>55.694</f>
        <v>55.694000000000003</v>
      </c>
      <c r="CC67">
        <f>53.862</f>
        <v>53.862000000000002</v>
      </c>
      <c r="CD67">
        <f>53.344</f>
        <v>53.344000000000001</v>
      </c>
      <c r="CE67">
        <f>53.266</f>
        <v>53.265999999999998</v>
      </c>
      <c r="CF67">
        <f>47.523</f>
        <v>47.523000000000003</v>
      </c>
      <c r="CG67">
        <f>47.579</f>
        <v>47.579000000000001</v>
      </c>
      <c r="CH67">
        <f>46.315</f>
        <v>46.314999999999998</v>
      </c>
      <c r="CI67">
        <f>19.414</f>
        <v>19.414000000000001</v>
      </c>
      <c r="CJ67">
        <f>44.48</f>
        <v>44.48</v>
      </c>
      <c r="CK67">
        <f>45.555</f>
        <v>45.555</v>
      </c>
      <c r="CL67">
        <f>44.391</f>
        <v>44.390999999999998</v>
      </c>
      <c r="CM67">
        <f>45.033</f>
        <v>45.033000000000001</v>
      </c>
      <c r="CN67">
        <f>40.687</f>
        <v>40.686999999999998</v>
      </c>
      <c r="CO67">
        <f>40.503</f>
        <v>40.503</v>
      </c>
      <c r="CP67">
        <f>39.649</f>
        <v>39.649000000000001</v>
      </c>
      <c r="CQ67">
        <f>37.319</f>
        <v>37.319000000000003</v>
      </c>
      <c r="CR67">
        <f>33.513</f>
        <v>33.512999999999998</v>
      </c>
      <c r="CS67">
        <f>37.729</f>
        <v>37.728999999999999</v>
      </c>
      <c r="CT67">
        <f>35.613</f>
        <v>35.613</v>
      </c>
      <c r="CU67">
        <f>34.363</f>
        <v>34.363</v>
      </c>
      <c r="CV67">
        <f>34.754</f>
        <v>34.753999999999998</v>
      </c>
      <c r="CW67">
        <f>35.97</f>
        <v>35.97</v>
      </c>
      <c r="CX67">
        <f>32.371</f>
        <v>32.371000000000002</v>
      </c>
      <c r="CY67">
        <f>25.122</f>
        <v>25.122</v>
      </c>
      <c r="CZ67">
        <f>27.689</f>
        <v>27.689</v>
      </c>
      <c r="DA67">
        <f>28.514</f>
        <v>28.513999999999999</v>
      </c>
      <c r="DB67">
        <f>28.806</f>
        <v>28.806000000000001</v>
      </c>
      <c r="DC67">
        <f>23.992</f>
        <v>23.992000000000001</v>
      </c>
      <c r="DD67">
        <f>28.414</f>
        <v>28.414000000000001</v>
      </c>
      <c r="DE67">
        <f>28.773</f>
        <v>28.773</v>
      </c>
      <c r="DF67">
        <f>30.822</f>
        <v>30.821999999999999</v>
      </c>
      <c r="DG67">
        <f>33.556</f>
        <v>33.555999999999997</v>
      </c>
      <c r="DH67">
        <f>36.103</f>
        <v>36.103000000000002</v>
      </c>
      <c r="DI67">
        <f>34.215</f>
        <v>34.215000000000003</v>
      </c>
      <c r="DJ67">
        <f>33.079</f>
        <v>33.079000000000001</v>
      </c>
      <c r="DK67">
        <f>35.174</f>
        <v>35.173999999999999</v>
      </c>
      <c r="DL67">
        <f>39.177</f>
        <v>39.177</v>
      </c>
      <c r="DM67">
        <f>35.544</f>
        <v>35.543999999999997</v>
      </c>
      <c r="DN67">
        <f>37.92</f>
        <v>37.92</v>
      </c>
      <c r="DO67">
        <f>30.057</f>
        <v>30.056999999999999</v>
      </c>
      <c r="DP67">
        <f>39.718</f>
        <v>39.718000000000004</v>
      </c>
      <c r="DQ67">
        <f>37.532</f>
        <v>37.531999999999996</v>
      </c>
      <c r="DR67">
        <f>32.915</f>
        <v>32.914999999999999</v>
      </c>
      <c r="DS67">
        <f>20.479</f>
        <v>20.478999999999999</v>
      </c>
      <c r="DT67">
        <f>37.08000088</f>
        <v>37.08000088</v>
      </c>
      <c r="DU67">
        <f>36.197999</f>
        <v>36.197999000000003</v>
      </c>
    </row>
    <row r="68" spans="1:125">
      <c r="A68" t="str">
        <f>"    Healthcare Trust of America In"</f>
        <v xml:space="preserve">    Healthcare Trust of America In</v>
      </c>
      <c r="B68" t="str">
        <f>"HTA US Equity"</f>
        <v>HTA US Equity</v>
      </c>
      <c r="C68" t="str">
        <f t="shared" si="15"/>
        <v>RR009</v>
      </c>
      <c r="D68" t="str">
        <f t="shared" si="16"/>
        <v>EBITDA</v>
      </c>
      <c r="E68" t="str">
        <f t="shared" si="17"/>
        <v>动态</v>
      </c>
      <c r="F68" t="str">
        <f ca="1">IF(AND(ISNUMBER($F$319),$B$258=1),$F$319,HLOOKUP(INDIRECT(ADDRESS(2,COLUMN())),OFFSET($BN$2,0,0,ROW()-1,60),ROW()-1,FALSE))</f>
        <v/>
      </c>
      <c r="G68">
        <f ca="1">IF(AND(ISNUMBER($G$319),$B$258=1),$G$319,HLOOKUP(INDIRECT(ADDRESS(2,COLUMN())),OFFSET($BN$2,0,0,ROW()-1,60),ROW()-1,FALSE))</f>
        <v>101.077</v>
      </c>
      <c r="H68">
        <f ca="1">IF(AND(ISNUMBER($H$319),$B$258=1),$H$319,HLOOKUP(INDIRECT(ADDRESS(2,COLUMN())),OFFSET($BN$2,0,0,ROW()-1,60),ROW()-1,FALSE))</f>
        <v>109.149</v>
      </c>
      <c r="I68">
        <f ca="1">IF(AND(ISNUMBER($I$319),$B$258=1),$I$319,HLOOKUP(INDIRECT(ADDRESS(2,COLUMN())),OFFSET($BN$2,0,0,ROW()-1,60),ROW()-1,FALSE))</f>
        <v>76.688000000000002</v>
      </c>
      <c r="J68">
        <f ca="1">IF(AND(ISNUMBER($J$319),$B$258=1),$J$319,HLOOKUP(INDIRECT(ADDRESS(2,COLUMN())),OFFSET($BN$2,0,0,ROW()-1,60),ROW()-1,FALSE))</f>
        <v>75.777000000000001</v>
      </c>
      <c r="K68">
        <f ca="1">IF(AND(ISNUMBER($K$319),$B$258=1),$K$319,HLOOKUP(INDIRECT(ADDRESS(2,COLUMN())),OFFSET($BN$2,0,0,ROW()-1,60),ROW()-1,FALSE))</f>
        <v>71.192999999999998</v>
      </c>
      <c r="L68">
        <f ca="1">IF(AND(ISNUMBER($L$319),$B$258=1),$L$319,HLOOKUP(INDIRECT(ADDRESS(2,COLUMN())),OFFSET($BN$2,0,0,ROW()-1,60),ROW()-1,FALSE))</f>
        <v>72.542000000000002</v>
      </c>
      <c r="M68">
        <f ca="1">IF(AND(ISNUMBER($M$319),$B$258=1),$M$319,HLOOKUP(INDIRECT(ADDRESS(2,COLUMN())),OFFSET($BN$2,0,0,ROW()-1,60),ROW()-1,FALSE))</f>
        <v>68.831000000000003</v>
      </c>
      <c r="N68">
        <f ca="1">IF(AND(ISNUMBER($N$319),$B$258=1),$N$319,HLOOKUP(INDIRECT(ADDRESS(2,COLUMN())),OFFSET($BN$2,0,0,ROW()-1,60),ROW()-1,FALSE))</f>
        <v>64.638999999999996</v>
      </c>
      <c r="O68">
        <f ca="1">IF(AND(ISNUMBER($O$319),$B$258=1),$O$319,HLOOKUP(INDIRECT(ADDRESS(2,COLUMN())),OFFSET($BN$2,0,0,ROW()-1,60),ROW()-1,FALSE))</f>
        <v>62.997</v>
      </c>
      <c r="P68">
        <f ca="1">IF(AND(ISNUMBER($P$319),$B$258=1),$P$319,HLOOKUP(INDIRECT(ADDRESS(2,COLUMN())),OFFSET($BN$2,0,0,ROW()-1,60),ROW()-1,FALSE))</f>
        <v>62.023000000000003</v>
      </c>
      <c r="Q68">
        <f ca="1">IF(AND(ISNUMBER($Q$319),$B$258=1),$Q$319,HLOOKUP(INDIRECT(ADDRESS(2,COLUMN())),OFFSET($BN$2,0,0,ROW()-1,60),ROW()-1,FALSE))</f>
        <v>61.094000000000001</v>
      </c>
      <c r="R68">
        <f ca="1">IF(AND(ISNUMBER($R$319),$B$258=1),$R$319,HLOOKUP(INDIRECT(ADDRESS(2,COLUMN())),OFFSET($BN$2,0,0,ROW()-1,60),ROW()-1,FALSE))</f>
        <v>59.084000000000003</v>
      </c>
      <c r="S68">
        <f ca="1">IF(AND(ISNUMBER($S$319),$B$258=1),$S$319,HLOOKUP(INDIRECT(ADDRESS(2,COLUMN())),OFFSET($BN$2,0,0,ROW()-1,60),ROW()-1,FALSE))</f>
        <v>58.893000000000001</v>
      </c>
      <c r="T68">
        <f ca="1">IF(AND(ISNUMBER($T$319),$B$258=1),$T$319,HLOOKUP(INDIRECT(ADDRESS(2,COLUMN())),OFFSET($BN$2,0,0,ROW()-1,60),ROW()-1,FALSE))</f>
        <v>56.646999999999998</v>
      </c>
      <c r="U68">
        <f ca="1">IF(AND(ISNUMBER($U$319),$B$258=1),$U$319,HLOOKUP(INDIRECT(ADDRESS(2,COLUMN())),OFFSET($BN$2,0,0,ROW()-1,60),ROW()-1,FALSE))</f>
        <v>51.112000000000002</v>
      </c>
      <c r="V68">
        <f ca="1">IF(AND(ISNUMBER($V$319),$B$258=1),$V$319,HLOOKUP(INDIRECT(ADDRESS(2,COLUMN())),OFFSET($BN$2,0,0,ROW()-1,60),ROW()-1,FALSE))</f>
        <v>53.609000000000002</v>
      </c>
      <c r="W68">
        <f ca="1">IF(AND(ISNUMBER($W$319),$B$258=1),$W$319,HLOOKUP(INDIRECT(ADDRESS(2,COLUMN())),OFFSET($BN$2,0,0,ROW()-1,60),ROW()-1,FALSE))</f>
        <v>49.911000000000001</v>
      </c>
      <c r="X68">
        <f ca="1">IF(AND(ISNUMBER($X$319),$B$258=1),$X$319,HLOOKUP(INDIRECT(ADDRESS(2,COLUMN())),OFFSET($BN$2,0,0,ROW()-1,60),ROW()-1,FALSE))</f>
        <v>48.88</v>
      </c>
      <c r="Y68">
        <f ca="1">IF(AND(ISNUMBER($Y$319),$B$258=1),$Y$319,HLOOKUP(INDIRECT(ADDRESS(2,COLUMN())),OFFSET($BN$2,0,0,ROW()-1,60),ROW()-1,FALSE))</f>
        <v>47.55</v>
      </c>
      <c r="Z68">
        <f ca="1">IF(AND(ISNUMBER($Z$319),$B$258=1),$Z$319,HLOOKUP(INDIRECT(ADDRESS(2,COLUMN())),OFFSET($BN$2,0,0,ROW()-1,60),ROW()-1,FALSE))</f>
        <v>41.017000000000003</v>
      </c>
      <c r="AA68">
        <f ca="1">IF(AND(ISNUMBER($AA$319),$B$258=1),$AA$319,HLOOKUP(INDIRECT(ADDRESS(2,COLUMN())),OFFSET($BN$2,0,0,ROW()-1,60),ROW()-1,FALSE))</f>
        <v>38.402000000000001</v>
      </c>
      <c r="AB68">
        <f ca="1">IF(AND(ISNUMBER($AB$319),$B$258=1),$AB$319,HLOOKUP(INDIRECT(ADDRESS(2,COLUMN())),OFFSET($BN$2,0,0,ROW()-1,60),ROW()-1,FALSE))</f>
        <v>39.929000000000002</v>
      </c>
      <c r="AC68">
        <f ca="1">IF(AND(ISNUMBER($AC$319),$B$258=1),$AC$319,HLOOKUP(INDIRECT(ADDRESS(2,COLUMN())),OFFSET($BN$2,0,0,ROW()-1,60),ROW()-1,FALSE))</f>
        <v>28.419</v>
      </c>
      <c r="AD68">
        <f ca="1">IF(AND(ISNUMBER($AD$319),$B$258=1),$AD$319,HLOOKUP(INDIRECT(ADDRESS(2,COLUMN())),OFFSET($BN$2,0,0,ROW()-1,60),ROW()-1,FALSE))</f>
        <v>37.164999999999999</v>
      </c>
      <c r="AE68">
        <f ca="1">IF(AND(ISNUMBER($AE$319),$B$258=1),$AE$319,HLOOKUP(INDIRECT(ADDRESS(2,COLUMN())),OFFSET($BN$2,0,0,ROW()-1,60),ROW()-1,FALSE))</f>
        <v>29.606999999999999</v>
      </c>
      <c r="AF68">
        <f ca="1">IF(AND(ISNUMBER($AF$319),$B$258=1),$AF$319,HLOOKUP(INDIRECT(ADDRESS(2,COLUMN())),OFFSET($BN$2,0,0,ROW()-1,60),ROW()-1,FALSE))</f>
        <v>34.950000000000003</v>
      </c>
      <c r="AG68">
        <f ca="1">IF(AND(ISNUMBER($AG$319),$B$258=1),$AG$319,HLOOKUP(INDIRECT(ADDRESS(2,COLUMN())),OFFSET($BN$2,0,0,ROW()-1,60),ROW()-1,FALSE))</f>
        <v>40.253</v>
      </c>
      <c r="AH68">
        <f ca="1">IF(AND(ISNUMBER($AH$319),$B$258=1),$AH$319,HLOOKUP(INDIRECT(ADDRESS(2,COLUMN())),OFFSET($BN$2,0,0,ROW()-1,60),ROW()-1,FALSE))</f>
        <v>35.911999999999999</v>
      </c>
      <c r="AI68">
        <f ca="1">IF(AND(ISNUMBER($AI$319),$B$258=1),$AI$319,HLOOKUP(INDIRECT(ADDRESS(2,COLUMN())),OFFSET($BN$2,0,0,ROW()-1,60),ROW()-1,FALSE))</f>
        <v>25.254999999999999</v>
      </c>
      <c r="AJ68">
        <f ca="1">IF(AND(ISNUMBER($AJ$319),$B$258=1),$AJ$319,HLOOKUP(INDIRECT(ADDRESS(2,COLUMN())),OFFSET($BN$2,0,0,ROW()-1,60),ROW()-1,FALSE))</f>
        <v>27.25</v>
      </c>
      <c r="AK68">
        <f ca="1">IF(AND(ISNUMBER($AK$319),$B$258=1),$AK$319,HLOOKUP(INDIRECT(ADDRESS(2,COLUMN())),OFFSET($BN$2,0,0,ROW()-1,60),ROW()-1,FALSE))</f>
        <v>19.228000000000002</v>
      </c>
      <c r="AL68">
        <f ca="1">IF(AND(ISNUMBER($AL$319),$B$258=1),$AL$319,HLOOKUP(INDIRECT(ADDRESS(2,COLUMN())),OFFSET($BN$2,0,0,ROW()-1,60),ROW()-1,FALSE))</f>
        <v>26.408000000000001</v>
      </c>
      <c r="AM68" t="str">
        <f ca="1">IF(AND(ISNUMBER($AM$319),$B$258=1),$AM$319,HLOOKUP(INDIRECT(ADDRESS(2,COLUMN())),OFFSET($BN$2,0,0,ROW()-1,60),ROW()-1,FALSE))</f>
        <v/>
      </c>
      <c r="AN68" t="str">
        <f ca="1">IF(AND(ISNUMBER($AN$319),$B$258=1),$AN$319,HLOOKUP(INDIRECT(ADDRESS(2,COLUMN())),OFFSET($BN$2,0,0,ROW()-1,60),ROW()-1,FALSE))</f>
        <v/>
      </c>
      <c r="AO68" t="str">
        <f ca="1">IF(AND(ISNUMBER($AO$319),$B$258=1),$AO$319,HLOOKUP(INDIRECT(ADDRESS(2,COLUMN())),OFFSET($BN$2,0,0,ROW()-1,60),ROW()-1,FALSE))</f>
        <v/>
      </c>
      <c r="AP68" t="str">
        <f ca="1">IF(AND(ISNUMBER($AP$319),$B$258=1),$AP$319,HLOOKUP(INDIRECT(ADDRESS(2,COLUMN())),OFFSET($BN$2,0,0,ROW()-1,60),ROW()-1,FALSE))</f>
        <v/>
      </c>
      <c r="AQ68" t="str">
        <f ca="1">IF(AND(ISNUMBER($AQ$319),$B$258=1),$AQ$319,HLOOKUP(INDIRECT(ADDRESS(2,COLUMN())),OFFSET($BN$2,0,0,ROW()-1,60),ROW()-1,FALSE))</f>
        <v/>
      </c>
      <c r="AR68" t="str">
        <f ca="1">IF(AND(ISNUMBER($AR$319),$B$258=1),$AR$319,HLOOKUP(INDIRECT(ADDRESS(2,COLUMN())),OFFSET($BN$2,0,0,ROW()-1,60),ROW()-1,FALSE))</f>
        <v/>
      </c>
      <c r="AS68" t="str">
        <f ca="1">IF(AND(ISNUMBER($AS$319),$B$258=1),$AS$319,HLOOKUP(INDIRECT(ADDRESS(2,COLUMN())),OFFSET($BN$2,0,0,ROW()-1,60),ROW()-1,FALSE))</f>
        <v/>
      </c>
      <c r="AT68" t="str">
        <f ca="1">IF(AND(ISNUMBER($AT$319),$B$258=1),$AT$319,HLOOKUP(INDIRECT(ADDRESS(2,COLUMN())),OFFSET($BN$2,0,0,ROW()-1,60),ROW()-1,FALSE))</f>
        <v/>
      </c>
      <c r="AU68" t="str">
        <f ca="1">IF(AND(ISNUMBER($AU$319),$B$258=1),$AU$319,HLOOKUP(INDIRECT(ADDRESS(2,COLUMN())),OFFSET($BN$2,0,0,ROW()-1,60),ROW()-1,FALSE))</f>
        <v/>
      </c>
      <c r="AV68" t="str">
        <f ca="1">IF(AND(ISNUMBER($AV$319),$B$258=1),$AV$319,HLOOKUP(INDIRECT(ADDRESS(2,COLUMN())),OFFSET($BN$2,0,0,ROW()-1,60),ROW()-1,FALSE))</f>
        <v/>
      </c>
      <c r="AW68" t="str">
        <f ca="1">IF(AND(ISNUMBER($AW$319),$B$258=1),$AW$319,HLOOKUP(INDIRECT(ADDRESS(2,COLUMN())),OFFSET($BN$2,0,0,ROW()-1,60),ROW()-1,FALSE))</f>
        <v/>
      </c>
      <c r="AX68" t="str">
        <f ca="1">IF(AND(ISNUMBER($AX$319),$B$258=1),$AX$319,HLOOKUP(INDIRECT(ADDRESS(2,COLUMN())),OFFSET($BN$2,0,0,ROW()-1,60),ROW()-1,FALSE))</f>
        <v/>
      </c>
      <c r="AY68" t="str">
        <f ca="1">IF(AND(ISNUMBER($AY$319),$B$258=1),$AY$319,HLOOKUP(INDIRECT(ADDRESS(2,COLUMN())),OFFSET($BN$2,0,0,ROW()-1,60),ROW()-1,FALSE))</f>
        <v/>
      </c>
      <c r="AZ68" t="str">
        <f ca="1">IF(AND(ISNUMBER($AZ$319),$B$258=1),$AZ$319,HLOOKUP(INDIRECT(ADDRESS(2,COLUMN())),OFFSET($BN$2,0,0,ROW()-1,60),ROW()-1,FALSE))</f>
        <v/>
      </c>
      <c r="BA68" t="str">
        <f ca="1">IF(AND(ISNUMBER($BA$319),$B$258=1),$BA$319,HLOOKUP(INDIRECT(ADDRESS(2,COLUMN())),OFFSET($BN$2,0,0,ROW()-1,60),ROW()-1,FALSE))</f>
        <v/>
      </c>
      <c r="BB68" t="str">
        <f ca="1">IF(AND(ISNUMBER($BB$319),$B$258=1),$BB$319,HLOOKUP(INDIRECT(ADDRESS(2,COLUMN())),OFFSET($BN$2,0,0,ROW()-1,60),ROW()-1,FALSE))</f>
        <v/>
      </c>
      <c r="BC68" t="str">
        <f ca="1">IF(AND(ISNUMBER($BC$319),$B$258=1),$BC$319,HLOOKUP(INDIRECT(ADDRESS(2,COLUMN())),OFFSET($BN$2,0,0,ROW()-1,60),ROW()-1,FALSE))</f>
        <v/>
      </c>
      <c r="BD68" t="str">
        <f ca="1">IF(AND(ISNUMBER($BD$319),$B$258=1),$BD$319,HLOOKUP(INDIRECT(ADDRESS(2,COLUMN())),OFFSET($BN$2,0,0,ROW()-1,60),ROW()-1,FALSE))</f>
        <v/>
      </c>
      <c r="BE68" t="str">
        <f ca="1">IF(AND(ISNUMBER($BE$319),$B$258=1),$BE$319,HLOOKUP(INDIRECT(ADDRESS(2,COLUMN())),OFFSET($BN$2,0,0,ROW()-1,60),ROW()-1,FALSE))</f>
        <v/>
      </c>
      <c r="BF68" t="str">
        <f ca="1">IF(AND(ISNUMBER($BF$319),$B$258=1),$BF$319,HLOOKUP(INDIRECT(ADDRESS(2,COLUMN())),OFFSET($BN$2,0,0,ROW()-1,60),ROW()-1,FALSE))</f>
        <v/>
      </c>
      <c r="BG68" t="str">
        <f ca="1">IF(AND(ISNUMBER($BG$319),$B$258=1),$BG$319,HLOOKUP(INDIRECT(ADDRESS(2,COLUMN())),OFFSET($BN$2,0,0,ROW()-1,60),ROW()-1,FALSE))</f>
        <v/>
      </c>
      <c r="BH68" t="str">
        <f ca="1">IF(AND(ISNUMBER($BH$319),$B$258=1),$BH$319,HLOOKUP(INDIRECT(ADDRESS(2,COLUMN())),OFFSET($BN$2,0,0,ROW()-1,60),ROW()-1,FALSE))</f>
        <v/>
      </c>
      <c r="BI68" t="str">
        <f ca="1">IF(AND(ISNUMBER($BI$319),$B$258=1),$BI$319,HLOOKUP(INDIRECT(ADDRESS(2,COLUMN())),OFFSET($BN$2,0,0,ROW()-1,60),ROW()-1,FALSE))</f>
        <v/>
      </c>
      <c r="BJ68" t="str">
        <f ca="1">IF(AND(ISNUMBER($BJ$319),$B$258=1),$BJ$319,HLOOKUP(INDIRECT(ADDRESS(2,COLUMN())),OFFSET($BN$2,0,0,ROW()-1,60),ROW()-1,FALSE))</f>
        <v/>
      </c>
      <c r="BK68" t="str">
        <f ca="1">IF(AND(ISNUMBER($BK$319),$B$258=1),$BK$319,HLOOKUP(INDIRECT(ADDRESS(2,COLUMN())),OFFSET($BN$2,0,0,ROW()-1,60),ROW()-1,FALSE))</f>
        <v/>
      </c>
      <c r="BL68" t="str">
        <f ca="1">IF(AND(ISNUMBER($BL$319),$B$258=1),$BL$319,HLOOKUP(INDIRECT(ADDRESS(2,COLUMN())),OFFSET($BN$2,0,0,ROW()-1,60),ROW()-1,FALSE))</f>
        <v/>
      </c>
      <c r="BM68" t="str">
        <f ca="1">IF(AND(ISNUMBER($BM$319),$B$258=1),$BM$319,HLOOKUP(INDIRECT(ADDRESS(2,COLUMN())),OFFSET($BN$2,0,0,ROW()-1,60),ROW()-1,FALSE))</f>
        <v/>
      </c>
      <c r="BN68" t="str">
        <f>""</f>
        <v/>
      </c>
      <c r="BO68">
        <f>101.077</f>
        <v>101.077</v>
      </c>
      <c r="BP68">
        <f>109.149</f>
        <v>109.149</v>
      </c>
      <c r="BQ68">
        <f>76.688</f>
        <v>76.688000000000002</v>
      </c>
      <c r="BR68">
        <f>75.777</f>
        <v>75.777000000000001</v>
      </c>
      <c r="BS68">
        <f>71.193</f>
        <v>71.192999999999998</v>
      </c>
      <c r="BT68">
        <f>72.542</f>
        <v>72.542000000000002</v>
      </c>
      <c r="BU68">
        <f>68.831</f>
        <v>68.831000000000003</v>
      </c>
      <c r="BV68">
        <f>64.639</f>
        <v>64.638999999999996</v>
      </c>
      <c r="BW68">
        <f>62.997</f>
        <v>62.997</v>
      </c>
      <c r="BX68">
        <f>62.023</f>
        <v>62.023000000000003</v>
      </c>
      <c r="BY68">
        <f>61.094</f>
        <v>61.094000000000001</v>
      </c>
      <c r="BZ68">
        <f>59.084</f>
        <v>59.084000000000003</v>
      </c>
      <c r="CA68">
        <f>58.893</f>
        <v>58.893000000000001</v>
      </c>
      <c r="CB68">
        <f>56.647</f>
        <v>56.646999999999998</v>
      </c>
      <c r="CC68">
        <f>51.112</f>
        <v>51.112000000000002</v>
      </c>
      <c r="CD68">
        <f>53.609</f>
        <v>53.609000000000002</v>
      </c>
      <c r="CE68">
        <f>49.911</f>
        <v>49.911000000000001</v>
      </c>
      <c r="CF68">
        <f>48.88</f>
        <v>48.88</v>
      </c>
      <c r="CG68">
        <f>47.55</f>
        <v>47.55</v>
      </c>
      <c r="CH68">
        <f>41.017</f>
        <v>41.017000000000003</v>
      </c>
      <c r="CI68">
        <f>38.402</f>
        <v>38.402000000000001</v>
      </c>
      <c r="CJ68">
        <f>39.929</f>
        <v>39.929000000000002</v>
      </c>
      <c r="CK68">
        <f>28.419</f>
        <v>28.419</v>
      </c>
      <c r="CL68">
        <f>37.165</f>
        <v>37.164999999999999</v>
      </c>
      <c r="CM68">
        <f>29.607</f>
        <v>29.606999999999999</v>
      </c>
      <c r="CN68">
        <f>34.95</f>
        <v>34.950000000000003</v>
      </c>
      <c r="CO68">
        <f>40.253</f>
        <v>40.253</v>
      </c>
      <c r="CP68">
        <f>35.912</f>
        <v>35.911999999999999</v>
      </c>
      <c r="CQ68">
        <f>25.255</f>
        <v>25.254999999999999</v>
      </c>
      <c r="CR68">
        <f>27.25</f>
        <v>27.25</v>
      </c>
      <c r="CS68">
        <f>19.228</f>
        <v>19.228000000000002</v>
      </c>
      <c r="CT68">
        <f>26.408</f>
        <v>26.408000000000001</v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>
      <c r="A69" t="str">
        <f>"    Medical Properties Trust Inc"</f>
        <v xml:space="preserve">    Medical Properties Trust Inc</v>
      </c>
      <c r="B69" t="str">
        <f>"MPW US Equity"</f>
        <v>MPW US Equity</v>
      </c>
      <c r="C69" t="str">
        <f t="shared" si="15"/>
        <v>RR009</v>
      </c>
      <c r="D69" t="str">
        <f t="shared" si="16"/>
        <v>EBITDA</v>
      </c>
      <c r="E69" t="str">
        <f t="shared" si="17"/>
        <v>动态</v>
      </c>
      <c r="F69" t="str">
        <f ca="1">IF(AND(ISNUMBER($F$320),$B$258=1),$F$320,HLOOKUP(INDIRECT(ADDRESS(2,COLUMN())),OFFSET($BN$2,0,0,ROW()-1,60),ROW()-1,FALSE))</f>
        <v/>
      </c>
      <c r="G69">
        <f ca="1">IF(AND(ISNUMBER($G$320),$B$258=1),$G$320,HLOOKUP(INDIRECT(ADDRESS(2,COLUMN())),OFFSET($BN$2,0,0,ROW()-1,60),ROW()-1,FALSE))</f>
        <v>181.251</v>
      </c>
      <c r="H69">
        <f ca="1">IF(AND(ISNUMBER($H$320),$B$258=1),$H$320,HLOOKUP(INDIRECT(ADDRESS(2,COLUMN())),OFFSET($BN$2,0,0,ROW()-1,60),ROW()-1,FALSE))</f>
        <v>154.68100000000001</v>
      </c>
      <c r="I69">
        <f ca="1">IF(AND(ISNUMBER($I$320),$B$258=1),$I$320,HLOOKUP(INDIRECT(ADDRESS(2,COLUMN())),OFFSET($BN$2,0,0,ROW()-1,60),ROW()-1,FALSE))</f>
        <v>141.14699999999999</v>
      </c>
      <c r="J69">
        <f ca="1">IF(AND(ISNUMBER($J$320),$B$258=1),$J$320,HLOOKUP(INDIRECT(ADDRESS(2,COLUMN())),OFFSET($BN$2,0,0,ROW()-1,60),ROW()-1,FALSE))</f>
        <v>140.48400000000001</v>
      </c>
      <c r="K69">
        <f ca="1">IF(AND(ISNUMBER($K$320),$B$258=1),$K$320,HLOOKUP(INDIRECT(ADDRESS(2,COLUMN())),OFFSET($BN$2,0,0,ROW()-1,60),ROW()-1,FALSE))</f>
        <v>100.602</v>
      </c>
      <c r="L69">
        <f ca="1">IF(AND(ISNUMBER($L$320),$B$258=1),$L$320,HLOOKUP(INDIRECT(ADDRESS(2,COLUMN())),OFFSET($BN$2,0,0,ROW()-1,60),ROW()-1,FALSE))</f>
        <v>112.42</v>
      </c>
      <c r="M69">
        <f ca="1">IF(AND(ISNUMBER($M$320),$B$258=1),$M$320,HLOOKUP(INDIRECT(ADDRESS(2,COLUMN())),OFFSET($BN$2,0,0,ROW()-1,60),ROW()-1,FALSE))</f>
        <v>101.973</v>
      </c>
      <c r="N69">
        <f ca="1">IF(AND(ISNUMBER($N$320),$B$258=1),$N$320,HLOOKUP(INDIRECT(ADDRESS(2,COLUMN())),OFFSET($BN$2,0,0,ROW()-1,60),ROW()-1,FALSE))</f>
        <v>124.244</v>
      </c>
      <c r="O69">
        <f ca="1">IF(AND(ISNUMBER($O$320),$B$258=1),$O$320,HLOOKUP(INDIRECT(ADDRESS(2,COLUMN())),OFFSET($BN$2,0,0,ROW()-1,60),ROW()-1,FALSE))</f>
        <v>115.241</v>
      </c>
      <c r="P69">
        <f ca="1">IF(AND(ISNUMBER($P$320),$B$258=1),$P$320,HLOOKUP(INDIRECT(ADDRESS(2,COLUMN())),OFFSET($BN$2,0,0,ROW()-1,60),ROW()-1,FALSE))</f>
        <v>77.685000000000002</v>
      </c>
      <c r="Q69">
        <f ca="1">IF(AND(ISNUMBER($Q$320),$B$258=1),$Q$320,HLOOKUP(INDIRECT(ADDRESS(2,COLUMN())),OFFSET($BN$2,0,0,ROW()-1,60),ROW()-1,FALSE))</f>
        <v>63.353999999999999</v>
      </c>
      <c r="R69">
        <f ca="1">IF(AND(ISNUMBER($R$320),$B$258=1),$R$320,HLOOKUP(INDIRECT(ADDRESS(2,COLUMN())),OFFSET($BN$2,0,0,ROW()-1,60),ROW()-1,FALSE))</f>
        <v>78.784000000000006</v>
      </c>
      <c r="S69">
        <f ca="1">IF(AND(ISNUMBER($S$320),$B$258=1),$S$320,HLOOKUP(INDIRECT(ADDRESS(2,COLUMN())),OFFSET($BN$2,0,0,ROW()-1,60),ROW()-1,FALSE))</f>
        <v>52.068348999999998</v>
      </c>
      <c r="T69">
        <f ca="1">IF(AND(ISNUMBER($T$320),$B$258=1),$T$320,HLOOKUP(INDIRECT(ADDRESS(2,COLUMN())),OFFSET($BN$2,0,0,ROW()-1,60),ROW()-1,FALSE))</f>
        <v>66.852999999999994</v>
      </c>
      <c r="U69">
        <f ca="1">IF(AND(ISNUMBER($U$320),$B$258=1),$U$320,HLOOKUP(INDIRECT(ADDRESS(2,COLUMN())),OFFSET($BN$2,0,0,ROW()-1,60),ROW()-1,FALSE))</f>
        <v>36.527000000000001</v>
      </c>
      <c r="V69">
        <f ca="1">IF(AND(ISNUMBER($V$320),$B$258=1),$V$320,HLOOKUP(INDIRECT(ADDRESS(2,COLUMN())),OFFSET($BN$2,0,0,ROW()-1,60),ROW()-1,FALSE))</f>
        <v>42.616</v>
      </c>
      <c r="W69">
        <f ca="1">IF(AND(ISNUMBER($W$320),$B$258=1),$W$320,HLOOKUP(INDIRECT(ADDRESS(2,COLUMN())),OFFSET($BN$2,0,0,ROW()-1,60),ROW()-1,FALSE))</f>
        <v>45.473861999999997</v>
      </c>
      <c r="X69">
        <f ca="1">IF(AND(ISNUMBER($X$320),$B$258=1),$X$320,HLOOKUP(INDIRECT(ADDRESS(2,COLUMN())),OFFSET($BN$2,0,0,ROW()-1,60),ROW()-1,FALSE))</f>
        <v>49.542999999999999</v>
      </c>
      <c r="Y69">
        <f ca="1">IF(AND(ISNUMBER($Y$320),$B$258=1),$Y$320,HLOOKUP(INDIRECT(ADDRESS(2,COLUMN())),OFFSET($BN$2,0,0,ROW()-1,60),ROW()-1,FALSE))</f>
        <v>47.631</v>
      </c>
      <c r="Z69">
        <f ca="1">IF(AND(ISNUMBER($Z$320),$B$258=1),$Z$320,HLOOKUP(INDIRECT(ADDRESS(2,COLUMN())),OFFSET($BN$2,0,0,ROW()-1,60),ROW()-1,FALSE))</f>
        <v>49.481999999999999</v>
      </c>
      <c r="AA69">
        <f ca="1">IF(AND(ISNUMBER($AA$320),$B$258=1),$AA$320,HLOOKUP(INDIRECT(ADDRESS(2,COLUMN())),OFFSET($BN$2,0,0,ROW()-1,60),ROW()-1,FALSE))</f>
        <v>48.012314000000003</v>
      </c>
      <c r="AB69">
        <f ca="1">IF(AND(ISNUMBER($AB$320),$B$258=1),$AB$320,HLOOKUP(INDIRECT(ADDRESS(2,COLUMN())),OFFSET($BN$2,0,0,ROW()-1,60),ROW()-1,FALSE))</f>
        <v>45.831000000000003</v>
      </c>
      <c r="AC69">
        <f ca="1">IF(AND(ISNUMBER($AC$320),$B$258=1),$AC$320,HLOOKUP(INDIRECT(ADDRESS(2,COLUMN())),OFFSET($BN$2,0,0,ROW()-1,60),ROW()-1,FALSE))</f>
        <v>42.046999999999997</v>
      </c>
      <c r="AD69">
        <f ca="1">IF(AND(ISNUMBER($AD$320),$B$258=1),$AD$320,HLOOKUP(INDIRECT(ADDRESS(2,COLUMN())),OFFSET($BN$2,0,0,ROW()-1,60),ROW()-1,FALSE))</f>
        <v>30.638999999999999</v>
      </c>
      <c r="AE69">
        <f ca="1">IF(AND(ISNUMBER($AE$320),$B$258=1),$AE$320,HLOOKUP(INDIRECT(ADDRESS(2,COLUMN())),OFFSET($BN$2,0,0,ROW()-1,60),ROW()-1,FALSE))</f>
        <v>27.832031000000001</v>
      </c>
      <c r="AF69">
        <f ca="1">IF(AND(ISNUMBER($AF$320),$B$258=1),$AF$320,HLOOKUP(INDIRECT(ADDRESS(2,COLUMN())),OFFSET($BN$2,0,0,ROW()-1,60),ROW()-1,FALSE))</f>
        <v>29.03</v>
      </c>
      <c r="AG69">
        <f ca="1">IF(AND(ISNUMBER($AG$320),$B$258=1),$AG$320,HLOOKUP(INDIRECT(ADDRESS(2,COLUMN())),OFFSET($BN$2,0,0,ROW()-1,60),ROW()-1,FALSE))</f>
        <v>26.376000000000001</v>
      </c>
      <c r="AH69">
        <f ca="1">IF(AND(ISNUMBER($AH$320),$B$258=1),$AH$320,HLOOKUP(INDIRECT(ADDRESS(2,COLUMN())),OFFSET($BN$2,0,0,ROW()-1,60),ROW()-1,FALSE))</f>
        <v>25.888999999999999</v>
      </c>
      <c r="AI69">
        <f ca="1">IF(AND(ISNUMBER($AI$320),$B$258=1),$AI$320,HLOOKUP(INDIRECT(ADDRESS(2,COLUMN())),OFFSET($BN$2,0,0,ROW()-1,60),ROW()-1,FALSE))</f>
        <v>22.261119999999998</v>
      </c>
      <c r="AJ69">
        <f ca="1">IF(AND(ISNUMBER($AJ$320),$B$258=1),$AJ$320,HLOOKUP(INDIRECT(ADDRESS(2,COLUMN())),OFFSET($BN$2,0,0,ROW()-1,60),ROW()-1,FALSE))</f>
        <v>22.073</v>
      </c>
      <c r="AK69">
        <f ca="1">IF(AND(ISNUMBER($AK$320),$B$258=1),$AK$320,HLOOKUP(INDIRECT(ADDRESS(2,COLUMN())),OFFSET($BN$2,0,0,ROW()-1,60),ROW()-1,FALSE))</f>
        <v>20.582000000000001</v>
      </c>
      <c r="AL69">
        <f ca="1">IF(AND(ISNUMBER($AL$320),$B$258=1),$AL$320,HLOOKUP(INDIRECT(ADDRESS(2,COLUMN())),OFFSET($BN$2,0,0,ROW()-1,60),ROW()-1,FALSE))</f>
        <v>13.074</v>
      </c>
      <c r="AM69">
        <f ca="1">IF(AND(ISNUMBER($AM$320),$B$258=1),$AM$320,HLOOKUP(INDIRECT(ADDRESS(2,COLUMN())),OFFSET($BN$2,0,0,ROW()-1,60),ROW()-1,FALSE))</f>
        <v>25.296329</v>
      </c>
      <c r="AN69">
        <f ca="1">IF(AND(ISNUMBER($AN$320),$B$258=1),$AN$320,HLOOKUP(INDIRECT(ADDRESS(2,COLUMN())),OFFSET($BN$2,0,0,ROW()-1,60),ROW()-1,FALSE))</f>
        <v>26.065999999999999</v>
      </c>
      <c r="AO69">
        <f ca="1">IF(AND(ISNUMBER($AO$320),$B$258=1),$AO$320,HLOOKUP(INDIRECT(ADDRESS(2,COLUMN())),OFFSET($BN$2,0,0,ROW()-1,60),ROW()-1,FALSE))</f>
        <v>23.141999999999999</v>
      </c>
      <c r="AP69">
        <f ca="1">IF(AND(ISNUMBER($AP$320),$B$258=1),$AP$320,HLOOKUP(INDIRECT(ADDRESS(2,COLUMN())),OFFSET($BN$2,0,0,ROW()-1,60),ROW()-1,FALSE))</f>
        <v>25.539000000000001</v>
      </c>
      <c r="AQ69">
        <f ca="1">IF(AND(ISNUMBER($AQ$320),$B$258=1),$AQ$320,HLOOKUP(INDIRECT(ADDRESS(2,COLUMN())),OFFSET($BN$2,0,0,ROW()-1,60),ROW()-1,FALSE))</f>
        <v>19.099744000000001</v>
      </c>
      <c r="AR69">
        <f ca="1">IF(AND(ISNUMBER($AR$320),$B$258=1),$AR$320,HLOOKUP(INDIRECT(ADDRESS(2,COLUMN())),OFFSET($BN$2,0,0,ROW()-1,60),ROW()-1,FALSE))</f>
        <v>28.803000000000001</v>
      </c>
      <c r="AS69">
        <f ca="1">IF(AND(ISNUMBER($AS$320),$B$258=1),$AS$320,HLOOKUP(INDIRECT(ADDRESS(2,COLUMN())),OFFSET($BN$2,0,0,ROW()-1,60),ROW()-1,FALSE))</f>
        <v>26.670999999999999</v>
      </c>
      <c r="AT69">
        <f ca="1">IF(AND(ISNUMBER($AT$320),$B$258=1),$AT$320,HLOOKUP(INDIRECT(ADDRESS(2,COLUMN())),OFFSET($BN$2,0,0,ROW()-1,60),ROW()-1,FALSE))</f>
        <v>19.411000000000001</v>
      </c>
      <c r="AU69">
        <f ca="1">IF(AND(ISNUMBER($AU$320),$B$258=1),$AU$320,HLOOKUP(INDIRECT(ADDRESS(2,COLUMN())),OFFSET($BN$2,0,0,ROW()-1,60),ROW()-1,FALSE))</f>
        <v>20.384596999999999</v>
      </c>
      <c r="AV69">
        <f ca="1">IF(AND(ISNUMBER($AV$320),$B$258=1),$AV$320,HLOOKUP(INDIRECT(ADDRESS(2,COLUMN())),OFFSET($BN$2,0,0,ROW()-1,60),ROW()-1,FALSE))</f>
        <v>18.833161</v>
      </c>
      <c r="AW69">
        <f ca="1">IF(AND(ISNUMBER($AW$320),$B$258=1),$AW$320,HLOOKUP(INDIRECT(ADDRESS(2,COLUMN())),OFFSET($BN$2,0,0,ROW()-1,60),ROW()-1,FALSE))</f>
        <v>19.078578</v>
      </c>
      <c r="AX69">
        <f ca="1">IF(AND(ISNUMBER($AX$320),$B$258=1),$AX$320,HLOOKUP(INDIRECT(ADDRESS(2,COLUMN())),OFFSET($BN$2,0,0,ROW()-1,60),ROW()-1,FALSE))</f>
        <v>10.996776000000001</v>
      </c>
      <c r="AY69">
        <f ca="1">IF(AND(ISNUMBER($AY$320),$B$258=1),$AY$320,HLOOKUP(INDIRECT(ADDRESS(2,COLUMN())),OFFSET($BN$2,0,0,ROW()-1,60),ROW()-1,FALSE))</f>
        <v>14.096316</v>
      </c>
      <c r="AZ69">
        <f ca="1">IF(AND(ISNUMBER($AZ$320),$B$258=1),$AZ$320,HLOOKUP(INDIRECT(ADDRESS(2,COLUMN())),OFFSET($BN$2,0,0,ROW()-1,60),ROW()-1,FALSE))</f>
        <v>11.55593</v>
      </c>
      <c r="BA69">
        <f ca="1">IF(AND(ISNUMBER($BA$320),$B$258=1),$BA$320,HLOOKUP(INDIRECT(ADDRESS(2,COLUMN())),OFFSET($BN$2,0,0,ROW()-1,60),ROW()-1,FALSE))</f>
        <v>8.7958809999999996</v>
      </c>
      <c r="BB69">
        <f ca="1">IF(AND(ISNUMBER($BB$320),$B$258=1),$BB$320,HLOOKUP(INDIRECT(ADDRESS(2,COLUMN())),OFFSET($BN$2,0,0,ROW()-1,60),ROW()-1,FALSE))</f>
        <v>8.85168</v>
      </c>
      <c r="BC69">
        <f ca="1">IF(AND(ISNUMBER($BC$320),$B$258=1),$BC$320,HLOOKUP(INDIRECT(ADDRESS(2,COLUMN())),OFFSET($BN$2,0,0,ROW()-1,60),ROW()-1,FALSE))</f>
        <v>7.1115269799999998</v>
      </c>
      <c r="BD69">
        <f ca="1">IF(AND(ISNUMBER($BD$320),$B$258=1),$BD$320,HLOOKUP(INDIRECT(ADDRESS(2,COLUMN())),OFFSET($BN$2,0,0,ROW()-1,60),ROW()-1,FALSE))</f>
        <v>6.4737679999999997</v>
      </c>
      <c r="BE69">
        <f ca="1">IF(AND(ISNUMBER($BE$320),$B$258=1),$BE$320,HLOOKUP(INDIRECT(ADDRESS(2,COLUMN())),OFFSET($BN$2,0,0,ROW()-1,60),ROW()-1,FALSE))</f>
        <v>6.2223817710000002</v>
      </c>
      <c r="BF69">
        <f ca="1">IF(AND(ISNUMBER($BF$320),$B$258=1),$BF$320,HLOOKUP(INDIRECT(ADDRESS(2,COLUMN())),OFFSET($BN$2,0,0,ROW()-1,60),ROW()-1,FALSE))</f>
        <v>5.1459999679999999</v>
      </c>
      <c r="BG69" t="str">
        <f ca="1">IF(AND(ISNUMBER($BG$320),$B$258=1),$BG$320,HLOOKUP(INDIRECT(ADDRESS(2,COLUMN())),OFFSET($BN$2,0,0,ROW()-1,60),ROW()-1,FALSE))</f>
        <v/>
      </c>
      <c r="BH69" t="str">
        <f ca="1">IF(AND(ISNUMBER($BH$320),$B$258=1),$BH$320,HLOOKUP(INDIRECT(ADDRESS(2,COLUMN())),OFFSET($BN$2,0,0,ROW()-1,60),ROW()-1,FALSE))</f>
        <v/>
      </c>
      <c r="BI69" t="str">
        <f ca="1">IF(AND(ISNUMBER($BI$320),$B$258=1),$BI$320,HLOOKUP(INDIRECT(ADDRESS(2,COLUMN())),OFFSET($BN$2,0,0,ROW()-1,60),ROW()-1,FALSE))</f>
        <v/>
      </c>
      <c r="BJ69" t="str">
        <f ca="1">IF(AND(ISNUMBER($BJ$320),$B$258=1),$BJ$320,HLOOKUP(INDIRECT(ADDRESS(2,COLUMN())),OFFSET($BN$2,0,0,ROW()-1,60),ROW()-1,FALSE))</f>
        <v/>
      </c>
      <c r="BK69" t="str">
        <f ca="1">IF(AND(ISNUMBER($BK$320),$B$258=1),$BK$320,HLOOKUP(INDIRECT(ADDRESS(2,COLUMN())),OFFSET($BN$2,0,0,ROW()-1,60),ROW()-1,FALSE))</f>
        <v/>
      </c>
      <c r="BL69" t="str">
        <f ca="1">IF(AND(ISNUMBER($BL$320),$B$258=1),$BL$320,HLOOKUP(INDIRECT(ADDRESS(2,COLUMN())),OFFSET($BN$2,0,0,ROW()-1,60),ROW()-1,FALSE))</f>
        <v/>
      </c>
      <c r="BM69" t="str">
        <f ca="1">IF(AND(ISNUMBER($BM$320),$B$258=1),$BM$320,HLOOKUP(INDIRECT(ADDRESS(2,COLUMN())),OFFSET($BN$2,0,0,ROW()-1,60),ROW()-1,FALSE))</f>
        <v/>
      </c>
      <c r="BN69" t="str">
        <f>""</f>
        <v/>
      </c>
      <c r="BO69">
        <f>181.251</f>
        <v>181.251</v>
      </c>
      <c r="BP69">
        <f>154.681</f>
        <v>154.68100000000001</v>
      </c>
      <c r="BQ69">
        <f>141.147</f>
        <v>141.14699999999999</v>
      </c>
      <c r="BR69">
        <f>140.484</f>
        <v>140.48400000000001</v>
      </c>
      <c r="BS69">
        <f>100.602</f>
        <v>100.602</v>
      </c>
      <c r="BT69">
        <f>112.42</f>
        <v>112.42</v>
      </c>
      <c r="BU69">
        <f>101.973</f>
        <v>101.973</v>
      </c>
      <c r="BV69">
        <f>124.244</f>
        <v>124.244</v>
      </c>
      <c r="BW69">
        <f>115.241</f>
        <v>115.241</v>
      </c>
      <c r="BX69">
        <f>77.685</f>
        <v>77.685000000000002</v>
      </c>
      <c r="BY69">
        <f>63.354</f>
        <v>63.353999999999999</v>
      </c>
      <c r="BZ69">
        <f>78.784</f>
        <v>78.784000000000006</v>
      </c>
      <c r="CA69">
        <f>52.068349</f>
        <v>52.068348999999998</v>
      </c>
      <c r="CB69">
        <f>66.853</f>
        <v>66.852999999999994</v>
      </c>
      <c r="CC69">
        <f>36.527</f>
        <v>36.527000000000001</v>
      </c>
      <c r="CD69">
        <f>42.616</f>
        <v>42.616</v>
      </c>
      <c r="CE69">
        <f>45.473862</f>
        <v>45.473861999999997</v>
      </c>
      <c r="CF69">
        <f>49.543</f>
        <v>49.542999999999999</v>
      </c>
      <c r="CG69">
        <f>47.631</f>
        <v>47.631</v>
      </c>
      <c r="CH69">
        <f>49.482</f>
        <v>49.481999999999999</v>
      </c>
      <c r="CI69">
        <f>48.012314</f>
        <v>48.012314000000003</v>
      </c>
      <c r="CJ69">
        <f>45.831</f>
        <v>45.831000000000003</v>
      </c>
      <c r="CK69">
        <f>42.047</f>
        <v>42.046999999999997</v>
      </c>
      <c r="CL69">
        <f>30.639</f>
        <v>30.638999999999999</v>
      </c>
      <c r="CM69">
        <f>27.832031</f>
        <v>27.832031000000001</v>
      </c>
      <c r="CN69">
        <f>29.03</f>
        <v>29.03</v>
      </c>
      <c r="CO69">
        <f>26.376</f>
        <v>26.376000000000001</v>
      </c>
      <c r="CP69">
        <f>25.889</f>
        <v>25.888999999999999</v>
      </c>
      <c r="CQ69">
        <f>22.26112</f>
        <v>22.261119999999998</v>
      </c>
      <c r="CR69">
        <f>22.073</f>
        <v>22.073</v>
      </c>
      <c r="CS69">
        <f>20.582</f>
        <v>20.582000000000001</v>
      </c>
      <c r="CT69">
        <f>13.074</f>
        <v>13.074</v>
      </c>
      <c r="CU69">
        <f>25.296329</f>
        <v>25.296329</v>
      </c>
      <c r="CV69">
        <f>26.066</f>
        <v>26.065999999999999</v>
      </c>
      <c r="CW69">
        <f>23.142</f>
        <v>23.141999999999999</v>
      </c>
      <c r="CX69">
        <f>25.539</f>
        <v>25.539000000000001</v>
      </c>
      <c r="CY69">
        <f>19.099744</f>
        <v>19.099744000000001</v>
      </c>
      <c r="CZ69">
        <f>28.803</f>
        <v>28.803000000000001</v>
      </c>
      <c r="DA69">
        <f>26.671</f>
        <v>26.670999999999999</v>
      </c>
      <c r="DB69">
        <f>19.411</f>
        <v>19.411000000000001</v>
      </c>
      <c r="DC69">
        <f>20.384597</f>
        <v>20.384596999999999</v>
      </c>
      <c r="DD69">
        <f>18.833161</f>
        <v>18.833161</v>
      </c>
      <c r="DE69">
        <f>19.078578</f>
        <v>19.078578</v>
      </c>
      <c r="DF69">
        <f>10.996776</f>
        <v>10.996776000000001</v>
      </c>
      <c r="DG69">
        <f>14.096316</f>
        <v>14.096316</v>
      </c>
      <c r="DH69">
        <f>11.55593</f>
        <v>11.55593</v>
      </c>
      <c r="DI69">
        <f>8.795881</f>
        <v>8.7958809999999996</v>
      </c>
      <c r="DJ69">
        <f>8.85168</f>
        <v>8.85168</v>
      </c>
      <c r="DK69">
        <f>7.11152698</f>
        <v>7.1115269799999998</v>
      </c>
      <c r="DL69">
        <f>6.473768</f>
        <v>6.4737679999999997</v>
      </c>
      <c r="DM69">
        <f>6.222381771</f>
        <v>6.2223817710000002</v>
      </c>
      <c r="DN69">
        <f>5.145999968</f>
        <v>5.1459999679999999</v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>
      <c r="A70" t="str">
        <f>"    Omega Healthcare Investors Inc"</f>
        <v xml:space="preserve">    Omega Healthcare Investors Inc</v>
      </c>
      <c r="B70" t="str">
        <f>"OHI US Equity"</f>
        <v>OHI US Equity</v>
      </c>
      <c r="C70" t="str">
        <f t="shared" si="15"/>
        <v>RR009</v>
      </c>
      <c r="D70" t="str">
        <f t="shared" si="16"/>
        <v>EBITDA</v>
      </c>
      <c r="E70" t="str">
        <f t="shared" si="17"/>
        <v>动态</v>
      </c>
      <c r="F70" t="str">
        <f ca="1">IF(AND(ISNUMBER($F$321),$B$258=1),$F$321,HLOOKUP(INDIRECT(ADDRESS(2,COLUMN())),OFFSET($BN$2,0,0,ROW()-1,60),ROW()-1,FALSE))</f>
        <v/>
      </c>
      <c r="G70">
        <f ca="1">IF(AND(ISNUMBER($G$321),$B$258=1),$G$321,HLOOKUP(INDIRECT(ADDRESS(2,COLUMN())),OFFSET($BN$2,0,0,ROW()-1,60),ROW()-1,FALSE))</f>
        <v>144.52199999999999</v>
      </c>
      <c r="H70">
        <f ca="1">IF(AND(ISNUMBER($H$321),$B$258=1),$H$321,HLOOKUP(INDIRECT(ADDRESS(2,COLUMN())),OFFSET($BN$2,0,0,ROW()-1,60),ROW()-1,FALSE))</f>
        <v>-16.317</v>
      </c>
      <c r="I70">
        <f ca="1">IF(AND(ISNUMBER($I$321),$B$258=1),$I$321,HLOOKUP(INDIRECT(ADDRESS(2,COLUMN())),OFFSET($BN$2,0,0,ROW()-1,60),ROW()-1,FALSE))</f>
        <v>211.429</v>
      </c>
      <c r="J70">
        <f ca="1">IF(AND(ISNUMBER($J$321),$B$258=1),$J$321,HLOOKUP(INDIRECT(ADDRESS(2,COLUMN())),OFFSET($BN$2,0,0,ROW()-1,60),ROW()-1,FALSE))</f>
        <v>209.21899999999999</v>
      </c>
      <c r="K70">
        <f ca="1">IF(AND(ISNUMBER($K$321),$B$258=1),$K$321,HLOOKUP(INDIRECT(ADDRESS(2,COLUMN())),OFFSET($BN$2,0,0,ROW()-1,60),ROW()-1,FALSE))</f>
        <v>217.458</v>
      </c>
      <c r="L70">
        <f ca="1">IF(AND(ISNUMBER($L$321),$B$258=1),$L$321,HLOOKUP(INDIRECT(ADDRESS(2,COLUMN())),OFFSET($BN$2,0,0,ROW()-1,60),ROW()-1,FALSE))</f>
        <v>192.62899999999999</v>
      </c>
      <c r="M70">
        <f ca="1">IF(AND(ISNUMBER($M$321),$B$258=1),$M$321,HLOOKUP(INDIRECT(ADDRESS(2,COLUMN())),OFFSET($BN$2,0,0,ROW()-1,60),ROW()-1,FALSE))</f>
        <v>207.749</v>
      </c>
      <c r="N70">
        <f ca="1">IF(AND(ISNUMBER($N$321),$B$258=1),$N$321,HLOOKUP(INDIRECT(ADDRESS(2,COLUMN())),OFFSET($BN$2,0,0,ROW()-1,60),ROW()-1,FALSE))</f>
        <v>158.971</v>
      </c>
      <c r="O70">
        <f ca="1">IF(AND(ISNUMBER($O$321),$B$258=1),$O$321,HLOOKUP(INDIRECT(ADDRESS(2,COLUMN())),OFFSET($BN$2,0,0,ROW()-1,60),ROW()-1,FALSE))</f>
        <v>185.78899999999999</v>
      </c>
      <c r="P70">
        <f ca="1">IF(AND(ISNUMBER($P$321),$B$258=1),$P$321,HLOOKUP(INDIRECT(ADDRESS(2,COLUMN())),OFFSET($BN$2,0,0,ROW()-1,60),ROW()-1,FALSE))</f>
        <v>186.215</v>
      </c>
      <c r="Q70">
        <f ca="1">IF(AND(ISNUMBER($Q$321),$B$258=1),$Q$321,HLOOKUP(INDIRECT(ADDRESS(2,COLUMN())),OFFSET($BN$2,0,0,ROW()-1,60),ROW()-1,FALSE))</f>
        <v>133.41</v>
      </c>
      <c r="R70">
        <f ca="1">IF(AND(ISNUMBER($R$321),$B$258=1),$R$321,HLOOKUP(INDIRECT(ADDRESS(2,COLUMN())),OFFSET($BN$2,0,0,ROW()-1,60),ROW()-1,FALSE))</f>
        <v>116.55800000000001</v>
      </c>
      <c r="S70">
        <f ca="1">IF(AND(ISNUMBER($S$321),$B$258=1),$S$321,HLOOKUP(INDIRECT(ADDRESS(2,COLUMN())),OFFSET($BN$2,0,0,ROW()-1,60),ROW()-1,FALSE))</f>
        <v>120.672</v>
      </c>
      <c r="T70">
        <f ca="1">IF(AND(ISNUMBER($T$321),$B$258=1),$T$321,HLOOKUP(INDIRECT(ADDRESS(2,COLUMN())),OFFSET($BN$2,0,0,ROW()-1,60),ROW()-1,FALSE))</f>
        <v>122.33199999999999</v>
      </c>
      <c r="U70">
        <f ca="1">IF(AND(ISNUMBER($U$321),$B$258=1),$U$321,HLOOKUP(INDIRECT(ADDRESS(2,COLUMN())),OFFSET($BN$2,0,0,ROW()-1,60),ROW()-1,FALSE))</f>
        <v>111.139</v>
      </c>
      <c r="V70">
        <f ca="1">IF(AND(ISNUMBER($V$321),$B$258=1),$V$321,HLOOKUP(INDIRECT(ADDRESS(2,COLUMN())),OFFSET($BN$2,0,0,ROW()-1,60),ROW()-1,FALSE))</f>
        <v>114.425</v>
      </c>
      <c r="W70">
        <f ca="1">IF(AND(ISNUMBER($W$321),$B$258=1),$W$321,HLOOKUP(INDIRECT(ADDRESS(2,COLUMN())),OFFSET($BN$2,0,0,ROW()-1,60),ROW()-1,FALSE))</f>
        <v>105.41</v>
      </c>
      <c r="X70">
        <f ca="1">IF(AND(ISNUMBER($X$321),$B$258=1),$X$321,HLOOKUP(INDIRECT(ADDRESS(2,COLUMN())),OFFSET($BN$2,0,0,ROW()-1,60),ROW()-1,FALSE))</f>
        <v>95.527000000000001</v>
      </c>
      <c r="Y70">
        <f ca="1">IF(AND(ISNUMBER($Y$321),$B$258=1),$Y$321,HLOOKUP(INDIRECT(ADDRESS(2,COLUMN())),OFFSET($BN$2,0,0,ROW()-1,60),ROW()-1,FALSE))</f>
        <v>96.957999999999998</v>
      </c>
      <c r="Z70">
        <f ca="1">IF(AND(ISNUMBER($Z$321),$B$258=1),$Z$321,HLOOKUP(INDIRECT(ADDRESS(2,COLUMN())),OFFSET($BN$2,0,0,ROW()-1,60),ROW()-1,FALSE))</f>
        <v>96.43</v>
      </c>
      <c r="AA70">
        <f ca="1">IF(AND(ISNUMBER($AA$321),$B$258=1),$AA$321,HLOOKUP(INDIRECT(ADDRESS(2,COLUMN())),OFFSET($BN$2,0,0,ROW()-1,60),ROW()-1,FALSE))</f>
        <v>89.111999999999995</v>
      </c>
      <c r="AB70">
        <f ca="1">IF(AND(ISNUMBER($AB$321),$B$258=1),$AB$321,HLOOKUP(INDIRECT(ADDRESS(2,COLUMN())),OFFSET($BN$2,0,0,ROW()-1,60),ROW()-1,FALSE))</f>
        <v>81.451999999999998</v>
      </c>
      <c r="AC70">
        <f ca="1">IF(AND(ISNUMBER($AC$321),$B$258=1),$AC$321,HLOOKUP(INDIRECT(ADDRESS(2,COLUMN())),OFFSET($BN$2,0,0,ROW()-1,60),ROW()-1,FALSE))</f>
        <v>78.772999999999996</v>
      </c>
      <c r="AD70">
        <f ca="1">IF(AND(ISNUMBER($AD$321),$B$258=1),$AD$321,HLOOKUP(INDIRECT(ADDRESS(2,COLUMN())),OFFSET($BN$2,0,0,ROW()-1,60),ROW()-1,FALSE))</f>
        <v>78.611999999999995</v>
      </c>
      <c r="AE70">
        <f ca="1">IF(AND(ISNUMBER($AE$321),$B$258=1),$AE$321,HLOOKUP(INDIRECT(ADDRESS(2,COLUMN())),OFFSET($BN$2,0,0,ROW()-1,60),ROW()-1,FALSE))</f>
        <v>66.539000000000001</v>
      </c>
      <c r="AF70">
        <f ca="1">IF(AND(ISNUMBER($AF$321),$B$258=1),$AF$321,HLOOKUP(INDIRECT(ADDRESS(2,COLUMN())),OFFSET($BN$2,0,0,ROW()-1,60),ROW()-1,FALSE))</f>
        <v>68.277000000000001</v>
      </c>
      <c r="AG70">
        <f ca="1">IF(AND(ISNUMBER($AG$321),$B$258=1),$AG$321,HLOOKUP(INDIRECT(ADDRESS(2,COLUMN())),OFFSET($BN$2,0,0,ROW()-1,60),ROW()-1,FALSE))</f>
        <v>63.311999999999998</v>
      </c>
      <c r="AH70">
        <f ca="1">IF(AND(ISNUMBER($AH$321),$B$258=1),$AH$321,HLOOKUP(INDIRECT(ADDRESS(2,COLUMN())),OFFSET($BN$2,0,0,ROW()-1,60),ROW()-1,FALSE))</f>
        <v>40.003999999999998</v>
      </c>
      <c r="AI70">
        <f ca="1">IF(AND(ISNUMBER($AI$321),$B$258=1),$AI$321,HLOOKUP(INDIRECT(ADDRESS(2,COLUMN())),OFFSET($BN$2,0,0,ROW()-1,60),ROW()-1,FALSE))</f>
        <v>67.605000000000004</v>
      </c>
      <c r="AJ70">
        <f ca="1">IF(AND(ISNUMBER($AJ$321),$B$258=1),$AJ$321,HLOOKUP(INDIRECT(ADDRESS(2,COLUMN())),OFFSET($BN$2,0,0,ROW()-1,60),ROW()-1,FALSE))</f>
        <v>64.790000000000006</v>
      </c>
      <c r="AK70">
        <f ca="1">IF(AND(ISNUMBER($AK$321),$B$258=1),$AK$321,HLOOKUP(INDIRECT(ADDRESS(2,COLUMN())),OFFSET($BN$2,0,0,ROW()-1,60),ROW()-1,FALSE))</f>
        <v>50.988999999999997</v>
      </c>
      <c r="AL70">
        <f ca="1">IF(AND(ISNUMBER($AL$321),$B$258=1),$AL$321,HLOOKUP(INDIRECT(ADDRESS(2,COLUMN())),OFFSET($BN$2,0,0,ROW()-1,60),ROW()-1,FALSE))</f>
        <v>50.176000000000002</v>
      </c>
      <c r="AM70">
        <f ca="1">IF(AND(ISNUMBER($AM$321),$B$258=1),$AM$321,HLOOKUP(INDIRECT(ADDRESS(2,COLUMN())),OFFSET($BN$2,0,0,ROW()-1,60),ROW()-1,FALSE))</f>
        <v>37.343000000000004</v>
      </c>
      <c r="AN70">
        <f ca="1">IF(AND(ISNUMBER($AN$321),$B$258=1),$AN$321,HLOOKUP(INDIRECT(ADDRESS(2,COLUMN())),OFFSET($BN$2,0,0,ROW()-1,60),ROW()-1,FALSE))</f>
        <v>42.09</v>
      </c>
      <c r="AO70">
        <f ca="1">IF(AND(ISNUMBER($AO$321),$B$258=1),$AO$321,HLOOKUP(INDIRECT(ADDRESS(2,COLUMN())),OFFSET($BN$2,0,0,ROW()-1,60),ROW()-1,FALSE))</f>
        <v>40.567999999999998</v>
      </c>
      <c r="AP70">
        <f ca="1">IF(AND(ISNUMBER($AP$321),$B$258=1),$AP$321,HLOOKUP(INDIRECT(ADDRESS(2,COLUMN())),OFFSET($BN$2,0,0,ROW()-1,60),ROW()-1,FALSE))</f>
        <v>40.578000000000003</v>
      </c>
      <c r="AQ70">
        <f ca="1">IF(AND(ISNUMBER($AQ$321),$B$258=1),$AQ$321,HLOOKUP(INDIRECT(ADDRESS(2,COLUMN())),OFFSET($BN$2,0,0,ROW()-1,60),ROW()-1,FALSE))</f>
        <v>39.703000000000003</v>
      </c>
      <c r="AR70">
        <f ca="1">IF(AND(ISNUMBER($AR$321),$B$258=1),$AR$321,HLOOKUP(INDIRECT(ADDRESS(2,COLUMN())),OFFSET($BN$2,0,0,ROW()-1,60),ROW()-1,FALSE))</f>
        <v>36.241</v>
      </c>
      <c r="AS70">
        <f ca="1">IF(AND(ISNUMBER($AS$321),$B$258=1),$AS$321,HLOOKUP(INDIRECT(ADDRESS(2,COLUMN())),OFFSET($BN$2,0,0,ROW()-1,60),ROW()-1,FALSE))</f>
        <v>36.496000000000002</v>
      </c>
      <c r="AT70">
        <f ca="1">IF(AND(ISNUMBER($AT$321),$B$258=1),$AT$321,HLOOKUP(INDIRECT(ADDRESS(2,COLUMN())),OFFSET($BN$2,0,0,ROW()-1,60),ROW()-1,FALSE))</f>
        <v>37.837000000000003</v>
      </c>
      <c r="AU70">
        <f ca="1">IF(AND(ISNUMBER($AU$321),$B$258=1),$AU$321,HLOOKUP(INDIRECT(ADDRESS(2,COLUMN())),OFFSET($BN$2,0,0,ROW()-1,60),ROW()-1,FALSE))</f>
        <v>38.136000000000003</v>
      </c>
      <c r="AV70">
        <f ca="1">IF(AND(ISNUMBER($AV$321),$B$258=1),$AV$321,HLOOKUP(INDIRECT(ADDRESS(2,COLUMN())),OFFSET($BN$2,0,0,ROW()-1,60),ROW()-1,FALSE))</f>
        <v>36.524999999999999</v>
      </c>
      <c r="AW70">
        <f ca="1">IF(AND(ISNUMBER($AW$321),$B$258=1),$AW$321,HLOOKUP(INDIRECT(ADDRESS(2,COLUMN())),OFFSET($BN$2,0,0,ROW()-1,60),ROW()-1,FALSE))</f>
        <v>35.362000000000002</v>
      </c>
      <c r="AX70">
        <f ca="1">IF(AND(ISNUMBER($AX$321),$B$258=1),$AX$321,HLOOKUP(INDIRECT(ADDRESS(2,COLUMN())),OFFSET($BN$2,0,0,ROW()-1,60),ROW()-1,FALSE))</f>
        <v>40.100999999999999</v>
      </c>
      <c r="AY70">
        <f ca="1">IF(AND(ISNUMBER($AY$321),$B$258=1),$AY$321,HLOOKUP(INDIRECT(ADDRESS(2,COLUMN())),OFFSET($BN$2,0,0,ROW()-1,60),ROW()-1,FALSE))</f>
        <v>46.219000000000001</v>
      </c>
      <c r="AZ70">
        <f ca="1">IF(AND(ISNUMBER($AZ$321),$B$258=1),$AZ$321,HLOOKUP(INDIRECT(ADDRESS(2,COLUMN())),OFFSET($BN$2,0,0,ROW()-1,60),ROW()-1,FALSE))</f>
        <v>19.975999999999999</v>
      </c>
      <c r="BA70">
        <f ca="1">IF(AND(ISNUMBER($BA$321),$B$258=1),$BA$321,HLOOKUP(INDIRECT(ADDRESS(2,COLUMN())),OFFSET($BN$2,0,0,ROW()-1,60),ROW()-1,FALSE))</f>
        <v>30.100999999999999</v>
      </c>
      <c r="BB70">
        <f ca="1">IF(AND(ISNUMBER($BB$321),$B$258=1),$BB$321,HLOOKUP(INDIRECT(ADDRESS(2,COLUMN())),OFFSET($BN$2,0,0,ROW()-1,60),ROW()-1,FALSE))</f>
        <v>29.873000000000001</v>
      </c>
      <c r="BC70">
        <f ca="1">IF(AND(ISNUMBER($BC$321),$B$258=1),$BC$321,HLOOKUP(INDIRECT(ADDRESS(2,COLUMN())),OFFSET($BN$2,0,0,ROW()-1,60),ROW()-1,FALSE))</f>
        <v>28.808</v>
      </c>
      <c r="BD70">
        <f ca="1">IF(AND(ISNUMBER($BD$321),$B$258=1),$BD$321,HLOOKUP(INDIRECT(ADDRESS(2,COLUMN())),OFFSET($BN$2,0,0,ROW()-1,60),ROW()-1,FALSE))</f>
        <v>25.111999999999998</v>
      </c>
      <c r="BE70">
        <f ca="1">IF(AND(ISNUMBER($BE$321),$B$258=1),$BE$321,HLOOKUP(INDIRECT(ADDRESS(2,COLUMN())),OFFSET($BN$2,0,0,ROW()-1,60),ROW()-1,FALSE))</f>
        <v>23.135000000000002</v>
      </c>
      <c r="BF70">
        <f ca="1">IF(AND(ISNUMBER($BF$321),$B$258=1),$BF$321,HLOOKUP(INDIRECT(ADDRESS(2,COLUMN())),OFFSET($BN$2,0,0,ROW()-1,60),ROW()-1,FALSE))</f>
        <v>25.61</v>
      </c>
      <c r="BG70">
        <f ca="1">IF(AND(ISNUMBER($BG$321),$B$258=1),$BG$321,HLOOKUP(INDIRECT(ADDRESS(2,COLUMN())),OFFSET($BN$2,0,0,ROW()-1,60),ROW()-1,FALSE))</f>
        <v>17.814</v>
      </c>
      <c r="BH70">
        <f ca="1">IF(AND(ISNUMBER($BH$321),$B$258=1),$BH$321,HLOOKUP(INDIRECT(ADDRESS(2,COLUMN())),OFFSET($BN$2,0,0,ROW()-1,60),ROW()-1,FALSE))</f>
        <v>20.637000560000001</v>
      </c>
      <c r="BI70">
        <f ca="1">IF(AND(ISNUMBER($BI$321),$B$258=1),$BI$321,HLOOKUP(INDIRECT(ADDRESS(2,COLUMN())),OFFSET($BN$2,0,0,ROW()-1,60),ROW()-1,FALSE))</f>
        <v>20.30499983</v>
      </c>
      <c r="BJ70">
        <f ca="1">IF(AND(ISNUMBER($BJ$321),$B$258=1),$BJ$321,HLOOKUP(INDIRECT(ADDRESS(2,COLUMN())),OFFSET($BN$2,0,0,ROW()-1,60),ROW()-1,FALSE))</f>
        <v>19.633000370000001</v>
      </c>
      <c r="BK70">
        <f ca="1">IF(AND(ISNUMBER($BK$321),$B$258=1),$BK$321,HLOOKUP(INDIRECT(ADDRESS(2,COLUMN())),OFFSET($BN$2,0,0,ROW()-1,60),ROW()-1,FALSE))</f>
        <v>19.122</v>
      </c>
      <c r="BL70">
        <f ca="1">IF(AND(ISNUMBER($BL$321),$B$258=1),$BL$321,HLOOKUP(INDIRECT(ADDRESS(2,COLUMN())),OFFSET($BN$2,0,0,ROW()-1,60),ROW()-1,FALSE))</f>
        <v>25.179999349999999</v>
      </c>
      <c r="BM70">
        <f ca="1">IF(AND(ISNUMBER($BM$321),$B$258=1),$BM$321,HLOOKUP(INDIRECT(ADDRESS(2,COLUMN())),OFFSET($BN$2,0,0,ROW()-1,60),ROW()-1,FALSE))</f>
        <v>18.277999879999999</v>
      </c>
      <c r="BN70" t="str">
        <f>""</f>
        <v/>
      </c>
      <c r="BO70">
        <f>144.522</f>
        <v>144.52199999999999</v>
      </c>
      <c r="BP70">
        <f>-16.317</f>
        <v>-16.317</v>
      </c>
      <c r="BQ70">
        <f>211.429</f>
        <v>211.429</v>
      </c>
      <c r="BR70">
        <f>209.219</f>
        <v>209.21899999999999</v>
      </c>
      <c r="BS70">
        <f>217.458</f>
        <v>217.458</v>
      </c>
      <c r="BT70">
        <f>192.629</f>
        <v>192.62899999999999</v>
      </c>
      <c r="BU70">
        <f>207.749</f>
        <v>207.749</v>
      </c>
      <c r="BV70">
        <f>158.971</f>
        <v>158.971</v>
      </c>
      <c r="BW70">
        <f>185.789</f>
        <v>185.78899999999999</v>
      </c>
      <c r="BX70">
        <f>186.215</f>
        <v>186.215</v>
      </c>
      <c r="BY70">
        <f>133.41</f>
        <v>133.41</v>
      </c>
      <c r="BZ70">
        <f>116.558</f>
        <v>116.55800000000001</v>
      </c>
      <c r="CA70">
        <f>120.672</f>
        <v>120.672</v>
      </c>
      <c r="CB70">
        <f>122.332</f>
        <v>122.33199999999999</v>
      </c>
      <c r="CC70">
        <f>111.139</f>
        <v>111.139</v>
      </c>
      <c r="CD70">
        <f>114.425</f>
        <v>114.425</v>
      </c>
      <c r="CE70">
        <f>105.41</f>
        <v>105.41</v>
      </c>
      <c r="CF70">
        <f>95.527</f>
        <v>95.527000000000001</v>
      </c>
      <c r="CG70">
        <f>96.958</f>
        <v>96.957999999999998</v>
      </c>
      <c r="CH70">
        <f>96.43</f>
        <v>96.43</v>
      </c>
      <c r="CI70">
        <f>89.112</f>
        <v>89.111999999999995</v>
      </c>
      <c r="CJ70">
        <f>81.452</f>
        <v>81.451999999999998</v>
      </c>
      <c r="CK70">
        <f>78.773</f>
        <v>78.772999999999996</v>
      </c>
      <c r="CL70">
        <f>78.612</f>
        <v>78.611999999999995</v>
      </c>
      <c r="CM70">
        <f>66.539</f>
        <v>66.539000000000001</v>
      </c>
      <c r="CN70">
        <f>68.277</f>
        <v>68.277000000000001</v>
      </c>
      <c r="CO70">
        <f>63.312</f>
        <v>63.311999999999998</v>
      </c>
      <c r="CP70">
        <f>40.004</f>
        <v>40.003999999999998</v>
      </c>
      <c r="CQ70">
        <f>67.605</f>
        <v>67.605000000000004</v>
      </c>
      <c r="CR70">
        <f>64.79</f>
        <v>64.790000000000006</v>
      </c>
      <c r="CS70">
        <f>50.989</f>
        <v>50.988999999999997</v>
      </c>
      <c r="CT70">
        <f>50.176</f>
        <v>50.176000000000002</v>
      </c>
      <c r="CU70">
        <f>37.343</f>
        <v>37.343000000000004</v>
      </c>
      <c r="CV70">
        <f>42.09</f>
        <v>42.09</v>
      </c>
      <c r="CW70">
        <f>40.568</f>
        <v>40.567999999999998</v>
      </c>
      <c r="CX70">
        <f>40.578</f>
        <v>40.578000000000003</v>
      </c>
      <c r="CY70">
        <f>39.703</f>
        <v>39.703000000000003</v>
      </c>
      <c r="CZ70">
        <f>36.241</f>
        <v>36.241</v>
      </c>
      <c r="DA70">
        <f>36.496</f>
        <v>36.496000000000002</v>
      </c>
      <c r="DB70">
        <f>37.837</f>
        <v>37.837000000000003</v>
      </c>
      <c r="DC70">
        <f>38.136</f>
        <v>38.136000000000003</v>
      </c>
      <c r="DD70">
        <f>36.525</f>
        <v>36.524999999999999</v>
      </c>
      <c r="DE70">
        <f>35.362</f>
        <v>35.362000000000002</v>
      </c>
      <c r="DF70">
        <f>40.101</f>
        <v>40.100999999999999</v>
      </c>
      <c r="DG70">
        <f>46.219</f>
        <v>46.219000000000001</v>
      </c>
      <c r="DH70">
        <f>19.976</f>
        <v>19.975999999999999</v>
      </c>
      <c r="DI70">
        <f>30.101</f>
        <v>30.100999999999999</v>
      </c>
      <c r="DJ70">
        <f>29.873</f>
        <v>29.873000000000001</v>
      </c>
      <c r="DK70">
        <f>28.808</f>
        <v>28.808</v>
      </c>
      <c r="DL70">
        <f>25.112</f>
        <v>25.111999999999998</v>
      </c>
      <c r="DM70">
        <f>23.135</f>
        <v>23.135000000000002</v>
      </c>
      <c r="DN70">
        <f>25.61</f>
        <v>25.61</v>
      </c>
      <c r="DO70">
        <f>17.814</f>
        <v>17.814</v>
      </c>
      <c r="DP70">
        <f>20.63700056</f>
        <v>20.637000560000001</v>
      </c>
      <c r="DQ70">
        <f>20.30499983</f>
        <v>20.30499983</v>
      </c>
      <c r="DR70">
        <f>19.63300037</f>
        <v>19.633000370000001</v>
      </c>
      <c r="DS70">
        <f>19.122</f>
        <v>19.122</v>
      </c>
      <c r="DT70">
        <f>25.17999935</f>
        <v>25.179999349999999</v>
      </c>
      <c r="DU70">
        <f>18.27799988</f>
        <v>18.277999879999999</v>
      </c>
    </row>
    <row r="71" spans="1:125">
      <c r="A71" t="str">
        <f>"    Sabra Health Care REIT Inc"</f>
        <v xml:space="preserve">    Sabra Health Care REIT Inc</v>
      </c>
      <c r="B71" t="str">
        <f>"SBRA US Equity"</f>
        <v>SBRA US Equity</v>
      </c>
      <c r="C71" t="str">
        <f t="shared" si="15"/>
        <v>RR009</v>
      </c>
      <c r="D71" t="str">
        <f t="shared" si="16"/>
        <v>EBITDA</v>
      </c>
      <c r="E71" t="str">
        <f t="shared" si="17"/>
        <v>动态</v>
      </c>
      <c r="F71" t="str">
        <f ca="1">IF(AND(ISNUMBER($F$322),$B$258=1),$F$322,HLOOKUP(INDIRECT(ADDRESS(2,COLUMN())),OFFSET($BN$2,0,0,ROW()-1,60),ROW()-1,FALSE))</f>
        <v/>
      </c>
      <c r="G71">
        <f ca="1">IF(AND(ISNUMBER($G$322),$B$258=1),$G$322,HLOOKUP(INDIRECT(ADDRESS(2,COLUMN())),OFFSET($BN$2,0,0,ROW()-1,60),ROW()-1,FALSE))</f>
        <v>140.809</v>
      </c>
      <c r="H71">
        <f ca="1">IF(AND(ISNUMBER($H$322),$B$258=1),$H$322,HLOOKUP(INDIRECT(ADDRESS(2,COLUMN())),OFFSET($BN$2,0,0,ROW()-1,60),ROW()-1,FALSE))</f>
        <v>65.295000000000002</v>
      </c>
      <c r="I71">
        <f ca="1">IF(AND(ISNUMBER($I$322),$B$258=1),$I$322,HLOOKUP(INDIRECT(ADDRESS(2,COLUMN())),OFFSET($BN$2,0,0,ROW()-1,60),ROW()-1,FALSE))</f>
        <v>48.645000000000003</v>
      </c>
      <c r="J71">
        <f ca="1">IF(AND(ISNUMBER($J$322),$B$258=1),$J$322,HLOOKUP(INDIRECT(ADDRESS(2,COLUMN())),OFFSET($BN$2,0,0,ROW()-1,60),ROW()-1,FALSE))</f>
        <v>51.587000000000003</v>
      </c>
      <c r="K71">
        <f ca="1">IF(AND(ISNUMBER($K$322),$B$258=1),$K$322,HLOOKUP(INDIRECT(ADDRESS(2,COLUMN())),OFFSET($BN$2,0,0,ROW()-1,60),ROW()-1,FALSE))</f>
        <v>53.69</v>
      </c>
      <c r="L71">
        <f ca="1">IF(AND(ISNUMBER($L$322),$B$258=1),$L$322,HLOOKUP(INDIRECT(ADDRESS(2,COLUMN())),OFFSET($BN$2,0,0,ROW()-1,60),ROW()-1,FALSE))</f>
        <v>53.811999999999998</v>
      </c>
      <c r="M71">
        <f ca="1">IF(AND(ISNUMBER($M$322),$B$258=1),$M$322,HLOOKUP(INDIRECT(ADDRESS(2,COLUMN())),OFFSET($BN$2,0,0,ROW()-1,60),ROW()-1,FALSE))</f>
        <v>67.95</v>
      </c>
      <c r="N71">
        <f ca="1">IF(AND(ISNUMBER($N$322),$B$258=1),$N$322,HLOOKUP(INDIRECT(ADDRESS(2,COLUMN())),OFFSET($BN$2,0,0,ROW()-1,60),ROW()-1,FALSE))</f>
        <v>24.099</v>
      </c>
      <c r="O71">
        <f ca="1">IF(AND(ISNUMBER($O$322),$B$258=1),$O$322,HLOOKUP(INDIRECT(ADDRESS(2,COLUMN())),OFFSET($BN$2,0,0,ROW()-1,60),ROW()-1,FALSE))</f>
        <v>54.805999999999997</v>
      </c>
      <c r="P71">
        <f ca="1">IF(AND(ISNUMBER($P$322),$B$258=1),$P$322,HLOOKUP(INDIRECT(ADDRESS(2,COLUMN())),OFFSET($BN$2,0,0,ROW()-1,60),ROW()-1,FALSE))</f>
        <v>53.454000000000001</v>
      </c>
      <c r="Q71">
        <f ca="1">IF(AND(ISNUMBER($Q$322),$B$258=1),$Q$322,HLOOKUP(INDIRECT(ADDRESS(2,COLUMN())),OFFSET($BN$2,0,0,ROW()-1,60),ROW()-1,FALSE))</f>
        <v>43.752000000000002</v>
      </c>
      <c r="R71">
        <f ca="1">IF(AND(ISNUMBER($R$322),$B$258=1),$R$322,HLOOKUP(INDIRECT(ADDRESS(2,COLUMN())),OFFSET($BN$2,0,0,ROW()-1,60),ROW()-1,FALSE))</f>
        <v>47.569000000000003</v>
      </c>
      <c r="S71">
        <f ca="1">IF(AND(ISNUMBER($S$322),$B$258=1),$S$322,HLOOKUP(INDIRECT(ADDRESS(2,COLUMN())),OFFSET($BN$2,0,0,ROW()-1,60),ROW()-1,FALSE))</f>
        <v>46.377000000000002</v>
      </c>
      <c r="T71">
        <f ca="1">IF(AND(ISNUMBER($T$322),$B$258=1),$T$322,HLOOKUP(INDIRECT(ADDRESS(2,COLUMN())),OFFSET($BN$2,0,0,ROW()-1,60),ROW()-1,FALSE))</f>
        <v>37.758000000000003</v>
      </c>
      <c r="U71">
        <f ca="1">IF(AND(ISNUMBER($U$322),$B$258=1),$U$322,HLOOKUP(INDIRECT(ADDRESS(2,COLUMN())),OFFSET($BN$2,0,0,ROW()-1,60),ROW()-1,FALSE))</f>
        <v>35.046999999999997</v>
      </c>
      <c r="V71">
        <f ca="1">IF(AND(ISNUMBER($V$322),$B$258=1),$V$322,HLOOKUP(INDIRECT(ADDRESS(2,COLUMN())),OFFSET($BN$2,0,0,ROW()-1,60),ROW()-1,FALSE))</f>
        <v>34.997</v>
      </c>
      <c r="W71">
        <f ca="1">IF(AND(ISNUMBER($W$322),$B$258=1),$W$322,HLOOKUP(INDIRECT(ADDRESS(2,COLUMN())),OFFSET($BN$2,0,0,ROW()-1,60),ROW()-1,FALSE))</f>
        <v>32.33</v>
      </c>
      <c r="X71">
        <f ca="1">IF(AND(ISNUMBER($X$322),$B$258=1),$X$322,HLOOKUP(INDIRECT(ADDRESS(2,COLUMN())),OFFSET($BN$2,0,0,ROW()-1,60),ROW()-1,FALSE))</f>
        <v>29.869</v>
      </c>
      <c r="Y71">
        <f ca="1">IF(AND(ISNUMBER($Y$322),$B$258=1),$Y$322,HLOOKUP(INDIRECT(ADDRESS(2,COLUMN())),OFFSET($BN$2,0,0,ROW()-1,60),ROW()-1,FALSE))</f>
        <v>28.853000000000002</v>
      </c>
      <c r="Z71">
        <f ca="1">IF(AND(ISNUMBER($Z$322),$B$258=1),$Z$322,HLOOKUP(INDIRECT(ADDRESS(2,COLUMN())),OFFSET($BN$2,0,0,ROW()-1,60),ROW()-1,FALSE))</f>
        <v>27.305</v>
      </c>
      <c r="AA71">
        <f ca="1">IF(AND(ISNUMBER($AA$322),$B$258=1),$AA$322,HLOOKUP(INDIRECT(ADDRESS(2,COLUMN())),OFFSET($BN$2,0,0,ROW()-1,60),ROW()-1,FALSE))</f>
        <v>21.291</v>
      </c>
      <c r="AB71">
        <f ca="1">IF(AND(ISNUMBER($AB$322),$B$258=1),$AB$322,HLOOKUP(INDIRECT(ADDRESS(2,COLUMN())),OFFSET($BN$2,0,0,ROW()-1,60),ROW()-1,FALSE))</f>
        <v>22.26</v>
      </c>
      <c r="AC71">
        <f ca="1">IF(AND(ISNUMBER($AC$322),$B$258=1),$AC$322,HLOOKUP(INDIRECT(ADDRESS(2,COLUMN())),OFFSET($BN$2,0,0,ROW()-1,60),ROW()-1,FALSE))</f>
        <v>21.628</v>
      </c>
      <c r="AD71">
        <f ca="1">IF(AND(ISNUMBER($AD$322),$B$258=1),$AD$322,HLOOKUP(INDIRECT(ADDRESS(2,COLUMN())),OFFSET($BN$2,0,0,ROW()-1,60),ROW()-1,FALSE))</f>
        <v>19.405999999999999</v>
      </c>
      <c r="AE71">
        <f ca="1">IF(AND(ISNUMBER($AE$322),$B$258=1),$AE$322,HLOOKUP(INDIRECT(ADDRESS(2,COLUMN())),OFFSET($BN$2,0,0,ROW()-1,60),ROW()-1,FALSE))</f>
        <v>22.119</v>
      </c>
      <c r="AF71">
        <f ca="1">IF(AND(ISNUMBER($AF$322),$B$258=1),$AF$322,HLOOKUP(INDIRECT(ADDRESS(2,COLUMN())),OFFSET($BN$2,0,0,ROW()-1,60),ROW()-1,FALSE))</f>
        <v>16.818000000000001</v>
      </c>
      <c r="AG71">
        <f ca="1">IF(AND(ISNUMBER($AG$322),$B$258=1),$AG$322,HLOOKUP(INDIRECT(ADDRESS(2,COLUMN())),OFFSET($BN$2,0,0,ROW()-1,60),ROW()-1,FALSE))</f>
        <v>15.882999999999999</v>
      </c>
      <c r="AH71">
        <f ca="1">IF(AND(ISNUMBER($AH$322),$B$258=1),$AH$322,HLOOKUP(INDIRECT(ADDRESS(2,COLUMN())),OFFSET($BN$2,0,0,ROW()-1,60),ROW()-1,FALSE))</f>
        <v>14.930999999999999</v>
      </c>
      <c r="AI71" t="str">
        <f ca="1">IF(AND(ISNUMBER($AI$322),$B$258=1),$AI$322,HLOOKUP(INDIRECT(ADDRESS(2,COLUMN())),OFFSET($BN$2,0,0,ROW()-1,60),ROW()-1,FALSE))</f>
        <v/>
      </c>
      <c r="AJ71" t="str">
        <f ca="1">IF(AND(ISNUMBER($AJ$322),$B$258=1),$AJ$322,HLOOKUP(INDIRECT(ADDRESS(2,COLUMN())),OFFSET($BN$2,0,0,ROW()-1,60),ROW()-1,FALSE))</f>
        <v/>
      </c>
      <c r="AK71" t="str">
        <f ca="1">IF(AND(ISNUMBER($AK$322),$B$258=1),$AK$322,HLOOKUP(INDIRECT(ADDRESS(2,COLUMN())),OFFSET($BN$2,0,0,ROW()-1,60),ROW()-1,FALSE))</f>
        <v/>
      </c>
      <c r="AL71" t="str">
        <f ca="1">IF(AND(ISNUMBER($AL$322),$B$258=1),$AL$322,HLOOKUP(INDIRECT(ADDRESS(2,COLUMN())),OFFSET($BN$2,0,0,ROW()-1,60),ROW()-1,FALSE))</f>
        <v/>
      </c>
      <c r="AM71" t="str">
        <f ca="1">IF(AND(ISNUMBER($AM$322),$B$258=1),$AM$322,HLOOKUP(INDIRECT(ADDRESS(2,COLUMN())),OFFSET($BN$2,0,0,ROW()-1,60),ROW()-1,FALSE))</f>
        <v/>
      </c>
      <c r="AN71" t="str">
        <f ca="1">IF(AND(ISNUMBER($AN$322),$B$258=1),$AN$322,HLOOKUP(INDIRECT(ADDRESS(2,COLUMN())),OFFSET($BN$2,0,0,ROW()-1,60),ROW()-1,FALSE))</f>
        <v/>
      </c>
      <c r="AO71" t="str">
        <f ca="1">IF(AND(ISNUMBER($AO$322),$B$258=1),$AO$322,HLOOKUP(INDIRECT(ADDRESS(2,COLUMN())),OFFSET($BN$2,0,0,ROW()-1,60),ROW()-1,FALSE))</f>
        <v/>
      </c>
      <c r="AP71" t="str">
        <f ca="1">IF(AND(ISNUMBER($AP$322),$B$258=1),$AP$322,HLOOKUP(INDIRECT(ADDRESS(2,COLUMN())),OFFSET($BN$2,0,0,ROW()-1,60),ROW()-1,FALSE))</f>
        <v/>
      </c>
      <c r="AQ71" t="str">
        <f ca="1">IF(AND(ISNUMBER($AQ$322),$B$258=1),$AQ$322,HLOOKUP(INDIRECT(ADDRESS(2,COLUMN())),OFFSET($BN$2,0,0,ROW()-1,60),ROW()-1,FALSE))</f>
        <v/>
      </c>
      <c r="AR71" t="str">
        <f ca="1">IF(AND(ISNUMBER($AR$322),$B$258=1),$AR$322,HLOOKUP(INDIRECT(ADDRESS(2,COLUMN())),OFFSET($BN$2,0,0,ROW()-1,60),ROW()-1,FALSE))</f>
        <v/>
      </c>
      <c r="AS71" t="str">
        <f ca="1">IF(AND(ISNUMBER($AS$322),$B$258=1),$AS$322,HLOOKUP(INDIRECT(ADDRESS(2,COLUMN())),OFFSET($BN$2,0,0,ROW()-1,60),ROW()-1,FALSE))</f>
        <v/>
      </c>
      <c r="AT71" t="str">
        <f ca="1">IF(AND(ISNUMBER($AT$322),$B$258=1),$AT$322,HLOOKUP(INDIRECT(ADDRESS(2,COLUMN())),OFFSET($BN$2,0,0,ROW()-1,60),ROW()-1,FALSE))</f>
        <v/>
      </c>
      <c r="AU71" t="str">
        <f ca="1">IF(AND(ISNUMBER($AU$322),$B$258=1),$AU$322,HLOOKUP(INDIRECT(ADDRESS(2,COLUMN())),OFFSET($BN$2,0,0,ROW()-1,60),ROW()-1,FALSE))</f>
        <v/>
      </c>
      <c r="AV71" t="str">
        <f ca="1">IF(AND(ISNUMBER($AV$322),$B$258=1),$AV$322,HLOOKUP(INDIRECT(ADDRESS(2,COLUMN())),OFFSET($BN$2,0,0,ROW()-1,60),ROW()-1,FALSE))</f>
        <v/>
      </c>
      <c r="AW71" t="str">
        <f ca="1">IF(AND(ISNUMBER($AW$322),$B$258=1),$AW$322,HLOOKUP(INDIRECT(ADDRESS(2,COLUMN())),OFFSET($BN$2,0,0,ROW()-1,60),ROW()-1,FALSE))</f>
        <v/>
      </c>
      <c r="AX71" t="str">
        <f ca="1">IF(AND(ISNUMBER($AX$322),$B$258=1),$AX$322,HLOOKUP(INDIRECT(ADDRESS(2,COLUMN())),OFFSET($BN$2,0,0,ROW()-1,60),ROW()-1,FALSE))</f>
        <v/>
      </c>
      <c r="AY71" t="str">
        <f ca="1">IF(AND(ISNUMBER($AY$322),$B$258=1),$AY$322,HLOOKUP(INDIRECT(ADDRESS(2,COLUMN())),OFFSET($BN$2,0,0,ROW()-1,60),ROW()-1,FALSE))</f>
        <v/>
      </c>
      <c r="AZ71" t="str">
        <f ca="1">IF(AND(ISNUMBER($AZ$322),$B$258=1),$AZ$322,HLOOKUP(INDIRECT(ADDRESS(2,COLUMN())),OFFSET($BN$2,0,0,ROW()-1,60),ROW()-1,FALSE))</f>
        <v/>
      </c>
      <c r="BA71" t="str">
        <f ca="1">IF(AND(ISNUMBER($BA$322),$B$258=1),$BA$322,HLOOKUP(INDIRECT(ADDRESS(2,COLUMN())),OFFSET($BN$2,0,0,ROW()-1,60),ROW()-1,FALSE))</f>
        <v/>
      </c>
      <c r="BB71" t="str">
        <f ca="1">IF(AND(ISNUMBER($BB$322),$B$258=1),$BB$322,HLOOKUP(INDIRECT(ADDRESS(2,COLUMN())),OFFSET($BN$2,0,0,ROW()-1,60),ROW()-1,FALSE))</f>
        <v/>
      </c>
      <c r="BC71" t="str">
        <f ca="1">IF(AND(ISNUMBER($BC$322),$B$258=1),$BC$322,HLOOKUP(INDIRECT(ADDRESS(2,COLUMN())),OFFSET($BN$2,0,0,ROW()-1,60),ROW()-1,FALSE))</f>
        <v/>
      </c>
      <c r="BD71" t="str">
        <f ca="1">IF(AND(ISNUMBER($BD$322),$B$258=1),$BD$322,HLOOKUP(INDIRECT(ADDRESS(2,COLUMN())),OFFSET($BN$2,0,0,ROW()-1,60),ROW()-1,FALSE))</f>
        <v/>
      </c>
      <c r="BE71" t="str">
        <f ca="1">IF(AND(ISNUMBER($BE$322),$B$258=1),$BE$322,HLOOKUP(INDIRECT(ADDRESS(2,COLUMN())),OFFSET($BN$2,0,0,ROW()-1,60),ROW()-1,FALSE))</f>
        <v/>
      </c>
      <c r="BF71" t="str">
        <f ca="1">IF(AND(ISNUMBER($BF$322),$B$258=1),$BF$322,HLOOKUP(INDIRECT(ADDRESS(2,COLUMN())),OFFSET($BN$2,0,0,ROW()-1,60),ROW()-1,FALSE))</f>
        <v/>
      </c>
      <c r="BG71" t="str">
        <f ca="1">IF(AND(ISNUMBER($BG$322),$B$258=1),$BG$322,HLOOKUP(INDIRECT(ADDRESS(2,COLUMN())),OFFSET($BN$2,0,0,ROW()-1,60),ROW()-1,FALSE))</f>
        <v/>
      </c>
      <c r="BH71" t="str">
        <f ca="1">IF(AND(ISNUMBER($BH$322),$B$258=1),$BH$322,HLOOKUP(INDIRECT(ADDRESS(2,COLUMN())),OFFSET($BN$2,0,0,ROW()-1,60),ROW()-1,FALSE))</f>
        <v/>
      </c>
      <c r="BI71" t="str">
        <f ca="1">IF(AND(ISNUMBER($BI$322),$B$258=1),$BI$322,HLOOKUP(INDIRECT(ADDRESS(2,COLUMN())),OFFSET($BN$2,0,0,ROW()-1,60),ROW()-1,FALSE))</f>
        <v/>
      </c>
      <c r="BJ71" t="str">
        <f ca="1">IF(AND(ISNUMBER($BJ$322),$B$258=1),$BJ$322,HLOOKUP(INDIRECT(ADDRESS(2,COLUMN())),OFFSET($BN$2,0,0,ROW()-1,60),ROW()-1,FALSE))</f>
        <v/>
      </c>
      <c r="BK71" t="str">
        <f ca="1">IF(AND(ISNUMBER($BK$322),$B$258=1),$BK$322,HLOOKUP(INDIRECT(ADDRESS(2,COLUMN())),OFFSET($BN$2,0,0,ROW()-1,60),ROW()-1,FALSE))</f>
        <v/>
      </c>
      <c r="BL71" t="str">
        <f ca="1">IF(AND(ISNUMBER($BL$322),$B$258=1),$BL$322,HLOOKUP(INDIRECT(ADDRESS(2,COLUMN())),OFFSET($BN$2,0,0,ROW()-1,60),ROW()-1,FALSE))</f>
        <v/>
      </c>
      <c r="BM71" t="str">
        <f ca="1">IF(AND(ISNUMBER($BM$322),$B$258=1),$BM$322,HLOOKUP(INDIRECT(ADDRESS(2,COLUMN())),OFFSET($BN$2,0,0,ROW()-1,60),ROW()-1,FALSE))</f>
        <v/>
      </c>
      <c r="BN71" t="str">
        <f>""</f>
        <v/>
      </c>
      <c r="BO71">
        <f>140.809</f>
        <v>140.809</v>
      </c>
      <c r="BP71">
        <f>65.295</f>
        <v>65.295000000000002</v>
      </c>
      <c r="BQ71">
        <f>48.645</f>
        <v>48.645000000000003</v>
      </c>
      <c r="BR71">
        <f>51.587</f>
        <v>51.587000000000003</v>
      </c>
      <c r="BS71">
        <f>53.69</f>
        <v>53.69</v>
      </c>
      <c r="BT71">
        <f>53.812</f>
        <v>53.811999999999998</v>
      </c>
      <c r="BU71">
        <f>67.95</f>
        <v>67.95</v>
      </c>
      <c r="BV71">
        <f>24.099</f>
        <v>24.099</v>
      </c>
      <c r="BW71">
        <f>54.806</f>
        <v>54.805999999999997</v>
      </c>
      <c r="BX71">
        <f>53.454</f>
        <v>53.454000000000001</v>
      </c>
      <c r="BY71">
        <f>43.752</f>
        <v>43.752000000000002</v>
      </c>
      <c r="BZ71">
        <f>47.569</f>
        <v>47.569000000000003</v>
      </c>
      <c r="CA71">
        <f>46.377</f>
        <v>46.377000000000002</v>
      </c>
      <c r="CB71">
        <f>37.758</f>
        <v>37.758000000000003</v>
      </c>
      <c r="CC71">
        <f>35.047</f>
        <v>35.046999999999997</v>
      </c>
      <c r="CD71">
        <f>34.997</f>
        <v>34.997</v>
      </c>
      <c r="CE71">
        <f>32.33</f>
        <v>32.33</v>
      </c>
      <c r="CF71">
        <f>29.869</f>
        <v>29.869</v>
      </c>
      <c r="CG71">
        <f>28.853</f>
        <v>28.853000000000002</v>
      </c>
      <c r="CH71">
        <f>27.305</f>
        <v>27.305</v>
      </c>
      <c r="CI71">
        <f>21.291</f>
        <v>21.291</v>
      </c>
      <c r="CJ71">
        <f>22.26</f>
        <v>22.26</v>
      </c>
      <c r="CK71">
        <f>21.628</f>
        <v>21.628</v>
      </c>
      <c r="CL71">
        <f>19.406</f>
        <v>19.405999999999999</v>
      </c>
      <c r="CM71">
        <f>22.119</f>
        <v>22.119</v>
      </c>
      <c r="CN71">
        <f>16.818</f>
        <v>16.818000000000001</v>
      </c>
      <c r="CO71">
        <f>15.883</f>
        <v>15.882999999999999</v>
      </c>
      <c r="CP71">
        <f>14.931</f>
        <v>14.930999999999999</v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>
      <c r="A72" t="str">
        <f>"    Senior Housing Properties Trus"</f>
        <v xml:space="preserve">    Senior Housing Properties Trus</v>
      </c>
      <c r="B72" t="str">
        <f>"SNH US Equity"</f>
        <v>SNH US Equity</v>
      </c>
      <c r="C72" t="str">
        <f t="shared" si="15"/>
        <v>RR009</v>
      </c>
      <c r="D72" t="str">
        <f t="shared" si="16"/>
        <v>EBITDA</v>
      </c>
      <c r="E72" t="str">
        <f t="shared" si="17"/>
        <v>动态</v>
      </c>
      <c r="F72" t="str">
        <f ca="1">IF(AND(ISNUMBER($F$323),$B$258=1),$F$323,HLOOKUP(INDIRECT(ADDRESS(2,COLUMN())),OFFSET($BN$2,0,0,ROW()-1,60),ROW()-1,FALSE))</f>
        <v/>
      </c>
      <c r="G72">
        <f ca="1">IF(AND(ISNUMBER($G$323),$B$258=1),$G$323,HLOOKUP(INDIRECT(ADDRESS(2,COLUMN())),OFFSET($BN$2,0,0,ROW()-1,60),ROW()-1,FALSE))</f>
        <v>127.633</v>
      </c>
      <c r="H72">
        <f ca="1">IF(AND(ISNUMBER($H$323),$B$258=1),$H$323,HLOOKUP(INDIRECT(ADDRESS(2,COLUMN())),OFFSET($BN$2,0,0,ROW()-1,60),ROW()-1,FALSE))</f>
        <v>142.08199999999999</v>
      </c>
      <c r="I72">
        <f ca="1">IF(AND(ISNUMBER($I$323),$B$258=1),$I$323,HLOOKUP(INDIRECT(ADDRESS(2,COLUMN())),OFFSET($BN$2,0,0,ROW()-1,60),ROW()-1,FALSE))</f>
        <v>134.214</v>
      </c>
      <c r="J72">
        <f ca="1">IF(AND(ISNUMBER($J$323),$B$258=1),$J$323,HLOOKUP(INDIRECT(ADDRESS(2,COLUMN())),OFFSET($BN$2,0,0,ROW()-1,60),ROW()-1,FALSE))</f>
        <v>148.12899999999999</v>
      </c>
      <c r="K72">
        <f ca="1">IF(AND(ISNUMBER($K$323),$B$258=1),$K$323,HLOOKUP(INDIRECT(ADDRESS(2,COLUMN())),OFFSET($BN$2,0,0,ROW()-1,60),ROW()-1,FALSE))</f>
        <v>159.27000000000001</v>
      </c>
      <c r="L72">
        <f ca="1">IF(AND(ISNUMBER($L$323),$B$258=1),$L$323,HLOOKUP(INDIRECT(ADDRESS(2,COLUMN())),OFFSET($BN$2,0,0,ROW()-1,60),ROW()-1,FALSE))</f>
        <v>143.12700000000001</v>
      </c>
      <c r="M72">
        <f ca="1">IF(AND(ISNUMBER($M$323),$B$258=1),$M$323,HLOOKUP(INDIRECT(ADDRESS(2,COLUMN())),OFFSET($BN$2,0,0,ROW()-1,60),ROW()-1,FALSE))</f>
        <v>146.786</v>
      </c>
      <c r="N72">
        <f ca="1">IF(AND(ISNUMBER($N$323),$B$258=1),$N$323,HLOOKUP(INDIRECT(ADDRESS(2,COLUMN())),OFFSET($BN$2,0,0,ROW()-1,60),ROW()-1,FALSE))</f>
        <v>141.73400000000001</v>
      </c>
      <c r="O72">
        <f ca="1">IF(AND(ISNUMBER($O$323),$B$258=1),$O$323,HLOOKUP(INDIRECT(ADDRESS(2,COLUMN())),OFFSET($BN$2,0,0,ROW()-1,60),ROW()-1,FALSE))</f>
        <v>155.358</v>
      </c>
      <c r="P72">
        <f ca="1">IF(AND(ISNUMBER($P$323),$B$258=1),$P$323,HLOOKUP(INDIRECT(ADDRESS(2,COLUMN())),OFFSET($BN$2,0,0,ROW()-1,60),ROW()-1,FALSE))</f>
        <v>147.38800000000001</v>
      </c>
      <c r="Q72">
        <f ca="1">IF(AND(ISNUMBER($Q$323),$B$258=1),$Q$323,HLOOKUP(INDIRECT(ADDRESS(2,COLUMN())),OFFSET($BN$2,0,0,ROW()-1,60),ROW()-1,FALSE))</f>
        <v>137.51900000000001</v>
      </c>
      <c r="R72">
        <f ca="1">IF(AND(ISNUMBER($R$323),$B$258=1),$R$323,HLOOKUP(INDIRECT(ADDRESS(2,COLUMN())),OFFSET($BN$2,0,0,ROW()-1,60),ROW()-1,FALSE))</f>
        <v>131.05099999999999</v>
      </c>
      <c r="S72">
        <f ca="1">IF(AND(ISNUMBER($S$323),$B$258=1),$S$323,HLOOKUP(INDIRECT(ADDRESS(2,COLUMN())),OFFSET($BN$2,0,0,ROW()-1,60),ROW()-1,FALSE))</f>
        <v>132.9</v>
      </c>
      <c r="T72">
        <f ca="1">IF(AND(ISNUMBER($T$323),$B$258=1),$T$323,HLOOKUP(INDIRECT(ADDRESS(2,COLUMN())),OFFSET($BN$2,0,0,ROW()-1,60),ROW()-1,FALSE))</f>
        <v>123.768</v>
      </c>
      <c r="U72">
        <f ca="1">IF(AND(ISNUMBER($U$323),$B$258=1),$U$323,HLOOKUP(INDIRECT(ADDRESS(2,COLUMN())),OFFSET($BN$2,0,0,ROW()-1,60),ROW()-1,FALSE))</f>
        <v>114.833</v>
      </c>
      <c r="V72">
        <f ca="1">IF(AND(ISNUMBER($V$323),$B$258=1),$V$323,HLOOKUP(INDIRECT(ADDRESS(2,COLUMN())),OFFSET($BN$2,0,0,ROW()-1,60),ROW()-1,FALSE))</f>
        <v>105.283</v>
      </c>
      <c r="W72">
        <f ca="1">IF(AND(ISNUMBER($W$323),$B$258=1),$W$323,HLOOKUP(INDIRECT(ADDRESS(2,COLUMN())),OFFSET($BN$2,0,0,ROW()-1,60),ROW()-1,FALSE))</f>
        <v>112.20399999999999</v>
      </c>
      <c r="X72">
        <f ca="1">IF(AND(ISNUMBER($X$323),$B$258=1),$X$323,HLOOKUP(INDIRECT(ADDRESS(2,COLUMN())),OFFSET($BN$2,0,0,ROW()-1,60),ROW()-1,FALSE))</f>
        <v>104.345</v>
      </c>
      <c r="Y72">
        <f ca="1">IF(AND(ISNUMBER($Y$323),$B$258=1),$Y$323,HLOOKUP(INDIRECT(ADDRESS(2,COLUMN())),OFFSET($BN$2,0,0,ROW()-1,60),ROW()-1,FALSE))</f>
        <v>99.813000000000002</v>
      </c>
      <c r="Z72">
        <f ca="1">IF(AND(ISNUMBER($Z$323),$B$258=1),$Z$323,HLOOKUP(INDIRECT(ADDRESS(2,COLUMN())),OFFSET($BN$2,0,0,ROW()-1,60),ROW()-1,FALSE))</f>
        <v>101.973</v>
      </c>
      <c r="AA72">
        <f ca="1">IF(AND(ISNUMBER($AA$323),$B$258=1),$AA$323,HLOOKUP(INDIRECT(ADDRESS(2,COLUMN())),OFFSET($BN$2,0,0,ROW()-1,60),ROW()-1,FALSE))</f>
        <v>110.785</v>
      </c>
      <c r="AB72">
        <f ca="1">IF(AND(ISNUMBER($AB$323),$B$258=1),$AB$323,HLOOKUP(INDIRECT(ADDRESS(2,COLUMN())),OFFSET($BN$2,0,0,ROW()-1,60),ROW()-1,FALSE))</f>
        <v>97.257999999999996</v>
      </c>
      <c r="AC72">
        <f ca="1">IF(AND(ISNUMBER($AC$323),$B$258=1),$AC$323,HLOOKUP(INDIRECT(ADDRESS(2,COLUMN())),OFFSET($BN$2,0,0,ROW()-1,60),ROW()-1,FALSE))</f>
        <v>95.284000000000006</v>
      </c>
      <c r="AD72">
        <f ca="1">IF(AND(ISNUMBER($AD$323),$B$258=1),$AD$323,HLOOKUP(INDIRECT(ADDRESS(2,COLUMN())),OFFSET($BN$2,0,0,ROW()-1,60),ROW()-1,FALSE))</f>
        <v>94.295000000000002</v>
      </c>
      <c r="AE72">
        <f ca="1">IF(AND(ISNUMBER($AE$323),$B$258=1),$AE$323,HLOOKUP(INDIRECT(ADDRESS(2,COLUMN())),OFFSET($BN$2,0,0,ROW()-1,60),ROW()-1,FALSE))</f>
        <v>96.507999999999996</v>
      </c>
      <c r="AF72">
        <f ca="1">IF(AND(ISNUMBER($AF$323),$B$258=1),$AF$323,HLOOKUP(INDIRECT(ADDRESS(2,COLUMN())),OFFSET($BN$2,0,0,ROW()-1,60),ROW()-1,FALSE))</f>
        <v>83.334999999999994</v>
      </c>
      <c r="AG72">
        <f ca="1">IF(AND(ISNUMBER($AG$323),$B$258=1),$AG$323,HLOOKUP(INDIRECT(ADDRESS(2,COLUMN())),OFFSET($BN$2,0,0,ROW()-1,60),ROW()-1,FALSE))</f>
        <v>80.253</v>
      </c>
      <c r="AH72">
        <f ca="1">IF(AND(ISNUMBER($AH$323),$B$258=1),$AH$323,HLOOKUP(INDIRECT(ADDRESS(2,COLUMN())),OFFSET($BN$2,0,0,ROW()-1,60),ROW()-1,FALSE))</f>
        <v>80.683999999999997</v>
      </c>
      <c r="AI72">
        <f ca="1">IF(AND(ISNUMBER($AI$323),$B$258=1),$AI$323,HLOOKUP(INDIRECT(ADDRESS(2,COLUMN())),OFFSET($BN$2,0,0,ROW()-1,60),ROW()-1,FALSE))</f>
        <v>77.858999999999995</v>
      </c>
      <c r="AJ72">
        <f ca="1">IF(AND(ISNUMBER($AJ$323),$B$258=1),$AJ$323,HLOOKUP(INDIRECT(ADDRESS(2,COLUMN())),OFFSET($BN$2,0,0,ROW()-1,60),ROW()-1,FALSE))</f>
        <v>70.531000000000006</v>
      </c>
      <c r="AK72">
        <f ca="1">IF(AND(ISNUMBER($AK$323),$B$258=1),$AK$323,HLOOKUP(INDIRECT(ADDRESS(2,COLUMN())),OFFSET($BN$2,0,0,ROW()-1,60),ROW()-1,FALSE))</f>
        <v>70.804000000000002</v>
      </c>
      <c r="AL72">
        <f ca="1">IF(AND(ISNUMBER($AL$323),$B$258=1),$AL$323,HLOOKUP(INDIRECT(ADDRESS(2,COLUMN())),OFFSET($BN$2,0,0,ROW()-1,60),ROW()-1,FALSE))</f>
        <v>70.536000000000001</v>
      </c>
      <c r="AM72">
        <f ca="1">IF(AND(ISNUMBER($AM$323),$B$258=1),$AM$323,HLOOKUP(INDIRECT(ADDRESS(2,COLUMN())),OFFSET($BN$2,0,0,ROW()-1,60),ROW()-1,FALSE))</f>
        <v>73.712999999999994</v>
      </c>
      <c r="AN72">
        <f ca="1">IF(AND(ISNUMBER($AN$323),$B$258=1),$AN$323,HLOOKUP(INDIRECT(ADDRESS(2,COLUMN())),OFFSET($BN$2,0,0,ROW()-1,60),ROW()-1,FALSE))</f>
        <v>51.365000000000002</v>
      </c>
      <c r="AO72">
        <f ca="1">IF(AND(ISNUMBER($AO$323),$B$258=1),$AO$323,HLOOKUP(INDIRECT(ADDRESS(2,COLUMN())),OFFSET($BN$2,0,0,ROW()-1,60),ROW()-1,FALSE))</f>
        <v>60.948999999999998</v>
      </c>
      <c r="AP72">
        <f ca="1">IF(AND(ISNUMBER($AP$323),$B$258=1),$AP$323,HLOOKUP(INDIRECT(ADDRESS(2,COLUMN())),OFFSET($BN$2,0,0,ROW()-1,60),ROW()-1,FALSE))</f>
        <v>60.601999999999997</v>
      </c>
      <c r="AQ72">
        <f ca="1">IF(AND(ISNUMBER($AQ$323),$B$258=1),$AQ$323,HLOOKUP(INDIRECT(ADDRESS(2,COLUMN())),OFFSET($BN$2,0,0,ROW()-1,60),ROW()-1,FALSE))</f>
        <v>66.622</v>
      </c>
      <c r="AR72">
        <f ca="1">IF(AND(ISNUMBER($AR$323),$B$258=1),$AR$323,HLOOKUP(INDIRECT(ADDRESS(2,COLUMN())),OFFSET($BN$2,0,0,ROW()-1,60),ROW()-1,FALSE))</f>
        <v>54.423999999999999</v>
      </c>
      <c r="AS72">
        <f ca="1">IF(AND(ISNUMBER($AS$323),$B$258=1),$AS$323,HLOOKUP(INDIRECT(ADDRESS(2,COLUMN())),OFFSET($BN$2,0,0,ROW()-1,60),ROW()-1,FALSE))</f>
        <v>48.783000000000001</v>
      </c>
      <c r="AT72">
        <f ca="1">IF(AND(ISNUMBER($AT$323),$B$258=1),$AT$323,HLOOKUP(INDIRECT(ADDRESS(2,COLUMN())),OFFSET($BN$2,0,0,ROW()-1,60),ROW()-1,FALSE))</f>
        <v>45.856999999999999</v>
      </c>
      <c r="AU72">
        <f ca="1">IF(AND(ISNUMBER($AU$323),$B$258=1),$AU$323,HLOOKUP(INDIRECT(ADDRESS(2,COLUMN())),OFFSET($BN$2,0,0,ROW()-1,60),ROW()-1,FALSE))</f>
        <v>49.661999999999999</v>
      </c>
      <c r="AV72">
        <f ca="1">IF(AND(ISNUMBER($AV$323),$B$258=1),$AV$323,HLOOKUP(INDIRECT(ADDRESS(2,COLUMN())),OFFSET($BN$2,0,0,ROW()-1,60),ROW()-1,FALSE))</f>
        <v>41.656999999999996</v>
      </c>
      <c r="AW72">
        <f ca="1">IF(AND(ISNUMBER($AW$323),$B$258=1),$AW$323,HLOOKUP(INDIRECT(ADDRESS(2,COLUMN())),OFFSET($BN$2,0,0,ROW()-1,60),ROW()-1,FALSE))</f>
        <v>41.512999999999998</v>
      </c>
      <c r="AX72">
        <f ca="1">IF(AND(ISNUMBER($AX$323),$B$258=1),$AX$323,HLOOKUP(INDIRECT(ADDRESS(2,COLUMN())),OFFSET($BN$2,0,0,ROW()-1,60),ROW()-1,FALSE))</f>
        <v>41.036000000000001</v>
      </c>
      <c r="AY72">
        <f ca="1">IF(AND(ISNUMBER($AY$323),$B$258=1),$AY$323,HLOOKUP(INDIRECT(ADDRESS(2,COLUMN())),OFFSET($BN$2,0,0,ROW()-1,60),ROW()-1,FALSE))</f>
        <v>51.27</v>
      </c>
      <c r="AZ72">
        <f ca="1">IF(AND(ISNUMBER($AZ$323),$B$258=1),$AZ$323,HLOOKUP(INDIRECT(ADDRESS(2,COLUMN())),OFFSET($BN$2,0,0,ROW()-1,60),ROW()-1,FALSE))</f>
        <v>38.228999999999999</v>
      </c>
      <c r="BA72">
        <f ca="1">IF(AND(ISNUMBER($BA$323),$B$258=1),$BA$323,HLOOKUP(INDIRECT(ADDRESS(2,COLUMN())),OFFSET($BN$2,0,0,ROW()-1,60),ROW()-1,FALSE))</f>
        <v>37.893000000000001</v>
      </c>
      <c r="BB72">
        <f ca="1">IF(AND(ISNUMBER($BB$323),$B$258=1),$BB$323,HLOOKUP(INDIRECT(ADDRESS(2,COLUMN())),OFFSET($BN$2,0,0,ROW()-1,60),ROW()-1,FALSE))</f>
        <v>37.768999999999998</v>
      </c>
      <c r="BC72">
        <f ca="1">IF(AND(ISNUMBER($BC$323),$B$258=1),$BC$323,HLOOKUP(INDIRECT(ADDRESS(2,COLUMN())),OFFSET($BN$2,0,0,ROW()-1,60),ROW()-1,FALSE))</f>
        <v>40.755000000000003</v>
      </c>
      <c r="BD72">
        <f ca="1">IF(AND(ISNUMBER($BD$323),$B$258=1),$BD$323,HLOOKUP(INDIRECT(ADDRESS(2,COLUMN())),OFFSET($BN$2,0,0,ROW()-1,60),ROW()-1,FALSE))</f>
        <v>36.963000299999997</v>
      </c>
      <c r="BE72">
        <f ca="1">IF(AND(ISNUMBER($BE$323),$B$258=1),$BE$323,HLOOKUP(INDIRECT(ADDRESS(2,COLUMN())),OFFSET($BN$2,0,0,ROW()-1,60),ROW()-1,FALSE))</f>
        <v>36.51799965</v>
      </c>
      <c r="BF72">
        <f ca="1">IF(AND(ISNUMBER($BF$323),$B$258=1),$BF$323,HLOOKUP(INDIRECT(ADDRESS(2,COLUMN())),OFFSET($BN$2,0,0,ROW()-1,60),ROW()-1,FALSE))</f>
        <v>35.833999630000001</v>
      </c>
      <c r="BG72">
        <f ca="1">IF(AND(ISNUMBER($BG$323),$B$258=1),$BG$323,HLOOKUP(INDIRECT(ADDRESS(2,COLUMN())),OFFSET($BN$2,0,0,ROW()-1,60),ROW()-1,FALSE))</f>
        <v>37.725000000000001</v>
      </c>
      <c r="BH72">
        <f ca="1">IF(AND(ISNUMBER($BH$323),$B$258=1),$BH$323,HLOOKUP(INDIRECT(ADDRESS(2,COLUMN())),OFFSET($BN$2,0,0,ROW()-1,60),ROW()-1,FALSE))</f>
        <v>32.946999550000001</v>
      </c>
      <c r="BI72">
        <f ca="1">IF(AND(ISNUMBER($BI$323),$B$258=1),$BI$323,HLOOKUP(INDIRECT(ADDRESS(2,COLUMN())),OFFSET($BN$2,0,0,ROW()-1,60),ROW()-1,FALSE))</f>
        <v>32.763999939999998</v>
      </c>
      <c r="BJ72">
        <f ca="1">IF(AND(ISNUMBER($BJ$323),$B$258=1),$BJ$323,HLOOKUP(INDIRECT(ADDRESS(2,COLUMN())),OFFSET($BN$2,0,0,ROW()-1,60),ROW()-1,FALSE))</f>
        <v>33.998999599999998</v>
      </c>
      <c r="BK72">
        <f ca="1">IF(AND(ISNUMBER($BK$323),$B$258=1),$BK$323,HLOOKUP(INDIRECT(ADDRESS(2,COLUMN())),OFFSET($BN$2,0,0,ROW()-1,60),ROW()-1,FALSE))</f>
        <v>32.975999829999999</v>
      </c>
      <c r="BL72">
        <f ca="1">IF(AND(ISNUMBER($BL$323),$B$258=1),$BL$323,HLOOKUP(INDIRECT(ADDRESS(2,COLUMN())),OFFSET($BN$2,0,0,ROW()-1,60),ROW()-1,FALSE))</f>
        <v>28.905999999999999</v>
      </c>
      <c r="BM72">
        <f ca="1">IF(AND(ISNUMBER($BM$323),$B$258=1),$BM$323,HLOOKUP(INDIRECT(ADDRESS(2,COLUMN())),OFFSET($BN$2,0,0,ROW()-1,60),ROW()-1,FALSE))</f>
        <v>28.812000000000001</v>
      </c>
      <c r="BN72" t="str">
        <f>""</f>
        <v/>
      </c>
      <c r="BO72">
        <f>127.633</f>
        <v>127.633</v>
      </c>
      <c r="BP72">
        <f>142.082</f>
        <v>142.08199999999999</v>
      </c>
      <c r="BQ72">
        <f>134.214</f>
        <v>134.214</v>
      </c>
      <c r="BR72">
        <f>148.129</f>
        <v>148.12899999999999</v>
      </c>
      <c r="BS72">
        <f>159.27</f>
        <v>159.27000000000001</v>
      </c>
      <c r="BT72">
        <f>143.127</f>
        <v>143.12700000000001</v>
      </c>
      <c r="BU72">
        <f>146.786</f>
        <v>146.786</v>
      </c>
      <c r="BV72">
        <f>141.734</f>
        <v>141.73400000000001</v>
      </c>
      <c r="BW72">
        <f>155.358</f>
        <v>155.358</v>
      </c>
      <c r="BX72">
        <f>147.388</f>
        <v>147.38800000000001</v>
      </c>
      <c r="BY72">
        <f>137.519</f>
        <v>137.51900000000001</v>
      </c>
      <c r="BZ72">
        <f>131.051</f>
        <v>131.05099999999999</v>
      </c>
      <c r="CA72">
        <f>132.9</f>
        <v>132.9</v>
      </c>
      <c r="CB72">
        <f>123.768</f>
        <v>123.768</v>
      </c>
      <c r="CC72">
        <f>114.833</f>
        <v>114.833</v>
      </c>
      <c r="CD72">
        <f>105.283</f>
        <v>105.283</v>
      </c>
      <c r="CE72">
        <f>112.204</f>
        <v>112.20399999999999</v>
      </c>
      <c r="CF72">
        <f>104.345</f>
        <v>104.345</v>
      </c>
      <c r="CG72">
        <f>99.813</f>
        <v>99.813000000000002</v>
      </c>
      <c r="CH72">
        <f>101.973</f>
        <v>101.973</v>
      </c>
      <c r="CI72">
        <f>110.785</f>
        <v>110.785</v>
      </c>
      <c r="CJ72">
        <f>97.258</f>
        <v>97.257999999999996</v>
      </c>
      <c r="CK72">
        <f>95.284</f>
        <v>95.284000000000006</v>
      </c>
      <c r="CL72">
        <f>94.295</f>
        <v>94.295000000000002</v>
      </c>
      <c r="CM72">
        <f>96.508</f>
        <v>96.507999999999996</v>
      </c>
      <c r="CN72">
        <f>83.335</f>
        <v>83.334999999999994</v>
      </c>
      <c r="CO72">
        <f>80.253</f>
        <v>80.253</v>
      </c>
      <c r="CP72">
        <f>80.684</f>
        <v>80.683999999999997</v>
      </c>
      <c r="CQ72">
        <f>77.859</f>
        <v>77.858999999999995</v>
      </c>
      <c r="CR72">
        <f>70.531</f>
        <v>70.531000000000006</v>
      </c>
      <c r="CS72">
        <f>70.804</f>
        <v>70.804000000000002</v>
      </c>
      <c r="CT72">
        <f>70.536</f>
        <v>70.536000000000001</v>
      </c>
      <c r="CU72">
        <f>73.713</f>
        <v>73.712999999999994</v>
      </c>
      <c r="CV72">
        <f>51.365</f>
        <v>51.365000000000002</v>
      </c>
      <c r="CW72">
        <f>60.949</f>
        <v>60.948999999999998</v>
      </c>
      <c r="CX72">
        <f>60.602</f>
        <v>60.601999999999997</v>
      </c>
      <c r="CY72">
        <f>66.622</f>
        <v>66.622</v>
      </c>
      <c r="CZ72">
        <f>54.424</f>
        <v>54.423999999999999</v>
      </c>
      <c r="DA72">
        <f>48.783</f>
        <v>48.783000000000001</v>
      </c>
      <c r="DB72">
        <f>45.857</f>
        <v>45.856999999999999</v>
      </c>
      <c r="DC72">
        <f>49.662</f>
        <v>49.661999999999999</v>
      </c>
      <c r="DD72">
        <f>41.657</f>
        <v>41.656999999999996</v>
      </c>
      <c r="DE72">
        <f>41.513</f>
        <v>41.512999999999998</v>
      </c>
      <c r="DF72">
        <f>41.036</f>
        <v>41.036000000000001</v>
      </c>
      <c r="DG72">
        <f>51.27</f>
        <v>51.27</v>
      </c>
      <c r="DH72">
        <f>38.229</f>
        <v>38.228999999999999</v>
      </c>
      <c r="DI72">
        <f>37.893</f>
        <v>37.893000000000001</v>
      </c>
      <c r="DJ72">
        <f>37.769</f>
        <v>37.768999999999998</v>
      </c>
      <c r="DK72">
        <f>40.755</f>
        <v>40.755000000000003</v>
      </c>
      <c r="DL72">
        <f>36.9630003</f>
        <v>36.963000299999997</v>
      </c>
      <c r="DM72">
        <f>36.51799965</f>
        <v>36.51799965</v>
      </c>
      <c r="DN72">
        <f>35.83399963</f>
        <v>35.833999630000001</v>
      </c>
      <c r="DO72">
        <f>37.725</f>
        <v>37.725000000000001</v>
      </c>
      <c r="DP72">
        <f>32.94699955</f>
        <v>32.946999550000001</v>
      </c>
      <c r="DQ72">
        <f>32.76399994</f>
        <v>32.763999939999998</v>
      </c>
      <c r="DR72">
        <f>33.9989996</f>
        <v>33.998999599999998</v>
      </c>
      <c r="DS72">
        <f>32.97599983</f>
        <v>32.975999829999999</v>
      </c>
      <c r="DT72">
        <f>28.906</f>
        <v>28.905999999999999</v>
      </c>
      <c r="DU72">
        <f>28.812</f>
        <v>28.812000000000001</v>
      </c>
    </row>
    <row r="73" spans="1:125">
      <c r="A73" t="str">
        <f>"    Ventas Inc"</f>
        <v xml:space="preserve">    Ventas Inc</v>
      </c>
      <c r="B73" t="str">
        <f>"VTR US Equity"</f>
        <v>VTR US Equity</v>
      </c>
      <c r="C73" t="str">
        <f t="shared" si="15"/>
        <v>RR009</v>
      </c>
      <c r="D73" t="str">
        <f t="shared" si="16"/>
        <v>EBITDA</v>
      </c>
      <c r="E73" t="str">
        <f t="shared" si="17"/>
        <v>动态</v>
      </c>
      <c r="F73" t="str">
        <f ca="1">IF(AND(ISNUMBER($F$324),$B$258=1),$F$324,HLOOKUP(INDIRECT(ADDRESS(2,COLUMN())),OFFSET($BN$2,0,0,ROW()-1,60),ROW()-1,FALSE))</f>
        <v/>
      </c>
      <c r="G73">
        <f ca="1">IF(AND(ISNUMBER($G$324),$B$258=1),$G$324,HLOOKUP(INDIRECT(ADDRESS(2,COLUMN())),OFFSET($BN$2,0,0,ROW()-1,60),ROW()-1,FALSE))</f>
        <v>484.995</v>
      </c>
      <c r="H73">
        <f ca="1">IF(AND(ISNUMBER($H$324),$B$258=1),$H$324,HLOOKUP(INDIRECT(ADDRESS(2,COLUMN())),OFFSET($BN$2,0,0,ROW()-1,60),ROW()-1,FALSE))</f>
        <v>489.18200000000002</v>
      </c>
      <c r="I73">
        <f ca="1">IF(AND(ISNUMBER($I$324),$B$258=1),$I$324,HLOOKUP(INDIRECT(ADDRESS(2,COLUMN())),OFFSET($BN$2,0,0,ROW()-1,60),ROW()-1,FALSE))</f>
        <v>489.78300000000002</v>
      </c>
      <c r="J73">
        <f ca="1">IF(AND(ISNUMBER($J$324),$B$258=1),$J$324,HLOOKUP(INDIRECT(ADDRESS(2,COLUMN())),OFFSET($BN$2,0,0,ROW()-1,60),ROW()-1,FALSE))</f>
        <v>477.70100000000002</v>
      </c>
      <c r="K73">
        <f ca="1">IF(AND(ISNUMBER($K$324),$B$258=1),$K$324,HLOOKUP(INDIRECT(ADDRESS(2,COLUMN())),OFFSET($BN$2,0,0,ROW()-1,60),ROW()-1,FALSE))</f>
        <v>478.161</v>
      </c>
      <c r="L73">
        <f ca="1">IF(AND(ISNUMBER($L$324),$B$258=1),$L$324,HLOOKUP(INDIRECT(ADDRESS(2,COLUMN())),OFFSET($BN$2,0,0,ROW()-1,60),ROW()-1,FALSE))</f>
        <v>457.24099999999999</v>
      </c>
      <c r="M73">
        <f ca="1">IF(AND(ISNUMBER($M$324),$B$258=1),$M$324,HLOOKUP(INDIRECT(ADDRESS(2,COLUMN())),OFFSET($BN$2,0,0,ROW()-1,60),ROW()-1,FALSE))</f>
        <v>455.279</v>
      </c>
      <c r="N73">
        <f ca="1">IF(AND(ISNUMBER($N$324),$B$258=1),$N$324,HLOOKUP(INDIRECT(ADDRESS(2,COLUMN())),OFFSET($BN$2,0,0,ROW()-1,60),ROW()-1,FALSE))</f>
        <v>459.25799999999998</v>
      </c>
      <c r="O73">
        <f ca="1">IF(AND(ISNUMBER($O$324),$B$258=1),$O$324,HLOOKUP(INDIRECT(ADDRESS(2,COLUMN())),OFFSET($BN$2,0,0,ROW()-1,60),ROW()-1,FALSE))</f>
        <v>455.91399999999999</v>
      </c>
      <c r="P73">
        <f ca="1">IF(AND(ISNUMBER($P$324),$B$258=1),$P$324,HLOOKUP(INDIRECT(ADDRESS(2,COLUMN())),OFFSET($BN$2,0,0,ROW()-1,60),ROW()-1,FALSE))</f>
        <v>392.964</v>
      </c>
      <c r="Q73">
        <f ca="1">IF(AND(ISNUMBER($Q$324),$B$258=1),$Q$324,HLOOKUP(INDIRECT(ADDRESS(2,COLUMN())),OFFSET($BN$2,0,0,ROW()-1,60),ROW()-1,FALSE))</f>
        <v>451.76600000000002</v>
      </c>
      <c r="R73">
        <f ca="1">IF(AND(ISNUMBER($R$324),$B$258=1),$R$324,HLOOKUP(INDIRECT(ADDRESS(2,COLUMN())),OFFSET($BN$2,0,0,ROW()-1,60),ROW()-1,FALSE))</f>
        <v>424.17599999999999</v>
      </c>
      <c r="S73">
        <f ca="1">IF(AND(ISNUMBER($S$324),$B$258=1),$S$324,HLOOKUP(INDIRECT(ADDRESS(2,COLUMN())),OFFSET($BN$2,0,0,ROW()-1,60),ROW()-1,FALSE))</f>
        <v>399.96499999999997</v>
      </c>
      <c r="T73">
        <f ca="1">IF(AND(ISNUMBER($T$324),$B$258=1),$T$324,HLOOKUP(INDIRECT(ADDRESS(2,COLUMN())),OFFSET($BN$2,0,0,ROW()-1,60),ROW()-1,FALSE))</f>
        <v>376.40600000000001</v>
      </c>
      <c r="U73">
        <f ca="1">IF(AND(ISNUMBER($U$324),$B$258=1),$U$324,HLOOKUP(INDIRECT(ADDRESS(2,COLUMN())),OFFSET($BN$2,0,0,ROW()-1,60),ROW()-1,FALSE))</f>
        <v>421.21</v>
      </c>
      <c r="V73">
        <f ca="1">IF(AND(ISNUMBER($V$324),$B$258=1),$V$324,HLOOKUP(INDIRECT(ADDRESS(2,COLUMN())),OFFSET($BN$2,0,0,ROW()-1,60),ROW()-1,FALSE))</f>
        <v>407.11500000000001</v>
      </c>
      <c r="W73">
        <f ca="1">IF(AND(ISNUMBER($W$324),$B$258=1),$W$324,HLOOKUP(INDIRECT(ADDRESS(2,COLUMN())),OFFSET($BN$2,0,0,ROW()-1,60),ROW()-1,FALSE))</f>
        <v>409.43400000000003</v>
      </c>
      <c r="X73">
        <f ca="1">IF(AND(ISNUMBER($X$324),$B$258=1),$X$324,HLOOKUP(INDIRECT(ADDRESS(2,COLUMN())),OFFSET($BN$2,0,0,ROW()-1,60),ROW()-1,FALSE))</f>
        <v>401.20400000000001</v>
      </c>
      <c r="Y73">
        <f ca="1">IF(AND(ISNUMBER($Y$324),$B$258=1),$Y$324,HLOOKUP(INDIRECT(ADDRESS(2,COLUMN())),OFFSET($BN$2,0,0,ROW()-1,60),ROW()-1,FALSE))</f>
        <v>401.42500000000001</v>
      </c>
      <c r="Z73">
        <f ca="1">IF(AND(ISNUMBER($Z$324),$B$258=1),$Z$324,HLOOKUP(INDIRECT(ADDRESS(2,COLUMN())),OFFSET($BN$2,0,0,ROW()-1,60),ROW()-1,FALSE))</f>
        <v>392.50799999999998</v>
      </c>
      <c r="AA73">
        <f ca="1">IF(AND(ISNUMBER($AA$324),$B$258=1),$AA$324,HLOOKUP(INDIRECT(ADDRESS(2,COLUMN())),OFFSET($BN$2,0,0,ROW()-1,60),ROW()-1,FALSE))</f>
        <v>375.846</v>
      </c>
      <c r="AB73">
        <f ca="1">IF(AND(ISNUMBER($AB$324),$B$258=1),$AB$324,HLOOKUP(INDIRECT(ADDRESS(2,COLUMN())),OFFSET($BN$2,0,0,ROW()-1,60),ROW()-1,FALSE))</f>
        <v>361.01600000000002</v>
      </c>
      <c r="AC73">
        <f ca="1">IF(AND(ISNUMBER($AC$324),$B$258=1),$AC$324,HLOOKUP(INDIRECT(ADDRESS(2,COLUMN())),OFFSET($BN$2,0,0,ROW()-1,60),ROW()-1,FALSE))</f>
        <v>322.78399999999999</v>
      </c>
      <c r="AD73">
        <f ca="1">IF(AND(ISNUMBER($AD$324),$B$258=1),$AD$324,HLOOKUP(INDIRECT(ADDRESS(2,COLUMN())),OFFSET($BN$2,0,0,ROW()-1,60),ROW()-1,FALSE))</f>
        <v>321.63499999999999</v>
      </c>
      <c r="AE73">
        <f ca="1">IF(AND(ISNUMBER($AE$324),$B$258=1),$AE$324,HLOOKUP(INDIRECT(ADDRESS(2,COLUMN())),OFFSET($BN$2,0,0,ROW()-1,60),ROW()-1,FALSE))</f>
        <v>129.363</v>
      </c>
      <c r="AF73">
        <f ca="1">IF(AND(ISNUMBER($AF$324),$B$258=1),$AF$324,HLOOKUP(INDIRECT(ADDRESS(2,COLUMN())),OFFSET($BN$2,0,0,ROW()-1,60),ROW()-1,FALSE))</f>
        <v>338.02499999999998</v>
      </c>
      <c r="AG73">
        <f ca="1">IF(AND(ISNUMBER($AG$324),$B$258=1),$AG$324,HLOOKUP(INDIRECT(ADDRESS(2,COLUMN())),OFFSET($BN$2,0,0,ROW()-1,60),ROW()-1,FALSE))</f>
        <v>138.19499999999999</v>
      </c>
      <c r="AH73">
        <f ca="1">IF(AND(ISNUMBER($AH$324),$B$258=1),$AH$324,HLOOKUP(INDIRECT(ADDRESS(2,COLUMN())),OFFSET($BN$2,0,0,ROW()-1,60),ROW()-1,FALSE))</f>
        <v>157.709</v>
      </c>
      <c r="AI73">
        <f ca="1">IF(AND(ISNUMBER($AI$324),$B$258=1),$AI$324,HLOOKUP(INDIRECT(ADDRESS(2,COLUMN())),OFFSET($BN$2,0,0,ROW()-1,60),ROW()-1,FALSE))</f>
        <v>160.05500000000001</v>
      </c>
      <c r="AJ73">
        <f ca="1">IF(AND(ISNUMBER($AJ$324),$B$258=1),$AJ$324,HLOOKUP(INDIRECT(ADDRESS(2,COLUMN())),OFFSET($BN$2,0,0,ROW()-1,60),ROW()-1,FALSE))</f>
        <v>153.334</v>
      </c>
      <c r="AK73">
        <f ca="1">IF(AND(ISNUMBER($AK$324),$B$258=1),$AK$324,HLOOKUP(INDIRECT(ADDRESS(2,COLUMN())),OFFSET($BN$2,0,0,ROW()-1,60),ROW()-1,FALSE))</f>
        <v>156.43</v>
      </c>
      <c r="AL73">
        <f ca="1">IF(AND(ISNUMBER($AL$324),$B$258=1),$AL$324,HLOOKUP(INDIRECT(ADDRESS(2,COLUMN())),OFFSET($BN$2,0,0,ROW()-1,60),ROW()-1,FALSE))</f>
        <v>151.38399999999999</v>
      </c>
      <c r="AM73">
        <f ca="1">IF(AND(ISNUMBER($AM$324),$B$258=1),$AM$324,HLOOKUP(INDIRECT(ADDRESS(2,COLUMN())),OFFSET($BN$2,0,0,ROW()-1,60),ROW()-1,FALSE))</f>
        <v>150.03</v>
      </c>
      <c r="AN73">
        <f ca="1">IF(AND(ISNUMBER($AN$324),$B$258=1),$AN$324,HLOOKUP(INDIRECT(ADDRESS(2,COLUMN())),OFFSET($BN$2,0,0,ROW()-1,60),ROW()-1,FALSE))</f>
        <v>143.11500000000001</v>
      </c>
      <c r="AO73">
        <f ca="1">IF(AND(ISNUMBER($AO$324),$B$258=1),$AO$324,HLOOKUP(INDIRECT(ADDRESS(2,COLUMN())),OFFSET($BN$2,0,0,ROW()-1,60),ROW()-1,FALSE))</f>
        <v>145.29499999999999</v>
      </c>
      <c r="AP73">
        <f ca="1">IF(AND(ISNUMBER($AP$324),$B$258=1),$AP$324,HLOOKUP(INDIRECT(ADDRESS(2,COLUMN())),OFFSET($BN$2,0,0,ROW()-1,60),ROW()-1,FALSE))</f>
        <v>141.19399999999999</v>
      </c>
      <c r="AQ73">
        <f ca="1">IF(AND(ISNUMBER($AQ$324),$B$258=1),$AQ$324,HLOOKUP(INDIRECT(ADDRESS(2,COLUMN())),OFFSET($BN$2,0,0,ROW()-1,60),ROW()-1,FALSE))</f>
        <v>327.25</v>
      </c>
      <c r="AR73">
        <f ca="1">IF(AND(ISNUMBER($AR$324),$B$258=1),$AR$324,HLOOKUP(INDIRECT(ADDRESS(2,COLUMN())),OFFSET($BN$2,0,0,ROW()-1,60),ROW()-1,FALSE))</f>
        <v>-34.393000000000001</v>
      </c>
      <c r="AS73">
        <f ca="1">IF(AND(ISNUMBER($AS$324),$B$258=1),$AS$324,HLOOKUP(INDIRECT(ADDRESS(2,COLUMN())),OFFSET($BN$2,0,0,ROW()-1,60),ROW()-1,FALSE))</f>
        <v>147.376</v>
      </c>
      <c r="AT73">
        <f ca="1">IF(AND(ISNUMBER($AT$324),$B$258=1),$AT$324,HLOOKUP(INDIRECT(ADDRESS(2,COLUMN())),OFFSET($BN$2,0,0,ROW()-1,60),ROW()-1,FALSE))</f>
        <v>146.316</v>
      </c>
      <c r="AU73">
        <f ca="1">IF(AND(ISNUMBER($AU$324),$B$258=1),$AU$324,HLOOKUP(INDIRECT(ADDRESS(2,COLUMN())),OFFSET($BN$2,0,0,ROW()-1,60),ROW()-1,FALSE))</f>
        <v>139.19800000000001</v>
      </c>
      <c r="AV73">
        <f ca="1">IF(AND(ISNUMBER($AV$324),$B$258=1),$AV$324,HLOOKUP(INDIRECT(ADDRESS(2,COLUMN())),OFFSET($BN$2,0,0,ROW()-1,60),ROW()-1,FALSE))</f>
        <v>144</v>
      </c>
      <c r="AW73">
        <f ca="1">IF(AND(ISNUMBER($AW$324),$B$258=1),$AW$324,HLOOKUP(INDIRECT(ADDRESS(2,COLUMN())),OFFSET($BN$2,0,0,ROW()-1,60),ROW()-1,FALSE))</f>
        <v>134.92099999999999</v>
      </c>
      <c r="AX73">
        <f ca="1">IF(AND(ISNUMBER($AX$324),$B$258=1),$AX$324,HLOOKUP(INDIRECT(ADDRESS(2,COLUMN())),OFFSET($BN$2,0,0,ROW()-1,60),ROW()-1,FALSE))</f>
        <v>111.15900000000001</v>
      </c>
      <c r="AY73">
        <f ca="1">IF(AND(ISNUMBER($AY$324),$B$258=1),$AY$324,HLOOKUP(INDIRECT(ADDRESS(2,COLUMN())),OFFSET($BN$2,0,0,ROW()-1,60),ROW()-1,FALSE))</f>
        <v>105.605</v>
      </c>
      <c r="AZ73">
        <f ca="1">IF(AND(ISNUMBER($AZ$324),$B$258=1),$AZ$324,HLOOKUP(INDIRECT(ADDRESS(2,COLUMN())),OFFSET($BN$2,0,0,ROW()-1,60),ROW()-1,FALSE))</f>
        <v>96.860230000000001</v>
      </c>
      <c r="BA73">
        <f ca="1">IF(AND(ISNUMBER($BA$324),$B$258=1),$BA$324,HLOOKUP(INDIRECT(ADDRESS(2,COLUMN())),OFFSET($BN$2,0,0,ROW()-1,60),ROW()-1,FALSE))</f>
        <v>90.408000000000001</v>
      </c>
      <c r="BB73">
        <f ca="1">IF(AND(ISNUMBER($BB$324),$B$258=1),$BB$324,HLOOKUP(INDIRECT(ADDRESS(2,COLUMN())),OFFSET($BN$2,0,0,ROW()-1,60),ROW()-1,FALSE))</f>
        <v>90.561000000000007</v>
      </c>
      <c r="BC73">
        <f ca="1">IF(AND(ISNUMBER($BC$324),$B$258=1),$BC$324,HLOOKUP(INDIRECT(ADDRESS(2,COLUMN())),OFFSET($BN$2,0,0,ROW()-1,60),ROW()-1,FALSE))</f>
        <v>89.024000000000001</v>
      </c>
      <c r="BD73">
        <f ca="1">IF(AND(ISNUMBER($BD$324),$B$258=1),$BD$324,HLOOKUP(INDIRECT(ADDRESS(2,COLUMN())),OFFSET($BN$2,0,0,ROW()-1,60),ROW()-1,FALSE))</f>
        <v>90.119</v>
      </c>
      <c r="BE73">
        <f ca="1">IF(AND(ISNUMBER($BE$324),$B$258=1),$BE$324,HLOOKUP(INDIRECT(ADDRESS(2,COLUMN())),OFFSET($BN$2,0,0,ROW()-1,60),ROW()-1,FALSE))</f>
        <v>67.878</v>
      </c>
      <c r="BF73">
        <f ca="1">IF(AND(ISNUMBER($BF$324),$B$258=1),$BF$324,HLOOKUP(INDIRECT(ADDRESS(2,COLUMN())),OFFSET($BN$2,0,0,ROW()-1,60),ROW()-1,FALSE))</f>
        <v>58.430999999999997</v>
      </c>
      <c r="BG73">
        <f ca="1">IF(AND(ISNUMBER($BG$324),$B$258=1),$BG$324,HLOOKUP(INDIRECT(ADDRESS(2,COLUMN())),OFFSET($BN$2,0,0,ROW()-1,60),ROW()-1,FALSE))</f>
        <v>57.692</v>
      </c>
      <c r="BH73">
        <f ca="1">IF(AND(ISNUMBER($BH$324),$B$258=1),$BH$324,HLOOKUP(INDIRECT(ADDRESS(2,COLUMN())),OFFSET($BN$2,0,0,ROW()-1,60),ROW()-1,FALSE))</f>
        <v>57.444000000000003</v>
      </c>
      <c r="BI73">
        <f ca="1">IF(AND(ISNUMBER($BI$324),$B$258=1),$BI$324,HLOOKUP(INDIRECT(ADDRESS(2,COLUMN())),OFFSET($BN$2,0,0,ROW()-1,60),ROW()-1,FALSE))</f>
        <v>54.433</v>
      </c>
      <c r="BJ73">
        <f ca="1">IF(AND(ISNUMBER($BJ$324),$B$258=1),$BJ$324,HLOOKUP(INDIRECT(ADDRESS(2,COLUMN())),OFFSET($BN$2,0,0,ROW()-1,60),ROW()-1,FALSE))</f>
        <v>49.104999999999997</v>
      </c>
      <c r="BK73">
        <f ca="1">IF(AND(ISNUMBER($BK$324),$B$258=1),$BK$324,HLOOKUP(INDIRECT(ADDRESS(2,COLUMN())),OFFSET($BN$2,0,0,ROW()-1,60),ROW()-1,FALSE))</f>
        <v>46.167999270000003</v>
      </c>
      <c r="BL73">
        <f ca="1">IF(AND(ISNUMBER($BL$324),$B$258=1),$BL$324,HLOOKUP(INDIRECT(ADDRESS(2,COLUMN())),OFFSET($BN$2,0,0,ROW()-1,60),ROW()-1,FALSE))</f>
        <v>46.493999479999999</v>
      </c>
      <c r="BM73">
        <f ca="1">IF(AND(ISNUMBER($BM$324),$B$258=1),$BM$324,HLOOKUP(INDIRECT(ADDRESS(2,COLUMN())),OFFSET($BN$2,0,0,ROW()-1,60),ROW()-1,FALSE))</f>
        <v>43.374000000000002</v>
      </c>
      <c r="BN73" t="str">
        <f>""</f>
        <v/>
      </c>
      <c r="BO73">
        <f>484.995</f>
        <v>484.995</v>
      </c>
      <c r="BP73">
        <f>489.182</f>
        <v>489.18200000000002</v>
      </c>
      <c r="BQ73">
        <f>489.783</f>
        <v>489.78300000000002</v>
      </c>
      <c r="BR73">
        <f>477.701</f>
        <v>477.70100000000002</v>
      </c>
      <c r="BS73">
        <f>478.161</f>
        <v>478.161</v>
      </c>
      <c r="BT73">
        <f>457.241</f>
        <v>457.24099999999999</v>
      </c>
      <c r="BU73">
        <f>455.279</f>
        <v>455.279</v>
      </c>
      <c r="BV73">
        <f>459.258</f>
        <v>459.25799999999998</v>
      </c>
      <c r="BW73">
        <f>455.914</f>
        <v>455.91399999999999</v>
      </c>
      <c r="BX73">
        <f>392.964</f>
        <v>392.964</v>
      </c>
      <c r="BY73">
        <f>451.766</f>
        <v>451.76600000000002</v>
      </c>
      <c r="BZ73">
        <f>424.176</f>
        <v>424.17599999999999</v>
      </c>
      <c r="CA73">
        <f>399.965</f>
        <v>399.96499999999997</v>
      </c>
      <c r="CB73">
        <f>376.406</f>
        <v>376.40600000000001</v>
      </c>
      <c r="CC73">
        <f>421.21</f>
        <v>421.21</v>
      </c>
      <c r="CD73">
        <f>407.115</f>
        <v>407.11500000000001</v>
      </c>
      <c r="CE73">
        <f>409.434</f>
        <v>409.43400000000003</v>
      </c>
      <c r="CF73">
        <f>401.204</f>
        <v>401.20400000000001</v>
      </c>
      <c r="CG73">
        <f>401.425</f>
        <v>401.42500000000001</v>
      </c>
      <c r="CH73">
        <f>392.508</f>
        <v>392.50799999999998</v>
      </c>
      <c r="CI73">
        <f>375.846</f>
        <v>375.846</v>
      </c>
      <c r="CJ73">
        <f>361.016</f>
        <v>361.01600000000002</v>
      </c>
      <c r="CK73">
        <f>322.784</f>
        <v>322.78399999999999</v>
      </c>
      <c r="CL73">
        <f>321.635</f>
        <v>321.63499999999999</v>
      </c>
      <c r="CM73">
        <f>129.363</f>
        <v>129.363</v>
      </c>
      <c r="CN73">
        <f>338.025</f>
        <v>338.02499999999998</v>
      </c>
      <c r="CO73">
        <f>138.195</f>
        <v>138.19499999999999</v>
      </c>
      <c r="CP73">
        <f>157.709</f>
        <v>157.709</v>
      </c>
      <c r="CQ73">
        <f>160.055</f>
        <v>160.05500000000001</v>
      </c>
      <c r="CR73">
        <f>153.334</f>
        <v>153.334</v>
      </c>
      <c r="CS73">
        <f>156.43</f>
        <v>156.43</v>
      </c>
      <c r="CT73">
        <f>151.384</f>
        <v>151.38399999999999</v>
      </c>
      <c r="CU73">
        <f>150.03</f>
        <v>150.03</v>
      </c>
      <c r="CV73">
        <f>143.115</f>
        <v>143.11500000000001</v>
      </c>
      <c r="CW73">
        <f>145.295</f>
        <v>145.29499999999999</v>
      </c>
      <c r="CX73">
        <f>141.194</f>
        <v>141.19399999999999</v>
      </c>
      <c r="CY73">
        <f>327.25</f>
        <v>327.25</v>
      </c>
      <c r="CZ73">
        <f>-34.393</f>
        <v>-34.393000000000001</v>
      </c>
      <c r="DA73">
        <f>147.376</f>
        <v>147.376</v>
      </c>
      <c r="DB73">
        <f>146.316</f>
        <v>146.316</v>
      </c>
      <c r="DC73">
        <f>139.198</f>
        <v>139.19800000000001</v>
      </c>
      <c r="DD73">
        <f>144</f>
        <v>144</v>
      </c>
      <c r="DE73">
        <f>134.921</f>
        <v>134.92099999999999</v>
      </c>
      <c r="DF73">
        <f>111.159</f>
        <v>111.15900000000001</v>
      </c>
      <c r="DG73">
        <f>105.605</f>
        <v>105.605</v>
      </c>
      <c r="DH73">
        <f>96.86023</f>
        <v>96.860230000000001</v>
      </c>
      <c r="DI73">
        <f>90.408</f>
        <v>90.408000000000001</v>
      </c>
      <c r="DJ73">
        <f>90.561</f>
        <v>90.561000000000007</v>
      </c>
      <c r="DK73">
        <f>89.024</f>
        <v>89.024000000000001</v>
      </c>
      <c r="DL73">
        <f>90.119</f>
        <v>90.119</v>
      </c>
      <c r="DM73">
        <f>67.878</f>
        <v>67.878</v>
      </c>
      <c r="DN73">
        <f>58.431</f>
        <v>58.430999999999997</v>
      </c>
      <c r="DO73">
        <f>57.692</f>
        <v>57.692</v>
      </c>
      <c r="DP73">
        <f>57.444</f>
        <v>57.444000000000003</v>
      </c>
      <c r="DQ73">
        <f>54.433</f>
        <v>54.433</v>
      </c>
      <c r="DR73">
        <f>49.105</f>
        <v>49.104999999999997</v>
      </c>
      <c r="DS73">
        <f>46.16799927</f>
        <v>46.167999270000003</v>
      </c>
      <c r="DT73">
        <f>46.49399948</f>
        <v>46.493999479999999</v>
      </c>
      <c r="DU73">
        <f>43.374</f>
        <v>43.374000000000002</v>
      </c>
    </row>
    <row r="74" spans="1:125">
      <c r="A74" t="str">
        <f>"    Welltower Inc"</f>
        <v xml:space="preserve">    Welltower Inc</v>
      </c>
      <c r="B74" t="str">
        <f>"HCN US Equity"</f>
        <v>HCN US Equity</v>
      </c>
      <c r="C74" t="str">
        <f t="shared" si="15"/>
        <v>RR009</v>
      </c>
      <c r="D74" t="str">
        <f t="shared" si="16"/>
        <v>EBITDA</v>
      </c>
      <c r="E74" t="str">
        <f t="shared" si="17"/>
        <v>动态</v>
      </c>
      <c r="F74" t="str">
        <f ca="1">IF(AND(ISNUMBER($F$325),$B$258=1),$F$325,HLOOKUP(INDIRECT(ADDRESS(2,COLUMN())),OFFSET($BN$2,0,0,ROW()-1,60),ROW()-1,FALSE))</f>
        <v/>
      </c>
      <c r="G74">
        <f ca="1">IF(AND(ISNUMBER($G$325),$B$258=1),$G$325,HLOOKUP(INDIRECT(ADDRESS(2,COLUMN())),OFFSET($BN$2,0,0,ROW()-1,60),ROW()-1,FALSE))</f>
        <v>305.21100000000001</v>
      </c>
      <c r="H74">
        <f ca="1">IF(AND(ISNUMBER($H$325),$B$258=1),$H$325,HLOOKUP(INDIRECT(ADDRESS(2,COLUMN())),OFFSET($BN$2,0,0,ROW()-1,60),ROW()-1,FALSE))</f>
        <v>437.786</v>
      </c>
      <c r="I74">
        <f ca="1">IF(AND(ISNUMBER($I$325),$B$258=1),$I$325,HLOOKUP(INDIRECT(ADDRESS(2,COLUMN())),OFFSET($BN$2,0,0,ROW()-1,60),ROW()-1,FALSE))</f>
        <v>503.45</v>
      </c>
      <c r="J74">
        <f ca="1">IF(AND(ISNUMBER($J$325),$B$258=1),$J$325,HLOOKUP(INDIRECT(ADDRESS(2,COLUMN())),OFFSET($BN$2,0,0,ROW()-1,60),ROW()-1,FALSE))</f>
        <v>497.10599999999999</v>
      </c>
      <c r="K74">
        <f ca="1">IF(AND(ISNUMBER($K$325),$B$258=1),$K$325,HLOOKUP(INDIRECT(ADDRESS(2,COLUMN())),OFFSET($BN$2,0,0,ROW()-1,60),ROW()-1,FALSE))</f>
        <v>508.62700000000001</v>
      </c>
      <c r="L74">
        <f ca="1">IF(AND(ISNUMBER($L$325),$B$258=1),$L$325,HLOOKUP(INDIRECT(ADDRESS(2,COLUMN())),OFFSET($BN$2,0,0,ROW()-1,60),ROW()-1,FALSE))</f>
        <v>541.62400000000002</v>
      </c>
      <c r="M74">
        <f ca="1">IF(AND(ISNUMBER($M$325),$B$258=1),$M$325,HLOOKUP(INDIRECT(ADDRESS(2,COLUMN())),OFFSET($BN$2,0,0,ROW()-1,60),ROW()-1,FALSE))</f>
        <v>569.69500000000005</v>
      </c>
      <c r="N74">
        <f ca="1">IF(AND(ISNUMBER($N$325),$B$258=1),$N$325,HLOOKUP(INDIRECT(ADDRESS(2,COLUMN())),OFFSET($BN$2,0,0,ROW()-1,60),ROW()-1,FALSE))</f>
        <v>529.43100000000004</v>
      </c>
      <c r="O74">
        <f ca="1">IF(AND(ISNUMBER($O$325),$B$258=1),$O$325,HLOOKUP(INDIRECT(ADDRESS(2,COLUMN())),OFFSET($BN$2,0,0,ROW()-1,60),ROW()-1,FALSE))</f>
        <v>478.85199999999998</v>
      </c>
      <c r="P74">
        <f ca="1">IF(AND(ISNUMBER($P$325),$B$258=1),$P$325,HLOOKUP(INDIRECT(ADDRESS(2,COLUMN())),OFFSET($BN$2,0,0,ROW()-1,60),ROW()-1,FALSE))</f>
        <v>526.005</v>
      </c>
      <c r="Q74">
        <f ca="1">IF(AND(ISNUMBER($Q$325),$B$258=1),$Q$325,HLOOKUP(INDIRECT(ADDRESS(2,COLUMN())),OFFSET($BN$2,0,0,ROW()-1,60),ROW()-1,FALSE))</f>
        <v>498.024</v>
      </c>
      <c r="R74">
        <f ca="1">IF(AND(ISNUMBER($R$325),$B$258=1),$R$325,HLOOKUP(INDIRECT(ADDRESS(2,COLUMN())),OFFSET($BN$2,0,0,ROW()-1,60),ROW()-1,FALSE))</f>
        <v>431.91699999999997</v>
      </c>
      <c r="S74">
        <f ca="1">IF(AND(ISNUMBER($S$325),$B$258=1),$S$325,HLOOKUP(INDIRECT(ADDRESS(2,COLUMN())),OFFSET($BN$2,0,0,ROW()-1,60),ROW()-1,FALSE))</f>
        <v>429.38200000000001</v>
      </c>
      <c r="T74">
        <f ca="1">IF(AND(ISNUMBER($T$325),$B$258=1),$T$325,HLOOKUP(INDIRECT(ADDRESS(2,COLUMN())),OFFSET($BN$2,0,0,ROW()-1,60),ROW()-1,FALSE))</f>
        <v>437.88600000000002</v>
      </c>
      <c r="U74">
        <f ca="1">IF(AND(ISNUMBER($U$325),$B$258=1),$U$325,HLOOKUP(INDIRECT(ADDRESS(2,COLUMN())),OFFSET($BN$2,0,0,ROW()-1,60),ROW()-1,FALSE))</f>
        <v>424.09</v>
      </c>
      <c r="V74">
        <f ca="1">IF(AND(ISNUMBER($V$325),$B$258=1),$V$325,HLOOKUP(INDIRECT(ADDRESS(2,COLUMN())),OFFSET($BN$2,0,0,ROW()-1,60),ROW()-1,FALSE))</f>
        <v>426.82499999999999</v>
      </c>
      <c r="W74">
        <f ca="1">IF(AND(ISNUMBER($W$325),$B$258=1),$W$325,HLOOKUP(INDIRECT(ADDRESS(2,COLUMN())),OFFSET($BN$2,0,0,ROW()-1,60),ROW()-1,FALSE))</f>
        <v>596.94299999999998</v>
      </c>
      <c r="X74">
        <f ca="1">IF(AND(ISNUMBER($X$325),$B$258=1),$X$325,HLOOKUP(INDIRECT(ADDRESS(2,COLUMN())),OFFSET($BN$2,0,0,ROW()-1,60),ROW()-1,FALSE))</f>
        <v>391.50200000000001</v>
      </c>
      <c r="Y74">
        <f ca="1">IF(AND(ISNUMBER($Y$325),$B$258=1),$Y$325,HLOOKUP(INDIRECT(ADDRESS(2,COLUMN())),OFFSET($BN$2,0,0,ROW()-1,60),ROW()-1,FALSE))</f>
        <v>351.02499999999998</v>
      </c>
      <c r="Z74">
        <f ca="1">IF(AND(ISNUMBER($Z$325),$B$258=1),$Z$325,HLOOKUP(INDIRECT(ADDRESS(2,COLUMN())),OFFSET($BN$2,0,0,ROW()-1,60),ROW()-1,FALSE))</f>
        <v>352.32799999999997</v>
      </c>
      <c r="AA74">
        <f ca="1">IF(AND(ISNUMBER($AA$325),$B$258=1),$AA$325,HLOOKUP(INDIRECT(ADDRESS(2,COLUMN())),OFFSET($BN$2,0,0,ROW()-1,60),ROW()-1,FALSE))</f>
        <v>300.69400000000002</v>
      </c>
      <c r="AB74">
        <f ca="1">IF(AND(ISNUMBER($AB$325),$B$258=1),$AB$325,HLOOKUP(INDIRECT(ADDRESS(2,COLUMN())),OFFSET($BN$2,0,0,ROW()-1,60),ROW()-1,FALSE))</f>
        <v>264.45100000000002</v>
      </c>
      <c r="AC74">
        <f ca="1">IF(AND(ISNUMBER($AC$325),$B$258=1),$AC$325,HLOOKUP(INDIRECT(ADDRESS(2,COLUMN())),OFFSET($BN$2,0,0,ROW()-1,60),ROW()-1,FALSE))</f>
        <v>253.73</v>
      </c>
      <c r="AD74">
        <f ca="1">IF(AND(ISNUMBER($AD$325),$B$258=1),$AD$325,HLOOKUP(INDIRECT(ADDRESS(2,COLUMN())),OFFSET($BN$2,0,0,ROW()-1,60),ROW()-1,FALSE))</f>
        <v>262.12799999999999</v>
      </c>
      <c r="AE74">
        <f ca="1">IF(AND(ISNUMBER($AE$325),$B$258=1),$AE$325,HLOOKUP(INDIRECT(ADDRESS(2,COLUMN())),OFFSET($BN$2,0,0,ROW()-1,60),ROW()-1,FALSE))</f>
        <v>242.89</v>
      </c>
      <c r="AF74">
        <f ca="1">IF(AND(ISNUMBER($AF$325),$B$258=1),$AF$325,HLOOKUP(INDIRECT(ADDRESS(2,COLUMN())),OFFSET($BN$2,0,0,ROW()-1,60),ROW()-1,FALSE))</f>
        <v>244.523</v>
      </c>
      <c r="AG74">
        <f ca="1">IF(AND(ISNUMBER($AG$325),$B$258=1),$AG$325,HLOOKUP(INDIRECT(ADDRESS(2,COLUMN())),OFFSET($BN$2,0,0,ROW()-1,60),ROW()-1,FALSE))</f>
        <v>239.726</v>
      </c>
      <c r="AH74">
        <f ca="1">IF(AND(ISNUMBER($AH$325),$B$258=1),$AH$325,HLOOKUP(INDIRECT(ADDRESS(2,COLUMN())),OFFSET($BN$2,0,0,ROW()-1,60),ROW()-1,FALSE))</f>
        <v>131.53299999999999</v>
      </c>
      <c r="AI74">
        <f ca="1">IF(AND(ISNUMBER($AI$325),$B$258=1),$AI$325,HLOOKUP(INDIRECT(ADDRESS(2,COLUMN())),OFFSET($BN$2,0,0,ROW()-1,60),ROW()-1,FALSE))</f>
        <v>130.74</v>
      </c>
      <c r="AJ74">
        <f ca="1">IF(AND(ISNUMBER($AJ$325),$B$258=1),$AJ$325,HLOOKUP(INDIRECT(ADDRESS(2,COLUMN())),OFFSET($BN$2,0,0,ROW()-1,60),ROW()-1,FALSE))</f>
        <v>89.447999999999993</v>
      </c>
      <c r="AK74">
        <f ca="1">IF(AND(ISNUMBER($AK$325),$B$258=1),$AK$325,HLOOKUP(INDIRECT(ADDRESS(2,COLUMN())),OFFSET($BN$2,0,0,ROW()-1,60),ROW()-1,FALSE))</f>
        <v>131.75399999999999</v>
      </c>
      <c r="AL74">
        <f ca="1">IF(AND(ISNUMBER($AL$325),$B$258=1),$AL$325,HLOOKUP(INDIRECT(ADDRESS(2,COLUMN())),OFFSET($BN$2,0,0,ROW()-1,60),ROW()-1,FALSE))</f>
        <v>110.771</v>
      </c>
      <c r="AM74">
        <f ca="1">IF(AND(ISNUMBER($AM$325),$B$258=1),$AM$325,HLOOKUP(INDIRECT(ADDRESS(2,COLUMN())),OFFSET($BN$2,0,0,ROW()-1,60),ROW()-1,FALSE))</f>
        <v>85.998000000000005</v>
      </c>
      <c r="AN74">
        <f ca="1">IF(AND(ISNUMBER($AN$325),$B$258=1),$AN$325,HLOOKUP(INDIRECT(ADDRESS(2,COLUMN())),OFFSET($BN$2,0,0,ROW()-1,60),ROW()-1,FALSE))</f>
        <v>131.25</v>
      </c>
      <c r="AO74">
        <f ca="1">IF(AND(ISNUMBER($AO$325),$B$258=1),$AO$325,HLOOKUP(INDIRECT(ADDRESS(2,COLUMN())),OFFSET($BN$2,0,0,ROW()-1,60),ROW()-1,FALSE))</f>
        <v>118.985</v>
      </c>
      <c r="AP74">
        <f ca="1">IF(AND(ISNUMBER($AP$325),$B$258=1),$AP$325,HLOOKUP(INDIRECT(ADDRESS(2,COLUMN())),OFFSET($BN$2,0,0,ROW()-1,60),ROW()-1,FALSE))</f>
        <v>113.068</v>
      </c>
      <c r="AQ74">
        <f ca="1">IF(AND(ISNUMBER($AQ$325),$B$258=1),$AQ$325,HLOOKUP(INDIRECT(ADDRESS(2,COLUMN())),OFFSET($BN$2,0,0,ROW()-1,60),ROW()-1,FALSE))</f>
        <v>46.820999999999998</v>
      </c>
      <c r="AR74">
        <f ca="1">IF(AND(ISNUMBER($AR$325),$B$258=1),$AR$325,HLOOKUP(INDIRECT(ADDRESS(2,COLUMN())),OFFSET($BN$2,0,0,ROW()-1,60),ROW()-1,FALSE))</f>
        <v>125.375</v>
      </c>
      <c r="AS74">
        <f ca="1">IF(AND(ISNUMBER($AS$325),$B$258=1),$AS$325,HLOOKUP(INDIRECT(ADDRESS(2,COLUMN())),OFFSET($BN$2,0,0,ROW()-1,60),ROW()-1,FALSE))</f>
        <v>118.258</v>
      </c>
      <c r="AT74">
        <f ca="1">IF(AND(ISNUMBER($AT$325),$B$258=1),$AT$325,HLOOKUP(INDIRECT(ADDRESS(2,COLUMN())),OFFSET($BN$2,0,0,ROW()-1,60),ROW()-1,FALSE))</f>
        <v>106.55800000000001</v>
      </c>
      <c r="AU74">
        <f ca="1">IF(AND(ISNUMBER($AU$325),$B$258=1),$AU$325,HLOOKUP(INDIRECT(ADDRESS(2,COLUMN())),OFFSET($BN$2,0,0,ROW()-1,60),ROW()-1,FALSE))</f>
        <v>104.218</v>
      </c>
      <c r="AV74">
        <f ca="1">IF(AND(ISNUMBER($AV$325),$B$258=1),$AV$325,HLOOKUP(INDIRECT(ADDRESS(2,COLUMN())),OFFSET($BN$2,0,0,ROW()-1,60),ROW()-1,FALSE))</f>
        <v>102.788</v>
      </c>
      <c r="AW74">
        <f ca="1">IF(AND(ISNUMBER($AW$325),$B$258=1),$AW$325,HLOOKUP(INDIRECT(ADDRESS(2,COLUMN())),OFFSET($BN$2,0,0,ROW()-1,60),ROW()-1,FALSE))</f>
        <v>97.938000000000002</v>
      </c>
      <c r="AX74">
        <f ca="1">IF(AND(ISNUMBER($AX$325),$B$258=1),$AX$325,HLOOKUP(INDIRECT(ADDRESS(2,COLUMN())),OFFSET($BN$2,0,0,ROW()-1,60),ROW()-1,FALSE))</f>
        <v>92.738</v>
      </c>
      <c r="AY74">
        <f ca="1">IF(AND(ISNUMBER($AY$325),$B$258=1),$AY$325,HLOOKUP(INDIRECT(ADDRESS(2,COLUMN())),OFFSET($BN$2,0,0,ROW()-1,60),ROW()-1,FALSE))</f>
        <v>73.691999999999993</v>
      </c>
      <c r="AZ74">
        <f ca="1">IF(AND(ISNUMBER($AZ$325),$B$258=1),$AZ$325,HLOOKUP(INDIRECT(ADDRESS(2,COLUMN())),OFFSET($BN$2,0,0,ROW()-1,60),ROW()-1,FALSE))</f>
        <v>75.100999999999999</v>
      </c>
      <c r="BA74">
        <f ca="1">IF(AND(ISNUMBER($BA$325),$B$258=1),$BA$325,HLOOKUP(INDIRECT(ADDRESS(2,COLUMN())),OFFSET($BN$2,0,0,ROW()-1,60),ROW()-1,FALSE))</f>
        <v>71.7</v>
      </c>
      <c r="BB74">
        <f ca="1">IF(AND(ISNUMBER($BB$325),$B$258=1),$BB$325,HLOOKUP(INDIRECT(ADDRESS(2,COLUMN())),OFFSET($BN$2,0,0,ROW()-1,60),ROW()-1,FALSE))</f>
        <v>73.715000000000003</v>
      </c>
      <c r="BC74">
        <f ca="1">IF(AND(ISNUMBER($BC$325),$B$258=1),$BC$325,HLOOKUP(INDIRECT(ADDRESS(2,COLUMN())),OFFSET($BN$2,0,0,ROW()-1,60),ROW()-1,FALSE))</f>
        <v>73.554000000000002</v>
      </c>
      <c r="BD74">
        <f ca="1">IF(AND(ISNUMBER($BD$325),$B$258=1),$BD$325,HLOOKUP(INDIRECT(ADDRESS(2,COLUMN())),OFFSET($BN$2,0,0,ROW()-1,60),ROW()-1,FALSE))</f>
        <v>67.736999999999995</v>
      </c>
      <c r="BE74">
        <f ca="1">IF(AND(ISNUMBER($BE$325),$B$258=1),$BE$325,HLOOKUP(INDIRECT(ADDRESS(2,COLUMN())),OFFSET($BN$2,0,0,ROW()-1,60),ROW()-1,FALSE))</f>
        <v>64.096999999999994</v>
      </c>
      <c r="BF74">
        <f ca="1">IF(AND(ISNUMBER($BF$325),$B$258=1),$BF$325,HLOOKUP(INDIRECT(ADDRESS(2,COLUMN())),OFFSET($BN$2,0,0,ROW()-1,60),ROW()-1,FALSE))</f>
        <v>62.875999999999998</v>
      </c>
      <c r="BG74">
        <f ca="1">IF(AND(ISNUMBER($BG$325),$B$258=1),$BG$325,HLOOKUP(INDIRECT(ADDRESS(2,COLUMN())),OFFSET($BN$2,0,0,ROW()-1,60),ROW()-1,FALSE))</f>
        <v>53.094000000000001</v>
      </c>
      <c r="BH74">
        <f ca="1">IF(AND(ISNUMBER($BH$325),$B$258=1),$BH$325,HLOOKUP(INDIRECT(ADDRESS(2,COLUMN())),OFFSET($BN$2,0,0,ROW()-1,60),ROW()-1,FALSE))</f>
        <v>59.927</v>
      </c>
      <c r="BI74">
        <f ca="1">IF(AND(ISNUMBER($BI$325),$B$258=1),$BI$325,HLOOKUP(INDIRECT(ADDRESS(2,COLUMN())),OFFSET($BN$2,0,0,ROW()-1,60),ROW()-1,FALSE))</f>
        <v>55.923999999999999</v>
      </c>
      <c r="BJ74">
        <f ca="1">IF(AND(ISNUMBER($BJ$325),$B$258=1),$BJ$325,HLOOKUP(INDIRECT(ADDRESS(2,COLUMN())),OFFSET($BN$2,0,0,ROW()-1,60),ROW()-1,FALSE))</f>
        <v>57.728999999999999</v>
      </c>
      <c r="BK74">
        <f ca="1">IF(AND(ISNUMBER($BK$325),$B$258=1),$BK$325,HLOOKUP(INDIRECT(ADDRESS(2,COLUMN())),OFFSET($BN$2,0,0,ROW()-1,60),ROW()-1,FALSE))</f>
        <v>56.305000999999997</v>
      </c>
      <c r="BL74">
        <f ca="1">IF(AND(ISNUMBER($BL$325),$B$258=1),$BL$325,HLOOKUP(INDIRECT(ADDRESS(2,COLUMN())),OFFSET($BN$2,0,0,ROW()-1,60),ROW()-1,FALSE))</f>
        <v>46.713999999999999</v>
      </c>
      <c r="BM74">
        <f ca="1">IF(AND(ISNUMBER($BM$325),$B$258=1),$BM$325,HLOOKUP(INDIRECT(ADDRESS(2,COLUMN())),OFFSET($BN$2,0,0,ROW()-1,60),ROW()-1,FALSE))</f>
        <v>42.853999999999999</v>
      </c>
      <c r="BN74" t="str">
        <f>""</f>
        <v/>
      </c>
      <c r="BO74">
        <f>305.211</f>
        <v>305.21100000000001</v>
      </c>
      <c r="BP74">
        <f>437.786</f>
        <v>437.786</v>
      </c>
      <c r="BQ74">
        <f>503.45</f>
        <v>503.45</v>
      </c>
      <c r="BR74">
        <f>497.106</f>
        <v>497.10599999999999</v>
      </c>
      <c r="BS74">
        <f>508.627</f>
        <v>508.62700000000001</v>
      </c>
      <c r="BT74">
        <f>541.624</f>
        <v>541.62400000000002</v>
      </c>
      <c r="BU74">
        <f>569.695</f>
        <v>569.69500000000005</v>
      </c>
      <c r="BV74">
        <f>529.431</f>
        <v>529.43100000000004</v>
      </c>
      <c r="BW74">
        <f>478.852</f>
        <v>478.85199999999998</v>
      </c>
      <c r="BX74">
        <f>526.005</f>
        <v>526.005</v>
      </c>
      <c r="BY74">
        <f>498.024</f>
        <v>498.024</v>
      </c>
      <c r="BZ74">
        <f>431.917</f>
        <v>431.91699999999997</v>
      </c>
      <c r="CA74">
        <f>429.382</f>
        <v>429.38200000000001</v>
      </c>
      <c r="CB74">
        <f>437.886</f>
        <v>437.88600000000002</v>
      </c>
      <c r="CC74">
        <f>424.09</f>
        <v>424.09</v>
      </c>
      <c r="CD74">
        <f>426.825</f>
        <v>426.82499999999999</v>
      </c>
      <c r="CE74">
        <f>596.943</f>
        <v>596.94299999999998</v>
      </c>
      <c r="CF74">
        <f>391.502</f>
        <v>391.50200000000001</v>
      </c>
      <c r="CG74">
        <f>351.025</f>
        <v>351.02499999999998</v>
      </c>
      <c r="CH74">
        <f>352.328</f>
        <v>352.32799999999997</v>
      </c>
      <c r="CI74">
        <f>300.694</f>
        <v>300.69400000000002</v>
      </c>
      <c r="CJ74">
        <f>264.451</f>
        <v>264.45100000000002</v>
      </c>
      <c r="CK74">
        <f>253.73</f>
        <v>253.73</v>
      </c>
      <c r="CL74">
        <f>262.128</f>
        <v>262.12799999999999</v>
      </c>
      <c r="CM74">
        <f>242.89</f>
        <v>242.89</v>
      </c>
      <c r="CN74">
        <f>244.523</f>
        <v>244.523</v>
      </c>
      <c r="CO74">
        <f>239.726</f>
        <v>239.726</v>
      </c>
      <c r="CP74">
        <f>131.533</f>
        <v>131.53299999999999</v>
      </c>
      <c r="CQ74">
        <f>130.74</f>
        <v>130.74</v>
      </c>
      <c r="CR74">
        <f>89.448</f>
        <v>89.447999999999993</v>
      </c>
      <c r="CS74">
        <f>131.754</f>
        <v>131.75399999999999</v>
      </c>
      <c r="CT74">
        <f>110.771</f>
        <v>110.771</v>
      </c>
      <c r="CU74">
        <f>85.998</f>
        <v>85.998000000000005</v>
      </c>
      <c r="CV74">
        <f>131.25</f>
        <v>131.25</v>
      </c>
      <c r="CW74">
        <f>118.985</f>
        <v>118.985</v>
      </c>
      <c r="CX74">
        <f>113.068</f>
        <v>113.068</v>
      </c>
      <c r="CY74">
        <f>46.821</f>
        <v>46.820999999999998</v>
      </c>
      <c r="CZ74">
        <f>125.375</f>
        <v>125.375</v>
      </c>
      <c r="DA74">
        <f>118.258</f>
        <v>118.258</v>
      </c>
      <c r="DB74">
        <f>106.558</f>
        <v>106.55800000000001</v>
      </c>
      <c r="DC74">
        <f>104.218</f>
        <v>104.218</v>
      </c>
      <c r="DD74">
        <f>102.788</f>
        <v>102.788</v>
      </c>
      <c r="DE74">
        <f>97.938</f>
        <v>97.938000000000002</v>
      </c>
      <c r="DF74">
        <f>92.738</f>
        <v>92.738</v>
      </c>
      <c r="DG74">
        <f>73.692</f>
        <v>73.691999999999993</v>
      </c>
      <c r="DH74">
        <f>75.101</f>
        <v>75.100999999999999</v>
      </c>
      <c r="DI74">
        <f>71.7</f>
        <v>71.7</v>
      </c>
      <c r="DJ74">
        <f>73.715</f>
        <v>73.715000000000003</v>
      </c>
      <c r="DK74">
        <f>73.554</f>
        <v>73.554000000000002</v>
      </c>
      <c r="DL74">
        <f>67.737</f>
        <v>67.736999999999995</v>
      </c>
      <c r="DM74">
        <f>64.097</f>
        <v>64.096999999999994</v>
      </c>
      <c r="DN74">
        <f>62.876</f>
        <v>62.875999999999998</v>
      </c>
      <c r="DO74">
        <f>53.094</f>
        <v>53.094000000000001</v>
      </c>
      <c r="DP74">
        <f>59.927</f>
        <v>59.927</v>
      </c>
      <c r="DQ74">
        <f>55.924</f>
        <v>55.923999999999999</v>
      </c>
      <c r="DR74">
        <f>57.729</f>
        <v>57.728999999999999</v>
      </c>
      <c r="DS74">
        <f>56.305001</f>
        <v>56.305000999999997</v>
      </c>
      <c r="DT74">
        <f>46.714</f>
        <v>46.713999999999999</v>
      </c>
      <c r="DU74">
        <f>42.854</f>
        <v>42.853999999999999</v>
      </c>
    </row>
    <row r="75" spans="1:125">
      <c r="A75" t="str">
        <f>"调整后EBITDA"</f>
        <v>调整后EBITDA</v>
      </c>
      <c r="B75" t="str">
        <f>""</f>
        <v/>
      </c>
      <c r="E75" t="str">
        <f>"Median"</f>
        <v>Median</v>
      </c>
      <c r="F75" t="str">
        <f ca="1">IF(ISERROR(IF(MEDIAN($F$76:$F$86) = 0, "", MEDIAN($F$76:$F$86))), "", (IF(MEDIAN($F$76:$F$86) = 0, "", MEDIAN($F$76:$F$86))))</f>
        <v/>
      </c>
      <c r="G75">
        <f ca="1">IF(ISERROR(IF(MEDIAN($G$76:$G$86) = 0, "", MEDIAN($G$76:$G$86))), "", (IF(MEDIAN($G$76:$G$86) = 0, "", MEDIAN($G$76:$G$86))))</f>
        <v>256.56099999999998</v>
      </c>
      <c r="H75">
        <f ca="1">IF(ISERROR(IF(MEDIAN($H$76:$H$86) = 0, "", MEDIAN($H$76:$H$86))), "", (IF(MEDIAN($H$76:$H$86) = 0, "", MEDIAN($H$76:$H$86))))</f>
        <v>257.11799999999999</v>
      </c>
      <c r="I75">
        <f ca="1">IF(ISERROR(IF(MEDIAN($I$76:$I$86) = 0, "", MEDIAN($I$76:$I$86))), "", (IF(MEDIAN($I$76:$I$86) = 0, "", MEDIAN($I$76:$I$86))))</f>
        <v>213.095</v>
      </c>
      <c r="J75">
        <f ca="1">IF(ISERROR(IF(MEDIAN($J$76:$J$86) = 0, "", MEDIAN($J$76:$J$86))), "", (IF(MEDIAN($J$76:$J$86) = 0, "", MEDIAN($J$76:$J$86))))</f>
        <v>225.31899999999999</v>
      </c>
      <c r="K75">
        <f ca="1">IF(ISERROR(IF(MEDIAN($K$76:$K$86) = 0, "", MEDIAN($K$76:$K$86))), "", (IF(MEDIAN($K$76:$K$86) = 0, "", MEDIAN($K$76:$K$86))))</f>
        <v>228.57</v>
      </c>
      <c r="L75">
        <f ca="1">IF(ISERROR(IF(MEDIAN($L$76:$L$86) = 0, "", MEDIAN($L$76:$L$86))), "", (IF(MEDIAN($L$76:$L$86) = 0, "", MEDIAN($L$76:$L$86))))</f>
        <v>153.667</v>
      </c>
      <c r="M75">
        <f ca="1">IF(ISERROR(IF(MEDIAN($M$76:$M$86) = 0, "", MEDIAN($M$76:$M$86))), "", (IF(MEDIAN($M$76:$M$86) = 0, "", MEDIAN($M$76:$M$86))))</f>
        <v>187.161</v>
      </c>
      <c r="N75">
        <f ca="1">IF(ISERROR(IF(MEDIAN($N$76:$N$86) = 0, "", MEDIAN($N$76:$N$86))), "", (IF(MEDIAN($N$76:$N$86) = 0, "", MEDIAN($N$76:$N$86))))</f>
        <v>179.005</v>
      </c>
      <c r="O75">
        <f ca="1">IF(ISERROR(IF(MEDIAN($O$76:$O$86) = 0, "", MEDIAN($O$76:$O$86))), "", (IF(MEDIAN($O$76:$O$86) = 0, "", MEDIAN($O$76:$O$86))))</f>
        <v>177.113</v>
      </c>
      <c r="P75">
        <f ca="1">IF(ISERROR(IF(MEDIAN($P$76:$P$86) = 0, "", MEDIAN($P$76:$P$86))), "", (IF(MEDIAN($P$76:$P$86) = 0, "", MEDIAN($P$76:$P$86))))</f>
        <v>172.411</v>
      </c>
      <c r="Q75">
        <f ca="1">IF(ISERROR(IF(MEDIAN($Q$76:$Q$86) = 0, "", MEDIAN($Q$76:$Q$86))), "", (IF(MEDIAN($Q$76:$Q$86) = 0, "", MEDIAN($Q$76:$Q$86))))</f>
        <v>168.09699999999998</v>
      </c>
      <c r="R75">
        <f ca="1">IF(ISERROR(IF(MEDIAN($R$76:$R$86) = 0, "", MEDIAN($R$76:$R$86))), "", (IF(MEDIAN($R$76:$R$86) = 0, "", MEDIAN($R$76:$R$86))))</f>
        <v>135.905</v>
      </c>
      <c r="S75">
        <f ca="1">IF(ISERROR(IF(MEDIAN($S$76:$S$86) = 0, "", MEDIAN($S$76:$S$86))), "", (IF(MEDIAN($S$76:$S$86) = 0, "", MEDIAN($S$76:$S$86))))</f>
        <v>128.548</v>
      </c>
      <c r="T75">
        <f ca="1">IF(ISERROR(IF(MEDIAN($T$76:$T$86) = 0, "", MEDIAN($T$76:$T$86))), "", (IF(MEDIAN($T$76:$T$86) = 0, "", MEDIAN($T$76:$T$86))))</f>
        <v>127.375</v>
      </c>
      <c r="U75">
        <f ca="1">IF(ISERROR(IF(MEDIAN($U$76:$U$86) = 0, "", MEDIAN($U$76:$U$86))), "", (IF(MEDIAN($U$76:$U$86) = 0, "", MEDIAN($U$76:$U$86))))</f>
        <v>119.9785</v>
      </c>
      <c r="V75">
        <f ca="1">IF(ISERROR(IF(MEDIAN($V$76:$V$86) = 0, "", MEDIAN($V$76:$V$86))), "", (IF(MEDIAN($V$76:$V$86) = 0, "", MEDIAN($V$76:$V$86))))</f>
        <v>113.521</v>
      </c>
      <c r="W75">
        <f ca="1">IF(ISERROR(IF(MEDIAN($W$76:$W$86) = 0, "", MEDIAN($W$76:$W$86))), "", (IF(MEDIAN($W$76:$W$86) = 0, "", MEDIAN($W$76:$W$86))))</f>
        <v>112.364</v>
      </c>
      <c r="X75">
        <f ca="1">IF(ISERROR(IF(MEDIAN($X$76:$X$86) = 0, "", MEDIAN($X$76:$X$86))), "", (IF(MEDIAN($X$76:$X$86) = 0, "", MEDIAN($X$76:$X$86))))</f>
        <v>108.375</v>
      </c>
      <c r="Y75">
        <f ca="1">IF(ISERROR(IF(MEDIAN($Y$76:$Y$86) = 0, "", MEDIAN($Y$76:$Y$86))), "", (IF(MEDIAN($Y$76:$Y$86) = 0, "", MEDIAN($Y$76:$Y$86))))</f>
        <v>108.764</v>
      </c>
      <c r="Z75">
        <f ca="1">IF(ISERROR(IF(MEDIAN($Z$76:$Z$86) = 0, "", MEDIAN($Z$76:$Z$86))), "", (IF(MEDIAN($Z$76:$Z$86) = 0, "", MEDIAN($Z$76:$Z$86))))</f>
        <v>247.49100000000001</v>
      </c>
      <c r="AA75">
        <f ca="1">IF(ISERROR(IF(MEDIAN($AA$76:$AA$86) = 0, "", MEDIAN($AA$76:$AA$86))), "", (IF(MEDIAN($AA$76:$AA$86) = 0, "", MEDIAN($AA$76:$AA$86))))</f>
        <v>226.95600000000002</v>
      </c>
      <c r="AB75">
        <f ca="1">IF(ISERROR(IF(MEDIAN($AB$76:$AB$86) = 0, "", MEDIAN($AB$76:$AB$86))), "", (IF(MEDIAN($AB$76:$AB$86) = 0, "", MEDIAN($AB$76:$AB$86))))</f>
        <v>209.2475</v>
      </c>
      <c r="AC75">
        <f ca="1">IF(ISERROR(IF(MEDIAN($AC$76:$AC$86) = 0, "", MEDIAN($AC$76:$AC$86))), "", (IF(MEDIAN($AC$76:$AC$86) = 0, "", MEDIAN($AC$76:$AC$86))))</f>
        <v>206.1515</v>
      </c>
      <c r="AD75">
        <f ca="1">IF(ISERROR(IF(MEDIAN($AD$76:$AD$86) = 0, "", MEDIAN($AD$76:$AD$86))), "", (IF(MEDIAN($AD$76:$AD$86) = 0, "", MEDIAN($AD$76:$AD$86))))</f>
        <v>316.10149999999999</v>
      </c>
      <c r="AE75">
        <f ca="1">IF(ISERROR(IF(MEDIAN($AE$76:$AE$86) = 0, "", MEDIAN($AE$76:$AE$86))), "", (IF(MEDIAN($AE$76:$AE$86) = 0, "", MEDIAN($AE$76:$AE$86))))</f>
        <v>337.08</v>
      </c>
      <c r="AF75">
        <f ca="1">IF(ISERROR(IF(MEDIAN($AF$76:$AF$86) = 0, "", MEDIAN($AF$76:$AF$86))), "", (IF(MEDIAN($AF$76:$AF$86) = 0, "", MEDIAN($AF$76:$AF$86))))</f>
        <v>257.92599999999999</v>
      </c>
      <c r="AG75">
        <f ca="1">IF(ISERROR(IF(MEDIAN($AG$76:$AG$86) = 0, "", MEDIAN($AG$76:$AG$86))), "", (IF(MEDIAN($AG$76:$AG$86) = 0, "", MEDIAN($AG$76:$AG$86))))</f>
        <v>241.851</v>
      </c>
      <c r="AH75">
        <f ca="1">IF(ISERROR(IF(MEDIAN($AH$76:$AH$86) = 0, "", MEDIAN($AH$76:$AH$86))), "", (IF(MEDIAN($AH$76:$AH$86) = 0, "", MEDIAN($AH$76:$AH$86))))</f>
        <v>167.4</v>
      </c>
      <c r="AI75">
        <f ca="1">IF(ISERROR(IF(MEDIAN($AI$76:$AI$86) = 0, "", MEDIAN($AI$76:$AI$86))), "", (IF(MEDIAN($AI$76:$AI$86) = 0, "", MEDIAN($AI$76:$AI$86))))</f>
        <v>173.74799999999999</v>
      </c>
      <c r="AJ75">
        <f ca="1">IF(ISERROR(IF(MEDIAN($AJ$76:$AJ$86) = 0, "", MEDIAN($AJ$76:$AJ$86))), "", (IF(MEDIAN($AJ$76:$AJ$86) = 0, "", MEDIAN($AJ$76:$AJ$86))))</f>
        <v>167.745</v>
      </c>
      <c r="AK75">
        <f ca="1">IF(ISERROR(IF(MEDIAN($AK$76:$AK$86) = 0, "", MEDIAN($AK$76:$AK$86))), "", (IF(MEDIAN($AK$76:$AK$86) = 0, "", MEDIAN($AK$76:$AK$86))))</f>
        <v>162.75299999999999</v>
      </c>
      <c r="AL75">
        <f ca="1">IF(ISERROR(IF(MEDIAN($AL$76:$AL$86) = 0, "", MEDIAN($AL$76:$AL$86))), "", (IF(MEDIAN($AL$76:$AL$86) = 0, "", MEDIAN($AL$76:$AL$86))))</f>
        <v>155.86699999999999</v>
      </c>
      <c r="AM75">
        <f ca="1">IF(ISERROR(IF(MEDIAN($AM$76:$AM$86) = 0, "", MEDIAN($AM$76:$AM$86))), "", (IF(MEDIAN($AM$76:$AM$86) = 0, "", MEDIAN($AM$76:$AM$86))))</f>
        <v>155.363</v>
      </c>
      <c r="AN75">
        <f ca="1">IF(ISERROR(IF(MEDIAN($AN$76:$AN$86) = 0, "", MEDIAN($AN$76:$AN$86))), "", (IF(MEDIAN($AN$76:$AN$86) = 0, "", MEDIAN($AN$76:$AN$86))))</f>
        <v>153.18100000000001</v>
      </c>
      <c r="AO75">
        <f ca="1">IF(ISERROR(IF(MEDIAN($AO$76:$AO$86) = 0, "", MEDIAN($AO$76:$AO$86))), "", (IF(MEDIAN($AO$76:$AO$86) = 0, "", MEDIAN($AO$76:$AO$86))))</f>
        <v>156.17500000000001</v>
      </c>
      <c r="AP75">
        <f ca="1">IF(ISERROR(IF(MEDIAN($AP$76:$AP$86) = 0, "", MEDIAN($AP$76:$AP$86))), "", (IF(MEDIAN($AP$76:$AP$86) = 0, "", MEDIAN($AP$76:$AP$86))))</f>
        <v>148.78800000000001</v>
      </c>
      <c r="AQ75">
        <f ca="1">IF(ISERROR(IF(MEDIAN($AQ$76:$AQ$86) = 0, "", MEDIAN($AQ$76:$AQ$86))), "", (IF(MEDIAN($AQ$76:$AQ$86) = 0, "", MEDIAN($AQ$76:$AQ$86))))</f>
        <v>232.47499999999999</v>
      </c>
      <c r="AR75">
        <f ca="1">IF(ISERROR(IF(MEDIAN($AR$76:$AR$86) = 0, "", MEDIAN($AR$76:$AR$86))), "", (IF(MEDIAN($AR$76:$AR$86) = 0, "", MEDIAN($AR$76:$AR$86))))</f>
        <v>154.56150000000002</v>
      </c>
      <c r="AS75">
        <f ca="1">IF(ISERROR(IF(MEDIAN($AS$76:$AS$86) = 0, "", MEDIAN($AS$76:$AS$86))), "", (IF(MEDIAN($AS$76:$AS$86) = 0, "", MEDIAN($AS$76:$AS$86))))</f>
        <v>174.38900000000001</v>
      </c>
      <c r="AT75">
        <f ca="1">IF(ISERROR(IF(MEDIAN($AT$76:$AT$86) = 0, "", MEDIAN($AT$76:$AT$86))), "", (IF(MEDIAN($AT$76:$AT$86) = 0, "", MEDIAN($AT$76:$AT$86))))</f>
        <v>176.6985</v>
      </c>
      <c r="AU75">
        <f ca="1">IF(ISERROR(IF(MEDIAN($AU$76:$AU$86) = 0, "", MEDIAN($AU$76:$AU$86))), "", (IF(MEDIAN($AU$76:$AU$86) = 0, "", MEDIAN($AU$76:$AU$86))))</f>
        <v>238.45</v>
      </c>
      <c r="AV75">
        <f ca="1">IF(ISERROR(IF(MEDIAN($AV$76:$AV$86) = 0, "", MEDIAN($AV$76:$AV$86))), "", (IF(MEDIAN($AV$76:$AV$86) = 0, "", MEDIAN($AV$76:$AV$86))))</f>
        <v>130.59100000000001</v>
      </c>
      <c r="AW75">
        <f ca="1">IF(ISERROR(IF(MEDIAN($AW$76:$AW$86) = 0, "", MEDIAN($AW$76:$AW$86))), "", (IF(MEDIAN($AW$76:$AW$86) = 0, "", MEDIAN($AW$76:$AW$86))))</f>
        <v>157.5095</v>
      </c>
      <c r="AX75">
        <f ca="1">IF(ISERROR(IF(MEDIAN($AX$76:$AX$86) = 0, "", MEDIAN($AX$76:$AX$86))), "", (IF(MEDIAN($AX$76:$AX$86) = 0, "", MEDIAN($AX$76:$AX$86))))</f>
        <v>148.93</v>
      </c>
      <c r="AY75">
        <f ca="1">IF(ISERROR(IF(MEDIAN($AY$76:$AY$86) = 0, "", MEDIAN($AY$76:$AY$86))), "", (IF(MEDIAN($AY$76:$AY$86) = 0, "", MEDIAN($AY$76:$AY$86))))</f>
        <v>135.30449999999999</v>
      </c>
      <c r="AZ75">
        <f ca="1">IF(ISERROR(IF(MEDIAN($AZ$76:$AZ$86) = 0, "", MEDIAN($AZ$76:$AZ$86))), "", (IF(MEDIAN($AZ$76:$AZ$86) = 0, "", MEDIAN($AZ$76:$AZ$86))))</f>
        <v>96.932999999999993</v>
      </c>
      <c r="BA75">
        <f ca="1">IF(ISERROR(IF(MEDIAN($BA$76:$BA$86) = 0, "", MEDIAN($BA$76:$BA$86))), "", (IF(MEDIAN($BA$76:$BA$86) = 0, "", MEDIAN($BA$76:$BA$86))))</f>
        <v>94.632499999999993</v>
      </c>
      <c r="BB75">
        <f ca="1">IF(ISERROR(IF(MEDIAN($BB$76:$BB$86) = 0, "", MEDIAN($BB$76:$BB$86))), "", (IF(MEDIAN($BB$76:$BB$86) = 0, "", MEDIAN($BB$76:$BB$86))))</f>
        <v>97.450999999999993</v>
      </c>
      <c r="BC75" t="str">
        <f ca="1">IF(ISERROR(IF(MEDIAN($BC$76:$BC$86) = 0, "", MEDIAN($BC$76:$BC$86))), "", (IF(MEDIAN($BC$76:$BC$86) = 0, "", MEDIAN($BC$76:$BC$86))))</f>
        <v/>
      </c>
      <c r="BD75" t="str">
        <f ca="1">IF(ISERROR(IF(MEDIAN($BD$76:$BD$86) = 0, "", MEDIAN($BD$76:$BD$86))), "", (IF(MEDIAN($BD$76:$BD$86) = 0, "", MEDIAN($BD$76:$BD$86))))</f>
        <v/>
      </c>
      <c r="BE75" t="str">
        <f ca="1">IF(ISERROR(IF(MEDIAN($BE$76:$BE$86) = 0, "", MEDIAN($BE$76:$BE$86))), "", (IF(MEDIAN($BE$76:$BE$86) = 0, "", MEDIAN($BE$76:$BE$86))))</f>
        <v/>
      </c>
      <c r="BF75" t="str">
        <f ca="1">IF(ISERROR(IF(MEDIAN($BF$76:$BF$86) = 0, "", MEDIAN($BF$76:$BF$86))), "", (IF(MEDIAN($BF$76:$BF$86) = 0, "", MEDIAN($BF$76:$BF$86))))</f>
        <v/>
      </c>
      <c r="BG75" t="str">
        <f ca="1">IF(ISERROR(IF(MEDIAN($BG$76:$BG$86) = 0, "", MEDIAN($BG$76:$BG$86))), "", (IF(MEDIAN($BG$76:$BG$86) = 0, "", MEDIAN($BG$76:$BG$86))))</f>
        <v/>
      </c>
      <c r="BH75" t="str">
        <f ca="1">IF(ISERROR(IF(MEDIAN($BH$76:$BH$86) = 0, "", MEDIAN($BH$76:$BH$86))), "", (IF(MEDIAN($BH$76:$BH$86) = 0, "", MEDIAN($BH$76:$BH$86))))</f>
        <v/>
      </c>
      <c r="BI75" t="str">
        <f ca="1">IF(ISERROR(IF(MEDIAN($BI$76:$BI$86) = 0, "", MEDIAN($BI$76:$BI$86))), "", (IF(MEDIAN($BI$76:$BI$86) = 0, "", MEDIAN($BI$76:$BI$86))))</f>
        <v/>
      </c>
      <c r="BJ75" t="str">
        <f ca="1">IF(ISERROR(IF(MEDIAN($BJ$76:$BJ$86) = 0, "", MEDIAN($BJ$76:$BJ$86))), "", (IF(MEDIAN($BJ$76:$BJ$86) = 0, "", MEDIAN($BJ$76:$BJ$86))))</f>
        <v/>
      </c>
      <c r="BK75" t="str">
        <f ca="1">IF(ISERROR(IF(MEDIAN($BK$76:$BK$86) = 0, "", MEDIAN($BK$76:$BK$86))), "", (IF(MEDIAN($BK$76:$BK$86) = 0, "", MEDIAN($BK$76:$BK$86))))</f>
        <v/>
      </c>
      <c r="BL75" t="str">
        <f ca="1">IF(ISERROR(IF(MEDIAN($BL$76:$BL$86) = 0, "", MEDIAN($BL$76:$BL$86))), "", (IF(MEDIAN($BL$76:$BL$86) = 0, "", MEDIAN($BL$76:$BL$86))))</f>
        <v/>
      </c>
      <c r="BM75" t="str">
        <f ca="1">IF(ISERROR(IF(MEDIAN($BM$76:$BM$86) = 0, "", MEDIAN($BM$76:$BM$86))), "", (IF(MEDIAN($BM$76:$BM$86) = 0, "", MEDIAN($BM$76:$BM$86))))</f>
        <v/>
      </c>
      <c r="BN75" t="str">
        <f>""</f>
        <v/>
      </c>
      <c r="BO75">
        <f>256.561</f>
        <v>256.56099999999998</v>
      </c>
      <c r="BP75">
        <f>257.118</f>
        <v>257.11799999999999</v>
      </c>
      <c r="BQ75">
        <f>213.095</f>
        <v>213.095</v>
      </c>
      <c r="BR75">
        <f>225.319</f>
        <v>225.31899999999999</v>
      </c>
      <c r="BS75">
        <f>228.57</f>
        <v>228.57</v>
      </c>
      <c r="BT75">
        <f>153.667</f>
        <v>153.667</v>
      </c>
      <c r="BU75">
        <f>187.161</f>
        <v>187.161</v>
      </c>
      <c r="BV75">
        <f>179.005</f>
        <v>179.005</v>
      </c>
      <c r="BW75">
        <f>177.113</f>
        <v>177.113</v>
      </c>
      <c r="BX75">
        <f>172.411</f>
        <v>172.411</v>
      </c>
      <c r="BY75">
        <f>168.097</f>
        <v>168.09700000000001</v>
      </c>
      <c r="BZ75">
        <f>135.905</f>
        <v>135.905</v>
      </c>
      <c r="CA75">
        <f>128.548</f>
        <v>128.548</v>
      </c>
      <c r="CB75">
        <f>127.375</f>
        <v>127.375</v>
      </c>
      <c r="CC75">
        <f>119.9785</f>
        <v>119.9785</v>
      </c>
      <c r="CD75">
        <f>113.521</f>
        <v>113.521</v>
      </c>
      <c r="CE75">
        <f>112.364</f>
        <v>112.364</v>
      </c>
      <c r="CF75">
        <f>108.375</f>
        <v>108.375</v>
      </c>
      <c r="CG75">
        <f>108.764</f>
        <v>108.764</v>
      </c>
      <c r="CH75">
        <f>247.491</f>
        <v>247.49100000000001</v>
      </c>
      <c r="CI75">
        <f>226.956</f>
        <v>226.95599999999999</v>
      </c>
      <c r="CJ75">
        <f>209.2475</f>
        <v>209.2475</v>
      </c>
      <c r="CK75">
        <f>206.1515</f>
        <v>206.1515</v>
      </c>
      <c r="CL75">
        <f>316.1015</f>
        <v>316.10149999999999</v>
      </c>
      <c r="CM75">
        <f>337.08</f>
        <v>337.08</v>
      </c>
      <c r="CN75">
        <f>257.926</f>
        <v>257.92599999999999</v>
      </c>
      <c r="CO75">
        <f>241.851</f>
        <v>241.851</v>
      </c>
      <c r="CP75">
        <f>167.4</f>
        <v>167.4</v>
      </c>
      <c r="CQ75">
        <f>173.748</f>
        <v>173.74799999999999</v>
      </c>
      <c r="CR75">
        <f>167.745</f>
        <v>167.745</v>
      </c>
      <c r="CS75">
        <f>162.753</f>
        <v>162.75299999999999</v>
      </c>
      <c r="CT75">
        <f>155.867</f>
        <v>155.86699999999999</v>
      </c>
      <c r="CU75">
        <f>155.363</f>
        <v>155.363</v>
      </c>
      <c r="CV75">
        <f>153.181</f>
        <v>153.18100000000001</v>
      </c>
      <c r="CW75">
        <f>156.175</f>
        <v>156.17500000000001</v>
      </c>
      <c r="CX75">
        <f>148.788</f>
        <v>148.78800000000001</v>
      </c>
      <c r="CY75">
        <f>232.475</f>
        <v>232.47499999999999</v>
      </c>
      <c r="CZ75">
        <f>154.5615</f>
        <v>154.5615</v>
      </c>
      <c r="DA75">
        <f>174.389</f>
        <v>174.38900000000001</v>
      </c>
      <c r="DB75">
        <f>176.6985</f>
        <v>176.6985</v>
      </c>
      <c r="DC75">
        <f>238.45</f>
        <v>238.45</v>
      </c>
      <c r="DD75">
        <f>130.591</f>
        <v>130.59100000000001</v>
      </c>
      <c r="DE75">
        <f>157.5095</f>
        <v>157.5095</v>
      </c>
      <c r="DF75">
        <f>148.93</f>
        <v>148.93</v>
      </c>
      <c r="DG75">
        <f>135.3045</f>
        <v>135.30449999999999</v>
      </c>
      <c r="DH75">
        <f>96.933</f>
        <v>96.933000000000007</v>
      </c>
      <c r="DI75">
        <f>94.6325</f>
        <v>94.632499999999993</v>
      </c>
      <c r="DJ75">
        <f>97.451</f>
        <v>97.450999999999993</v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>
      <c r="A76" t="str">
        <f>"    Alexandria Real Estate Equitie"</f>
        <v xml:space="preserve">    Alexandria Real Estate Equitie</v>
      </c>
      <c r="B76" t="str">
        <f>"ARE US Equity"</f>
        <v>ARE US Equity</v>
      </c>
      <c r="C76" t="str">
        <f t="shared" ref="C76:C86" si="18">"IS972"</f>
        <v>IS972</v>
      </c>
      <c r="D76" t="str">
        <f t="shared" ref="D76:D86" si="19">"IS_ADJUSTED_EBITDA_AS_REPORTED"</f>
        <v>IS_ADJUSTED_EBITDA_AS_REPORTED</v>
      </c>
      <c r="E76" t="str">
        <f t="shared" ref="E76:E86" si="20">"动态"</f>
        <v>动态</v>
      </c>
      <c r="F76" t="str">
        <f ca="1">IF(AND(ISNUMBER($F$326),$B$258=1),$F$326,HLOOKUP(INDIRECT(ADDRESS(2,COLUMN())),OFFSET($BN$2,0,0,ROW()-1,60),ROW()-1,FALSE))</f>
        <v/>
      </c>
      <c r="G76">
        <f ca="1">IF(AND(ISNUMBER($G$326),$B$258=1),$G$326,HLOOKUP(INDIRECT(ADDRESS(2,COLUMN())),OFFSET($BN$2,0,0,ROW()-1,60),ROW()-1,FALSE))</f>
        <v>204.34800000000001</v>
      </c>
      <c r="H76">
        <f ca="1">IF(AND(ISNUMBER($H$326),$B$258=1),$H$326,HLOOKUP(INDIRECT(ADDRESS(2,COLUMN())),OFFSET($BN$2,0,0,ROW()-1,60),ROW()-1,FALSE))</f>
        <v>193.45699999999999</v>
      </c>
      <c r="I76">
        <f ca="1">IF(AND(ISNUMBER($I$326),$B$258=1),$I$326,HLOOKUP(INDIRECT(ADDRESS(2,COLUMN())),OFFSET($BN$2,0,0,ROW()-1,60),ROW()-1,FALSE))</f>
        <v>188.762</v>
      </c>
      <c r="J76">
        <f ca="1">IF(AND(ISNUMBER($J$326),$B$258=1),$J$326,HLOOKUP(INDIRECT(ADDRESS(2,COLUMN())),OFFSET($BN$2,0,0,ROW()-1,60),ROW()-1,FALSE))</f>
        <v>180.941</v>
      </c>
      <c r="K76">
        <f ca="1">IF(AND(ISNUMBER($K$326),$B$258=1),$K$326,HLOOKUP(INDIRECT(ADDRESS(2,COLUMN())),OFFSET($BN$2,0,0,ROW()-1,60),ROW()-1,FALSE))</f>
        <v>165.709</v>
      </c>
      <c r="L76">
        <f ca="1">IF(AND(ISNUMBER($L$326),$B$258=1),$L$326,HLOOKUP(INDIRECT(ADDRESS(2,COLUMN())),OFFSET($BN$2,0,0,ROW()-1,60),ROW()-1,FALSE))</f>
        <v>153.667</v>
      </c>
      <c r="M76">
        <f ca="1">IF(AND(ISNUMBER($M$326),$B$258=1),$M$326,HLOOKUP(INDIRECT(ADDRESS(2,COLUMN())),OFFSET($BN$2,0,0,ROW()-1,60),ROW()-1,FALSE))</f>
        <v>145.29400000000001</v>
      </c>
      <c r="N76">
        <f ca="1">IF(AND(ISNUMBER($N$326),$B$258=1),$N$326,HLOOKUP(INDIRECT(ADDRESS(2,COLUMN())),OFFSET($BN$2,0,0,ROW()-1,60),ROW()-1,FALSE))</f>
        <v>136.29900000000001</v>
      </c>
      <c r="O76">
        <f ca="1">IF(AND(ISNUMBER($O$326),$B$258=1),$O$326,HLOOKUP(INDIRECT(ADDRESS(2,COLUMN())),OFFSET($BN$2,0,0,ROW()-1,60),ROW()-1,FALSE))</f>
        <v>146.51599999999999</v>
      </c>
      <c r="P76">
        <f ca="1">IF(AND(ISNUMBER($P$326),$B$258=1),$P$326,HLOOKUP(INDIRECT(ADDRESS(2,COLUMN())),OFFSET($BN$2,0,0,ROW()-1,60),ROW()-1,FALSE))</f>
        <v>141.90100000000001</v>
      </c>
      <c r="Q76">
        <f ca="1">IF(AND(ISNUMBER($Q$326),$B$258=1),$Q$326,HLOOKUP(INDIRECT(ADDRESS(2,COLUMN())),OFFSET($BN$2,0,0,ROW()-1,60),ROW()-1,FALSE))</f>
        <v>133.226</v>
      </c>
      <c r="R76">
        <f ca="1">IF(AND(ISNUMBER($R$326),$B$258=1),$R$326,HLOOKUP(INDIRECT(ADDRESS(2,COLUMN())),OFFSET($BN$2,0,0,ROW()-1,60),ROW()-1,FALSE))</f>
        <v>126.77200000000001</v>
      </c>
      <c r="S76">
        <f ca="1">IF(AND(ISNUMBER($S$326),$B$258=1),$S$326,HLOOKUP(INDIRECT(ADDRESS(2,COLUMN())),OFFSET($BN$2,0,0,ROW()-1,60),ROW()-1,FALSE))</f>
        <v>123.358</v>
      </c>
      <c r="T76">
        <f ca="1">IF(AND(ISNUMBER($T$326),$B$258=1),$T$326,HLOOKUP(INDIRECT(ADDRESS(2,COLUMN())),OFFSET($BN$2,0,0,ROW()-1,60),ROW()-1,FALSE))</f>
        <v>118.471</v>
      </c>
      <c r="U76">
        <f ca="1">IF(AND(ISNUMBER($U$326),$B$258=1),$U$326,HLOOKUP(INDIRECT(ADDRESS(2,COLUMN())),OFFSET($BN$2,0,0,ROW()-1,60),ROW()-1,FALSE))</f>
        <v>113.142</v>
      </c>
      <c r="V76">
        <f ca="1">IF(AND(ISNUMBER($V$326),$B$258=1),$V$326,HLOOKUP(INDIRECT(ADDRESS(2,COLUMN())),OFFSET($BN$2,0,0,ROW()-1,60),ROW()-1,FALSE))</f>
        <v>113.521</v>
      </c>
      <c r="W76">
        <f ca="1">IF(AND(ISNUMBER($W$326),$B$258=1),$W$326,HLOOKUP(INDIRECT(ADDRESS(2,COLUMN())),OFFSET($BN$2,0,0,ROW()-1,60),ROW()-1,FALSE))</f>
        <v>112.364</v>
      </c>
      <c r="X76">
        <f ca="1">IF(AND(ISNUMBER($X$326),$B$258=1),$X$326,HLOOKUP(INDIRECT(ADDRESS(2,COLUMN())),OFFSET($BN$2,0,0,ROW()-1,60),ROW()-1,FALSE))</f>
        <v>102.887</v>
      </c>
      <c r="Y76">
        <f ca="1">IF(AND(ISNUMBER($Y$326),$B$258=1),$Y$326,HLOOKUP(INDIRECT(ADDRESS(2,COLUMN())),OFFSET($BN$2,0,0,ROW()-1,60),ROW()-1,FALSE))</f>
        <v>99.927000000000007</v>
      </c>
      <c r="Z76">
        <f ca="1">IF(AND(ISNUMBER($Z$326),$B$258=1),$Z$326,HLOOKUP(INDIRECT(ADDRESS(2,COLUMN())),OFFSET($BN$2,0,0,ROW()-1,60),ROW()-1,FALSE))</f>
        <v>112.364</v>
      </c>
      <c r="AA76">
        <f ca="1">IF(AND(ISNUMBER($AA$326),$B$258=1),$AA$326,HLOOKUP(INDIRECT(ADDRESS(2,COLUMN())),OFFSET($BN$2,0,0,ROW()-1,60),ROW()-1,FALSE))</f>
        <v>102.21899999999999</v>
      </c>
      <c r="AB76">
        <f ca="1">IF(AND(ISNUMBER($AB$326),$B$258=1),$AB$326,HLOOKUP(INDIRECT(ADDRESS(2,COLUMN())),OFFSET($BN$2,0,0,ROW()-1,60),ROW()-1,FALSE))</f>
        <v>95.653999999999996</v>
      </c>
      <c r="AC76">
        <f ca="1">IF(AND(ISNUMBER($AC$326),$B$258=1),$AC$326,HLOOKUP(INDIRECT(ADDRESS(2,COLUMN())),OFFSET($BN$2,0,0,ROW()-1,60),ROW()-1,FALSE))</f>
        <v>100.792</v>
      </c>
      <c r="AD76">
        <f ca="1">IF(AND(ISNUMBER($AD$326),$B$258=1),$AD$326,HLOOKUP(INDIRECT(ADDRESS(2,COLUMN())),OFFSET($BN$2,0,0,ROW()-1,60),ROW()-1,FALSE))</f>
        <v>94.459000000000003</v>
      </c>
      <c r="AE76">
        <f ca="1">IF(AND(ISNUMBER($AE$326),$B$258=1),$AE$326,HLOOKUP(INDIRECT(ADDRESS(2,COLUMN())),OFFSET($BN$2,0,0,ROW()-1,60),ROW()-1,FALSE))</f>
        <v>94.491</v>
      </c>
      <c r="AF76">
        <f ca="1">IF(AND(ISNUMBER($AF$326),$B$258=1),$AF$326,HLOOKUP(INDIRECT(ADDRESS(2,COLUMN())),OFFSET($BN$2,0,0,ROW()-1,60),ROW()-1,FALSE))</f>
        <v>94.292000000000002</v>
      </c>
      <c r="AG76">
        <f ca="1">IF(AND(ISNUMBER($AG$326),$B$258=1),$AG$326,HLOOKUP(INDIRECT(ADDRESS(2,COLUMN())),OFFSET($BN$2,0,0,ROW()-1,60),ROW()-1,FALSE))</f>
        <v>95.242000000000004</v>
      </c>
      <c r="AH76">
        <f ca="1">IF(AND(ISNUMBER($AH$326),$B$258=1),$AH$326,HLOOKUP(INDIRECT(ADDRESS(2,COLUMN())),OFFSET($BN$2,0,0,ROW()-1,60),ROW()-1,FALSE))</f>
        <v>92.025000000000006</v>
      </c>
      <c r="AI76">
        <f ca="1">IF(AND(ISNUMBER($AI$326),$B$258=1),$AI$326,HLOOKUP(INDIRECT(ADDRESS(2,COLUMN())),OFFSET($BN$2,0,0,ROW()-1,60),ROW()-1,FALSE))</f>
        <v>89.438999999999993</v>
      </c>
      <c r="AJ76">
        <f ca="1">IF(AND(ISNUMBER($AJ$326),$B$258=1),$AJ$326,HLOOKUP(INDIRECT(ADDRESS(2,COLUMN())),OFFSET($BN$2,0,0,ROW()-1,60),ROW()-1,FALSE))</f>
        <v>82.540999999999997</v>
      </c>
      <c r="AK76">
        <f ca="1">IF(AND(ISNUMBER($AK$326),$B$258=1),$AK$326,HLOOKUP(INDIRECT(ADDRESS(2,COLUMN())),OFFSET($BN$2,0,0,ROW()-1,60),ROW()-1,FALSE))</f>
        <v>81.05</v>
      </c>
      <c r="AL76">
        <f ca="1">IF(AND(ISNUMBER($AL$326),$B$258=1),$AL$326,HLOOKUP(INDIRECT(ADDRESS(2,COLUMN())),OFFSET($BN$2,0,0,ROW()-1,60),ROW()-1,FALSE))</f>
        <v>78.792000000000002</v>
      </c>
      <c r="AM76">
        <f ca="1">IF(AND(ISNUMBER($AM$326),$B$258=1),$AM$326,HLOOKUP(INDIRECT(ADDRESS(2,COLUMN())),OFFSET($BN$2,0,0,ROW()-1,60),ROW()-1,FALSE))</f>
        <v>81.162000000000006</v>
      </c>
      <c r="AN76">
        <f ca="1">IF(AND(ISNUMBER($AN$326),$B$258=1),$AN$326,HLOOKUP(INDIRECT(ADDRESS(2,COLUMN())),OFFSET($BN$2,0,0,ROW()-1,60),ROW()-1,FALSE))</f>
        <v>80.08</v>
      </c>
      <c r="AO76">
        <f ca="1">IF(AND(ISNUMBER($AO$326),$B$258=1),$AO$326,HLOOKUP(INDIRECT(ADDRESS(2,COLUMN())),OFFSET($BN$2,0,0,ROW()-1,60),ROW()-1,FALSE))</f>
        <v>87.650999999999996</v>
      </c>
      <c r="AP76">
        <f ca="1">IF(AND(ISNUMBER($AP$326),$B$258=1),$AP$326,HLOOKUP(INDIRECT(ADDRESS(2,COLUMN())),OFFSET($BN$2,0,0,ROW()-1,60),ROW()-1,FALSE))</f>
        <v>93.704999999999998</v>
      </c>
      <c r="AQ76">
        <f ca="1">IF(AND(ISNUMBER($AQ$326),$B$258=1),$AQ$326,HLOOKUP(INDIRECT(ADDRESS(2,COLUMN())),OFFSET($BN$2,0,0,ROW()-1,60),ROW()-1,FALSE))</f>
        <v>92.394999999999996</v>
      </c>
      <c r="AR76" t="str">
        <f ca="1">IF(AND(ISNUMBER($AR$326),$B$258=1),$AR$326,HLOOKUP(INDIRECT(ADDRESS(2,COLUMN())),OFFSET($BN$2,0,0,ROW()-1,60),ROW()-1,FALSE))</f>
        <v/>
      </c>
      <c r="AS76" t="str">
        <f ca="1">IF(AND(ISNUMBER($AS$326),$B$258=1),$AS$326,HLOOKUP(INDIRECT(ADDRESS(2,COLUMN())),OFFSET($BN$2,0,0,ROW()-1,60),ROW()-1,FALSE))</f>
        <v/>
      </c>
      <c r="AT76" t="str">
        <f ca="1">IF(AND(ISNUMBER($AT$326),$B$258=1),$AT$326,HLOOKUP(INDIRECT(ADDRESS(2,COLUMN())),OFFSET($BN$2,0,0,ROW()-1,60),ROW()-1,FALSE))</f>
        <v/>
      </c>
      <c r="AU76" t="str">
        <f ca="1">IF(AND(ISNUMBER($AU$326),$B$258=1),$AU$326,HLOOKUP(INDIRECT(ADDRESS(2,COLUMN())),OFFSET($BN$2,0,0,ROW()-1,60),ROW()-1,FALSE))</f>
        <v/>
      </c>
      <c r="AV76" t="str">
        <f ca="1">IF(AND(ISNUMBER($AV$326),$B$258=1),$AV$326,HLOOKUP(INDIRECT(ADDRESS(2,COLUMN())),OFFSET($BN$2,0,0,ROW()-1,60),ROW()-1,FALSE))</f>
        <v/>
      </c>
      <c r="AW76" t="str">
        <f ca="1">IF(AND(ISNUMBER($AW$326),$B$258=1),$AW$326,HLOOKUP(INDIRECT(ADDRESS(2,COLUMN())),OFFSET($BN$2,0,0,ROW()-1,60),ROW()-1,FALSE))</f>
        <v/>
      </c>
      <c r="AX76" t="str">
        <f ca="1">IF(AND(ISNUMBER($AX$326),$B$258=1),$AX$326,HLOOKUP(INDIRECT(ADDRESS(2,COLUMN())),OFFSET($BN$2,0,0,ROW()-1,60),ROW()-1,FALSE))</f>
        <v/>
      </c>
      <c r="AY76" t="str">
        <f ca="1">IF(AND(ISNUMBER($AY$326),$B$258=1),$AY$326,HLOOKUP(INDIRECT(ADDRESS(2,COLUMN())),OFFSET($BN$2,0,0,ROW()-1,60),ROW()-1,FALSE))</f>
        <v/>
      </c>
      <c r="AZ76" t="str">
        <f ca="1">IF(AND(ISNUMBER($AZ$326),$B$258=1),$AZ$326,HLOOKUP(INDIRECT(ADDRESS(2,COLUMN())),OFFSET($BN$2,0,0,ROW()-1,60),ROW()-1,FALSE))</f>
        <v/>
      </c>
      <c r="BA76" t="str">
        <f ca="1">IF(AND(ISNUMBER($BA$326),$B$258=1),$BA$326,HLOOKUP(INDIRECT(ADDRESS(2,COLUMN())),OFFSET($BN$2,0,0,ROW()-1,60),ROW()-1,FALSE))</f>
        <v/>
      </c>
      <c r="BB76" t="str">
        <f ca="1">IF(AND(ISNUMBER($BB$326),$B$258=1),$BB$326,HLOOKUP(INDIRECT(ADDRESS(2,COLUMN())),OFFSET($BN$2,0,0,ROW()-1,60),ROW()-1,FALSE))</f>
        <v/>
      </c>
      <c r="BC76" t="str">
        <f ca="1">IF(AND(ISNUMBER($BC$326),$B$258=1),$BC$326,HLOOKUP(INDIRECT(ADDRESS(2,COLUMN())),OFFSET($BN$2,0,0,ROW()-1,60),ROW()-1,FALSE))</f>
        <v/>
      </c>
      <c r="BD76" t="str">
        <f ca="1">IF(AND(ISNUMBER($BD$326),$B$258=1),$BD$326,HLOOKUP(INDIRECT(ADDRESS(2,COLUMN())),OFFSET($BN$2,0,0,ROW()-1,60),ROW()-1,FALSE))</f>
        <v/>
      </c>
      <c r="BE76" t="str">
        <f ca="1">IF(AND(ISNUMBER($BE$326),$B$258=1),$BE$326,HLOOKUP(INDIRECT(ADDRESS(2,COLUMN())),OFFSET($BN$2,0,0,ROW()-1,60),ROW()-1,FALSE))</f>
        <v/>
      </c>
      <c r="BF76" t="str">
        <f ca="1">IF(AND(ISNUMBER($BF$326),$B$258=1),$BF$326,HLOOKUP(INDIRECT(ADDRESS(2,COLUMN())),OFFSET($BN$2,0,0,ROW()-1,60),ROW()-1,FALSE))</f>
        <v/>
      </c>
      <c r="BG76" t="str">
        <f ca="1">IF(AND(ISNUMBER($BG$326),$B$258=1),$BG$326,HLOOKUP(INDIRECT(ADDRESS(2,COLUMN())),OFFSET($BN$2,0,0,ROW()-1,60),ROW()-1,FALSE))</f>
        <v/>
      </c>
      <c r="BH76" t="str">
        <f ca="1">IF(AND(ISNUMBER($BH$326),$B$258=1),$BH$326,HLOOKUP(INDIRECT(ADDRESS(2,COLUMN())),OFFSET($BN$2,0,0,ROW()-1,60),ROW()-1,FALSE))</f>
        <v/>
      </c>
      <c r="BI76" t="str">
        <f ca="1">IF(AND(ISNUMBER($BI$326),$B$258=1),$BI$326,HLOOKUP(INDIRECT(ADDRESS(2,COLUMN())),OFFSET($BN$2,0,0,ROW()-1,60),ROW()-1,FALSE))</f>
        <v/>
      </c>
      <c r="BJ76" t="str">
        <f ca="1">IF(AND(ISNUMBER($BJ$326),$B$258=1),$BJ$326,HLOOKUP(INDIRECT(ADDRESS(2,COLUMN())),OFFSET($BN$2,0,0,ROW()-1,60),ROW()-1,FALSE))</f>
        <v/>
      </c>
      <c r="BK76" t="str">
        <f ca="1">IF(AND(ISNUMBER($BK$326),$B$258=1),$BK$326,HLOOKUP(INDIRECT(ADDRESS(2,COLUMN())),OFFSET($BN$2,0,0,ROW()-1,60),ROW()-1,FALSE))</f>
        <v/>
      </c>
      <c r="BL76" t="str">
        <f ca="1">IF(AND(ISNUMBER($BL$326),$B$258=1),$BL$326,HLOOKUP(INDIRECT(ADDRESS(2,COLUMN())),OFFSET($BN$2,0,0,ROW()-1,60),ROW()-1,FALSE))</f>
        <v/>
      </c>
      <c r="BM76" t="str">
        <f ca="1">IF(AND(ISNUMBER($BM$326),$B$258=1),$BM$326,HLOOKUP(INDIRECT(ADDRESS(2,COLUMN())),OFFSET($BN$2,0,0,ROW()-1,60),ROW()-1,FALSE))</f>
        <v/>
      </c>
      <c r="BN76" t="str">
        <f>""</f>
        <v/>
      </c>
      <c r="BO76">
        <f>204.348</f>
        <v>204.34800000000001</v>
      </c>
      <c r="BP76">
        <f>193.457</f>
        <v>193.45699999999999</v>
      </c>
      <c r="BQ76">
        <f>188.762</f>
        <v>188.762</v>
      </c>
      <c r="BR76">
        <f>180.941</f>
        <v>180.941</v>
      </c>
      <c r="BS76">
        <f>165.709</f>
        <v>165.709</v>
      </c>
      <c r="BT76">
        <f>153.667</f>
        <v>153.667</v>
      </c>
      <c r="BU76">
        <f>145.294</f>
        <v>145.29400000000001</v>
      </c>
      <c r="BV76">
        <f>136.299</f>
        <v>136.29900000000001</v>
      </c>
      <c r="BW76">
        <f>146.516</f>
        <v>146.51599999999999</v>
      </c>
      <c r="BX76">
        <f>141.901</f>
        <v>141.90100000000001</v>
      </c>
      <c r="BY76">
        <f>133.226</f>
        <v>133.226</v>
      </c>
      <c r="BZ76">
        <f>126.772</f>
        <v>126.77200000000001</v>
      </c>
      <c r="CA76">
        <f>123.358</f>
        <v>123.358</v>
      </c>
      <c r="CB76">
        <f>118.471</f>
        <v>118.471</v>
      </c>
      <c r="CC76">
        <f>113.142</f>
        <v>113.142</v>
      </c>
      <c r="CD76">
        <f>113.521</f>
        <v>113.521</v>
      </c>
      <c r="CE76">
        <f>112.364</f>
        <v>112.364</v>
      </c>
      <c r="CF76">
        <f>102.887</f>
        <v>102.887</v>
      </c>
      <c r="CG76">
        <f>99.927</f>
        <v>99.927000000000007</v>
      </c>
      <c r="CH76">
        <f>112.364</f>
        <v>112.364</v>
      </c>
      <c r="CI76">
        <f>102.219</f>
        <v>102.21899999999999</v>
      </c>
      <c r="CJ76">
        <f>95.654</f>
        <v>95.653999999999996</v>
      </c>
      <c r="CK76">
        <f>100.792</f>
        <v>100.792</v>
      </c>
      <c r="CL76">
        <f>94.459</f>
        <v>94.459000000000003</v>
      </c>
      <c r="CM76">
        <f>94.491</f>
        <v>94.491</v>
      </c>
      <c r="CN76">
        <f>94.292</f>
        <v>94.292000000000002</v>
      </c>
      <c r="CO76">
        <f>95.242</f>
        <v>95.242000000000004</v>
      </c>
      <c r="CP76">
        <f>92.025</f>
        <v>92.025000000000006</v>
      </c>
      <c r="CQ76">
        <f>89.439</f>
        <v>89.438999999999993</v>
      </c>
      <c r="CR76">
        <f>82.541</f>
        <v>82.540999999999997</v>
      </c>
      <c r="CS76">
        <f>81.05</f>
        <v>81.05</v>
      </c>
      <c r="CT76">
        <f>78.792</f>
        <v>78.792000000000002</v>
      </c>
      <c r="CU76">
        <f>81.162</f>
        <v>81.162000000000006</v>
      </c>
      <c r="CV76">
        <f>80.08</f>
        <v>80.08</v>
      </c>
      <c r="CW76">
        <f>87.651</f>
        <v>87.650999999999996</v>
      </c>
      <c r="CX76">
        <f>93.705</f>
        <v>93.704999999999998</v>
      </c>
      <c r="CY76">
        <f>92.395</f>
        <v>92.394999999999996</v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>
      <c r="A77" t="str">
        <f>"    Care Capital Properties Inc"</f>
        <v xml:space="preserve">    Care Capital Properties Inc</v>
      </c>
      <c r="B77" t="str">
        <f>"CCP US Equity"</f>
        <v>CCP US Equity</v>
      </c>
      <c r="C77" t="str">
        <f t="shared" si="18"/>
        <v>IS972</v>
      </c>
      <c r="D77" t="str">
        <f t="shared" si="19"/>
        <v>IS_ADJUSTED_EBITDA_AS_REPORTED</v>
      </c>
      <c r="E77" t="str">
        <f t="shared" si="20"/>
        <v>动态</v>
      </c>
      <c r="F77" t="str">
        <f ca="1">IF(AND(ISNUMBER($F$327),$B$258=1),$F$327,HLOOKUP(INDIRECT(ADDRESS(2,COLUMN())),OFFSET($BN$2,0,0,ROW()-1,60),ROW()-1,FALSE))</f>
        <v/>
      </c>
      <c r="G77" t="str">
        <f ca="1">IF(AND(ISNUMBER($G$327),$B$258=1),$G$327,HLOOKUP(INDIRECT(ADDRESS(2,COLUMN())),OFFSET($BN$2,0,0,ROW()-1,60),ROW()-1,FALSE))</f>
        <v/>
      </c>
      <c r="H77" t="str">
        <f ca="1">IF(AND(ISNUMBER($H$327),$B$258=1),$H$327,HLOOKUP(INDIRECT(ADDRESS(2,COLUMN())),OFFSET($BN$2,0,0,ROW()-1,60),ROW()-1,FALSE))</f>
        <v/>
      </c>
      <c r="I77">
        <f ca="1">IF(AND(ISNUMBER($I$327),$B$258=1),$I$327,HLOOKUP(INDIRECT(ADDRESS(2,COLUMN())),OFFSET($BN$2,0,0,ROW()-1,60),ROW()-1,FALSE))</f>
        <v>84.075999999999993</v>
      </c>
      <c r="J77">
        <f ca="1">IF(AND(ISNUMBER($J$327),$B$258=1),$J$327,HLOOKUP(INDIRECT(ADDRESS(2,COLUMN())),OFFSET($BN$2,0,0,ROW()-1,60),ROW()-1,FALSE))</f>
        <v>72.591999999999999</v>
      </c>
      <c r="K77">
        <f ca="1">IF(AND(ISNUMBER($K$327),$B$258=1),$K$327,HLOOKUP(INDIRECT(ADDRESS(2,COLUMN())),OFFSET($BN$2,0,0,ROW()-1,60),ROW()-1,FALSE))</f>
        <v>79.132999999999996</v>
      </c>
      <c r="L77">
        <f ca="1">IF(AND(ISNUMBER($L$327),$B$258=1),$L$327,HLOOKUP(INDIRECT(ADDRESS(2,COLUMN())),OFFSET($BN$2,0,0,ROW()-1,60),ROW()-1,FALSE))</f>
        <v>79.001999999999995</v>
      </c>
      <c r="M77">
        <f ca="1">IF(AND(ISNUMBER($M$327),$B$258=1),$M$327,HLOOKUP(INDIRECT(ADDRESS(2,COLUMN())),OFFSET($BN$2,0,0,ROW()-1,60),ROW()-1,FALSE))</f>
        <v>77.933000000000007</v>
      </c>
      <c r="N77">
        <f ca="1">IF(AND(ISNUMBER($N$327),$B$258=1),$N$327,HLOOKUP(INDIRECT(ADDRESS(2,COLUMN())),OFFSET($BN$2,0,0,ROW()-1,60),ROW()-1,FALSE))</f>
        <v>77.754999999999995</v>
      </c>
      <c r="O77">
        <f ca="1">IF(AND(ISNUMBER($O$327),$B$258=1),$O$327,HLOOKUP(INDIRECT(ADDRESS(2,COLUMN())),OFFSET($BN$2,0,0,ROW()-1,60),ROW()-1,FALSE))</f>
        <v>81.105999999999995</v>
      </c>
      <c r="P77">
        <f ca="1">IF(AND(ISNUMBER($P$327),$B$258=1),$P$327,HLOOKUP(INDIRECT(ADDRESS(2,COLUMN())),OFFSET($BN$2,0,0,ROW()-1,60),ROW()-1,FALSE))</f>
        <v>76.054000000000002</v>
      </c>
      <c r="Q77">
        <f ca="1">IF(AND(ISNUMBER($Q$327),$B$258=1),$Q$327,HLOOKUP(INDIRECT(ADDRESS(2,COLUMN())),OFFSET($BN$2,0,0,ROW()-1,60),ROW()-1,FALSE))</f>
        <v>73.147000000000006</v>
      </c>
      <c r="R77" t="str">
        <f ca="1">IF(AND(ISNUMBER($R$327),$B$258=1),$R$327,HLOOKUP(INDIRECT(ADDRESS(2,COLUMN())),OFFSET($BN$2,0,0,ROW()-1,60),ROW()-1,FALSE))</f>
        <v/>
      </c>
      <c r="S77" t="str">
        <f ca="1">IF(AND(ISNUMBER($S$327),$B$258=1),$S$327,HLOOKUP(INDIRECT(ADDRESS(2,COLUMN())),OFFSET($BN$2,0,0,ROW()-1,60),ROW()-1,FALSE))</f>
        <v/>
      </c>
      <c r="T77" t="str">
        <f ca="1">IF(AND(ISNUMBER($T$327),$B$258=1),$T$327,HLOOKUP(INDIRECT(ADDRESS(2,COLUMN())),OFFSET($BN$2,0,0,ROW()-1,60),ROW()-1,FALSE))</f>
        <v/>
      </c>
      <c r="U77" t="str">
        <f ca="1">IF(AND(ISNUMBER($U$327),$B$258=1),$U$327,HLOOKUP(INDIRECT(ADDRESS(2,COLUMN())),OFFSET($BN$2,0,0,ROW()-1,60),ROW()-1,FALSE))</f>
        <v/>
      </c>
      <c r="V77" t="str">
        <f ca="1">IF(AND(ISNUMBER($V$327),$B$258=1),$V$327,HLOOKUP(INDIRECT(ADDRESS(2,COLUMN())),OFFSET($BN$2,0,0,ROW()-1,60),ROW()-1,FALSE))</f>
        <v/>
      </c>
      <c r="W77" t="str">
        <f ca="1">IF(AND(ISNUMBER($W$327),$B$258=1),$W$327,HLOOKUP(INDIRECT(ADDRESS(2,COLUMN())),OFFSET($BN$2,0,0,ROW()-1,60),ROW()-1,FALSE))</f>
        <v/>
      </c>
      <c r="X77" t="str">
        <f ca="1">IF(AND(ISNUMBER($X$327),$B$258=1),$X$327,HLOOKUP(INDIRECT(ADDRESS(2,COLUMN())),OFFSET($BN$2,0,0,ROW()-1,60),ROW()-1,FALSE))</f>
        <v/>
      </c>
      <c r="Y77" t="str">
        <f ca="1">IF(AND(ISNUMBER($Y$327),$B$258=1),$Y$327,HLOOKUP(INDIRECT(ADDRESS(2,COLUMN())),OFFSET($BN$2,0,0,ROW()-1,60),ROW()-1,FALSE))</f>
        <v/>
      </c>
      <c r="Z77" t="str">
        <f ca="1">IF(AND(ISNUMBER($Z$327),$B$258=1),$Z$327,HLOOKUP(INDIRECT(ADDRESS(2,COLUMN())),OFFSET($BN$2,0,0,ROW()-1,60),ROW()-1,FALSE))</f>
        <v/>
      </c>
      <c r="AA77" t="str">
        <f ca="1">IF(AND(ISNUMBER($AA$327),$B$258=1),$AA$327,HLOOKUP(INDIRECT(ADDRESS(2,COLUMN())),OFFSET($BN$2,0,0,ROW()-1,60),ROW()-1,FALSE))</f>
        <v/>
      </c>
      <c r="AB77" t="str">
        <f ca="1">IF(AND(ISNUMBER($AB$327),$B$258=1),$AB$327,HLOOKUP(INDIRECT(ADDRESS(2,COLUMN())),OFFSET($BN$2,0,0,ROW()-1,60),ROW()-1,FALSE))</f>
        <v/>
      </c>
      <c r="AC77" t="str">
        <f ca="1">IF(AND(ISNUMBER($AC$327),$B$258=1),$AC$327,HLOOKUP(INDIRECT(ADDRESS(2,COLUMN())),OFFSET($BN$2,0,0,ROW()-1,60),ROW()-1,FALSE))</f>
        <v/>
      </c>
      <c r="AD77" t="str">
        <f ca="1">IF(AND(ISNUMBER($AD$327),$B$258=1),$AD$327,HLOOKUP(INDIRECT(ADDRESS(2,COLUMN())),OFFSET($BN$2,0,0,ROW()-1,60),ROW()-1,FALSE))</f>
        <v/>
      </c>
      <c r="AE77" t="str">
        <f ca="1">IF(AND(ISNUMBER($AE$327),$B$258=1),$AE$327,HLOOKUP(INDIRECT(ADDRESS(2,COLUMN())),OFFSET($BN$2,0,0,ROW()-1,60),ROW()-1,FALSE))</f>
        <v/>
      </c>
      <c r="AF77" t="str">
        <f ca="1">IF(AND(ISNUMBER($AF$327),$B$258=1),$AF$327,HLOOKUP(INDIRECT(ADDRESS(2,COLUMN())),OFFSET($BN$2,0,0,ROW()-1,60),ROW()-1,FALSE))</f>
        <v/>
      </c>
      <c r="AG77" t="str">
        <f ca="1">IF(AND(ISNUMBER($AG$327),$B$258=1),$AG$327,HLOOKUP(INDIRECT(ADDRESS(2,COLUMN())),OFFSET($BN$2,0,0,ROW()-1,60),ROW()-1,FALSE))</f>
        <v/>
      </c>
      <c r="AH77" t="str">
        <f ca="1">IF(AND(ISNUMBER($AH$327),$B$258=1),$AH$327,HLOOKUP(INDIRECT(ADDRESS(2,COLUMN())),OFFSET($BN$2,0,0,ROW()-1,60),ROW()-1,FALSE))</f>
        <v/>
      </c>
      <c r="AI77" t="str">
        <f ca="1">IF(AND(ISNUMBER($AI$327),$B$258=1),$AI$327,HLOOKUP(INDIRECT(ADDRESS(2,COLUMN())),OFFSET($BN$2,0,0,ROW()-1,60),ROW()-1,FALSE))</f>
        <v/>
      </c>
      <c r="AJ77" t="str">
        <f ca="1">IF(AND(ISNUMBER($AJ$327),$B$258=1),$AJ$327,HLOOKUP(INDIRECT(ADDRESS(2,COLUMN())),OFFSET($BN$2,0,0,ROW()-1,60),ROW()-1,FALSE))</f>
        <v/>
      </c>
      <c r="AK77" t="str">
        <f ca="1">IF(AND(ISNUMBER($AK$327),$B$258=1),$AK$327,HLOOKUP(INDIRECT(ADDRESS(2,COLUMN())),OFFSET($BN$2,0,0,ROW()-1,60),ROW()-1,FALSE))</f>
        <v/>
      </c>
      <c r="AL77" t="str">
        <f ca="1">IF(AND(ISNUMBER($AL$327),$B$258=1),$AL$327,HLOOKUP(INDIRECT(ADDRESS(2,COLUMN())),OFFSET($BN$2,0,0,ROW()-1,60),ROW()-1,FALSE))</f>
        <v/>
      </c>
      <c r="AM77" t="str">
        <f ca="1">IF(AND(ISNUMBER($AM$327),$B$258=1),$AM$327,HLOOKUP(INDIRECT(ADDRESS(2,COLUMN())),OFFSET($BN$2,0,0,ROW()-1,60),ROW()-1,FALSE))</f>
        <v/>
      </c>
      <c r="AN77" t="str">
        <f ca="1">IF(AND(ISNUMBER($AN$327),$B$258=1),$AN$327,HLOOKUP(INDIRECT(ADDRESS(2,COLUMN())),OFFSET($BN$2,0,0,ROW()-1,60),ROW()-1,FALSE))</f>
        <v/>
      </c>
      <c r="AO77" t="str">
        <f ca="1">IF(AND(ISNUMBER($AO$327),$B$258=1),$AO$327,HLOOKUP(INDIRECT(ADDRESS(2,COLUMN())),OFFSET($BN$2,0,0,ROW()-1,60),ROW()-1,FALSE))</f>
        <v/>
      </c>
      <c r="AP77" t="str">
        <f ca="1">IF(AND(ISNUMBER($AP$327),$B$258=1),$AP$327,HLOOKUP(INDIRECT(ADDRESS(2,COLUMN())),OFFSET($BN$2,0,0,ROW()-1,60),ROW()-1,FALSE))</f>
        <v/>
      </c>
      <c r="AQ77" t="str">
        <f ca="1">IF(AND(ISNUMBER($AQ$327),$B$258=1),$AQ$327,HLOOKUP(INDIRECT(ADDRESS(2,COLUMN())),OFFSET($BN$2,0,0,ROW()-1,60),ROW()-1,FALSE))</f>
        <v/>
      </c>
      <c r="AR77" t="str">
        <f ca="1">IF(AND(ISNUMBER($AR$327),$B$258=1),$AR$327,HLOOKUP(INDIRECT(ADDRESS(2,COLUMN())),OFFSET($BN$2,0,0,ROW()-1,60),ROW()-1,FALSE))</f>
        <v/>
      </c>
      <c r="AS77" t="str">
        <f ca="1">IF(AND(ISNUMBER($AS$327),$B$258=1),$AS$327,HLOOKUP(INDIRECT(ADDRESS(2,COLUMN())),OFFSET($BN$2,0,0,ROW()-1,60),ROW()-1,FALSE))</f>
        <v/>
      </c>
      <c r="AT77" t="str">
        <f ca="1">IF(AND(ISNUMBER($AT$327),$B$258=1),$AT$327,HLOOKUP(INDIRECT(ADDRESS(2,COLUMN())),OFFSET($BN$2,0,0,ROW()-1,60),ROW()-1,FALSE))</f>
        <v/>
      </c>
      <c r="AU77" t="str">
        <f ca="1">IF(AND(ISNUMBER($AU$327),$B$258=1),$AU$327,HLOOKUP(INDIRECT(ADDRESS(2,COLUMN())),OFFSET($BN$2,0,0,ROW()-1,60),ROW()-1,FALSE))</f>
        <v/>
      </c>
      <c r="AV77" t="str">
        <f ca="1">IF(AND(ISNUMBER($AV$327),$B$258=1),$AV$327,HLOOKUP(INDIRECT(ADDRESS(2,COLUMN())),OFFSET($BN$2,0,0,ROW()-1,60),ROW()-1,FALSE))</f>
        <v/>
      </c>
      <c r="AW77" t="str">
        <f ca="1">IF(AND(ISNUMBER($AW$327),$B$258=1),$AW$327,HLOOKUP(INDIRECT(ADDRESS(2,COLUMN())),OFFSET($BN$2,0,0,ROW()-1,60),ROW()-1,FALSE))</f>
        <v/>
      </c>
      <c r="AX77" t="str">
        <f ca="1">IF(AND(ISNUMBER($AX$327),$B$258=1),$AX$327,HLOOKUP(INDIRECT(ADDRESS(2,COLUMN())),OFFSET($BN$2,0,0,ROW()-1,60),ROW()-1,FALSE))</f>
        <v/>
      </c>
      <c r="AY77" t="str">
        <f ca="1">IF(AND(ISNUMBER($AY$327),$B$258=1),$AY$327,HLOOKUP(INDIRECT(ADDRESS(2,COLUMN())),OFFSET($BN$2,0,0,ROW()-1,60),ROW()-1,FALSE))</f>
        <v/>
      </c>
      <c r="AZ77" t="str">
        <f ca="1">IF(AND(ISNUMBER($AZ$327),$B$258=1),$AZ$327,HLOOKUP(INDIRECT(ADDRESS(2,COLUMN())),OFFSET($BN$2,0,0,ROW()-1,60),ROW()-1,FALSE))</f>
        <v/>
      </c>
      <c r="BA77" t="str">
        <f ca="1">IF(AND(ISNUMBER($BA$327),$B$258=1),$BA$327,HLOOKUP(INDIRECT(ADDRESS(2,COLUMN())),OFFSET($BN$2,0,0,ROW()-1,60),ROW()-1,FALSE))</f>
        <v/>
      </c>
      <c r="BB77" t="str">
        <f ca="1">IF(AND(ISNUMBER($BB$327),$B$258=1),$BB$327,HLOOKUP(INDIRECT(ADDRESS(2,COLUMN())),OFFSET($BN$2,0,0,ROW()-1,60),ROW()-1,FALSE))</f>
        <v/>
      </c>
      <c r="BC77" t="str">
        <f ca="1">IF(AND(ISNUMBER($BC$327),$B$258=1),$BC$327,HLOOKUP(INDIRECT(ADDRESS(2,COLUMN())),OFFSET($BN$2,0,0,ROW()-1,60),ROW()-1,FALSE))</f>
        <v/>
      </c>
      <c r="BD77" t="str">
        <f ca="1">IF(AND(ISNUMBER($BD$327),$B$258=1),$BD$327,HLOOKUP(INDIRECT(ADDRESS(2,COLUMN())),OFFSET($BN$2,0,0,ROW()-1,60),ROW()-1,FALSE))</f>
        <v/>
      </c>
      <c r="BE77" t="str">
        <f ca="1">IF(AND(ISNUMBER($BE$327),$B$258=1),$BE$327,HLOOKUP(INDIRECT(ADDRESS(2,COLUMN())),OFFSET($BN$2,0,0,ROW()-1,60),ROW()-1,FALSE))</f>
        <v/>
      </c>
      <c r="BF77" t="str">
        <f ca="1">IF(AND(ISNUMBER($BF$327),$B$258=1),$BF$327,HLOOKUP(INDIRECT(ADDRESS(2,COLUMN())),OFFSET($BN$2,0,0,ROW()-1,60),ROW()-1,FALSE))</f>
        <v/>
      </c>
      <c r="BG77" t="str">
        <f ca="1">IF(AND(ISNUMBER($BG$327),$B$258=1),$BG$327,HLOOKUP(INDIRECT(ADDRESS(2,COLUMN())),OFFSET($BN$2,0,0,ROW()-1,60),ROW()-1,FALSE))</f>
        <v/>
      </c>
      <c r="BH77" t="str">
        <f ca="1">IF(AND(ISNUMBER($BH$327),$B$258=1),$BH$327,HLOOKUP(INDIRECT(ADDRESS(2,COLUMN())),OFFSET($BN$2,0,0,ROW()-1,60),ROW()-1,FALSE))</f>
        <v/>
      </c>
      <c r="BI77" t="str">
        <f ca="1">IF(AND(ISNUMBER($BI$327),$B$258=1),$BI$327,HLOOKUP(INDIRECT(ADDRESS(2,COLUMN())),OFFSET($BN$2,0,0,ROW()-1,60),ROW()-1,FALSE))</f>
        <v/>
      </c>
      <c r="BJ77" t="str">
        <f ca="1">IF(AND(ISNUMBER($BJ$327),$B$258=1),$BJ$327,HLOOKUP(INDIRECT(ADDRESS(2,COLUMN())),OFFSET($BN$2,0,0,ROW()-1,60),ROW()-1,FALSE))</f>
        <v/>
      </c>
      <c r="BK77" t="str">
        <f ca="1">IF(AND(ISNUMBER($BK$327),$B$258=1),$BK$327,HLOOKUP(INDIRECT(ADDRESS(2,COLUMN())),OFFSET($BN$2,0,0,ROW()-1,60),ROW()-1,FALSE))</f>
        <v/>
      </c>
      <c r="BL77" t="str">
        <f ca="1">IF(AND(ISNUMBER($BL$327),$B$258=1),$BL$327,HLOOKUP(INDIRECT(ADDRESS(2,COLUMN())),OFFSET($BN$2,0,0,ROW()-1,60),ROW()-1,FALSE))</f>
        <v/>
      </c>
      <c r="BM77" t="str">
        <f ca="1">IF(AND(ISNUMBER($BM$327),$B$258=1),$BM$327,HLOOKUP(INDIRECT(ADDRESS(2,COLUMN())),OFFSET($BN$2,0,0,ROW()-1,60),ROW()-1,FALSE))</f>
        <v/>
      </c>
      <c r="BN77" t="str">
        <f>""</f>
        <v/>
      </c>
      <c r="BO77" t="str">
        <f>""</f>
        <v/>
      </c>
      <c r="BP77" t="str">
        <f>""</f>
        <v/>
      </c>
      <c r="BQ77">
        <f>84.076</f>
        <v>84.075999999999993</v>
      </c>
      <c r="BR77">
        <f>72.592</f>
        <v>72.591999999999999</v>
      </c>
      <c r="BS77">
        <f>79.133</f>
        <v>79.132999999999996</v>
      </c>
      <c r="BT77">
        <f>79.002</f>
        <v>79.001999999999995</v>
      </c>
      <c r="BU77">
        <f>77.933</f>
        <v>77.933000000000007</v>
      </c>
      <c r="BV77">
        <f>77.755</f>
        <v>77.754999999999995</v>
      </c>
      <c r="BW77">
        <f>81.106</f>
        <v>81.105999999999995</v>
      </c>
      <c r="BX77">
        <f>76.054</f>
        <v>76.054000000000002</v>
      </c>
      <c r="BY77">
        <f>73.147</f>
        <v>73.147000000000006</v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  <c r="CH77" t="str">
        <f>""</f>
        <v/>
      </c>
      <c r="CI77" t="str">
        <f>""</f>
        <v/>
      </c>
      <c r="CJ77" t="str">
        <f>""</f>
        <v/>
      </c>
      <c r="CK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</row>
    <row r="78" spans="1:125">
      <c r="A78" t="str">
        <f>"    HCP Inc"</f>
        <v xml:space="preserve">    HCP Inc</v>
      </c>
      <c r="B78" t="str">
        <f>"HCP US Equity"</f>
        <v>HCP US Equity</v>
      </c>
      <c r="C78" t="str">
        <f t="shared" si="18"/>
        <v>IS972</v>
      </c>
      <c r="D78" t="str">
        <f t="shared" si="19"/>
        <v>IS_ADJUSTED_EBITDA_AS_REPORTED</v>
      </c>
      <c r="E78" t="str">
        <f t="shared" si="20"/>
        <v>动态</v>
      </c>
      <c r="F78" t="str">
        <f ca="1">IF(AND(ISNUMBER($F$328),$B$258=1),$F$328,HLOOKUP(INDIRECT(ADDRESS(2,COLUMN())),OFFSET($BN$2,0,0,ROW()-1,60),ROW()-1,FALSE))</f>
        <v/>
      </c>
      <c r="G78">
        <f ca="1">IF(AND(ISNUMBER($G$328),$B$258=1),$G$328,HLOOKUP(INDIRECT(ADDRESS(2,COLUMN())),OFFSET($BN$2,0,0,ROW()-1,60),ROW()-1,FALSE))</f>
        <v>298.48099999999999</v>
      </c>
      <c r="H78">
        <f ca="1">IF(AND(ISNUMBER($H$328),$B$258=1),$H$328,HLOOKUP(INDIRECT(ADDRESS(2,COLUMN())),OFFSET($BN$2,0,0,ROW()-1,60),ROW()-1,FALSE))</f>
        <v>300.084</v>
      </c>
      <c r="I78">
        <f ca="1">IF(AND(ISNUMBER($I$328),$B$258=1),$I$328,HLOOKUP(INDIRECT(ADDRESS(2,COLUMN())),OFFSET($BN$2,0,0,ROW()-1,60),ROW()-1,FALSE))</f>
        <v>305.42200000000003</v>
      </c>
      <c r="J78">
        <f ca="1">IF(AND(ISNUMBER($J$328),$B$258=1),$J$328,HLOOKUP(INDIRECT(ADDRESS(2,COLUMN())),OFFSET($BN$2,0,0,ROW()-1,60),ROW()-1,FALSE))</f>
        <v>331.983</v>
      </c>
      <c r="K78">
        <f ca="1">IF(AND(ISNUMBER($K$328),$B$258=1),$K$328,HLOOKUP(INDIRECT(ADDRESS(2,COLUMN())),OFFSET($BN$2,0,0,ROW()-1,60),ROW()-1,FALSE))</f>
        <v>382.72500000000002</v>
      </c>
      <c r="L78">
        <f ca="1">IF(AND(ISNUMBER($L$328),$B$258=1),$L$328,HLOOKUP(INDIRECT(ADDRESS(2,COLUMN())),OFFSET($BN$2,0,0,ROW()-1,60),ROW()-1,FALSE))</f>
        <v>458.52100000000002</v>
      </c>
      <c r="M78">
        <f ca="1">IF(AND(ISNUMBER($M$328),$B$258=1),$M$328,HLOOKUP(INDIRECT(ADDRESS(2,COLUMN())),OFFSET($BN$2,0,0,ROW()-1,60),ROW()-1,FALSE))</f>
        <v>474.226</v>
      </c>
      <c r="N78">
        <f ca="1">IF(AND(ISNUMBER($N$328),$B$258=1),$N$328,HLOOKUP(INDIRECT(ADDRESS(2,COLUMN())),OFFSET($BN$2,0,0,ROW()-1,60),ROW()-1,FALSE))</f>
        <v>451.923</v>
      </c>
      <c r="O78">
        <f ca="1">IF(AND(ISNUMBER($O$328),$B$258=1),$O$328,HLOOKUP(INDIRECT(ADDRESS(2,COLUMN())),OFFSET($BN$2,0,0,ROW()-1,60),ROW()-1,FALSE))</f>
        <v>504.61</v>
      </c>
      <c r="P78">
        <f ca="1">IF(AND(ISNUMBER($P$328),$B$258=1),$P$328,HLOOKUP(INDIRECT(ADDRESS(2,COLUMN())),OFFSET($BN$2,0,0,ROW()-1,60),ROW()-1,FALSE))</f>
        <v>492.46600000000001</v>
      </c>
      <c r="Q78">
        <f ca="1">IF(AND(ISNUMBER($Q$328),$B$258=1),$Q$328,HLOOKUP(INDIRECT(ADDRESS(2,COLUMN())),OFFSET($BN$2,0,0,ROW()-1,60),ROW()-1,FALSE))</f>
        <v>482.47199999999998</v>
      </c>
      <c r="R78">
        <f ca="1">IF(AND(ISNUMBER($R$328),$B$258=1),$R$328,HLOOKUP(INDIRECT(ADDRESS(2,COLUMN())),OFFSET($BN$2,0,0,ROW()-1,60),ROW()-1,FALSE))</f>
        <v>484.517</v>
      </c>
      <c r="S78">
        <f ca="1">IF(AND(ISNUMBER($S$328),$B$258=1),$S$328,HLOOKUP(INDIRECT(ADDRESS(2,COLUMN())),OFFSET($BN$2,0,0,ROW()-1,60),ROW()-1,FALSE))</f>
        <v>480.15</v>
      </c>
      <c r="T78">
        <f ca="1">IF(AND(ISNUMBER($T$328),$B$258=1),$T$328,HLOOKUP(INDIRECT(ADDRESS(2,COLUMN())),OFFSET($BN$2,0,0,ROW()-1,60),ROW()-1,FALSE))</f>
        <v>464.21899999999999</v>
      </c>
      <c r="U78">
        <f ca="1">IF(AND(ISNUMBER($U$328),$B$258=1),$U$328,HLOOKUP(INDIRECT(ADDRESS(2,COLUMN())),OFFSET($BN$2,0,0,ROW()-1,60),ROW()-1,FALSE))</f>
        <v>448.26299999999998</v>
      </c>
      <c r="V78">
        <f ca="1">IF(AND(ISNUMBER($V$328),$B$258=1),$V$328,HLOOKUP(INDIRECT(ADDRESS(2,COLUMN())),OFFSET($BN$2,0,0,ROW()-1,60),ROW()-1,FALSE))</f>
        <v>456.40899999999999</v>
      </c>
      <c r="W78">
        <f ca="1">IF(AND(ISNUMBER($W$328),$B$258=1),$W$328,HLOOKUP(INDIRECT(ADDRESS(2,COLUMN())),OFFSET($BN$2,0,0,ROW()-1,60),ROW()-1,FALSE))</f>
        <v>456.69</v>
      </c>
      <c r="X78">
        <f ca="1">IF(AND(ISNUMBER($X$328),$B$258=1),$X$328,HLOOKUP(INDIRECT(ADDRESS(2,COLUMN())),OFFSET($BN$2,0,0,ROW()-1,60),ROW()-1,FALSE))</f>
        <v>449.35899999999998</v>
      </c>
      <c r="Y78">
        <f ca="1">IF(AND(ISNUMBER($Y$328),$B$258=1),$Y$328,HLOOKUP(INDIRECT(ADDRESS(2,COLUMN())),OFFSET($BN$2,0,0,ROW()-1,60),ROW()-1,FALSE))</f>
        <v>440.87799999999999</v>
      </c>
      <c r="Z78">
        <f ca="1">IF(AND(ISNUMBER($Z$328),$B$258=1),$Z$328,HLOOKUP(INDIRECT(ADDRESS(2,COLUMN())),OFFSET($BN$2,0,0,ROW()-1,60),ROW()-1,FALSE))</f>
        <v>453.52699999999999</v>
      </c>
      <c r="AA78">
        <f ca="1">IF(AND(ISNUMBER($AA$328),$B$258=1),$AA$328,HLOOKUP(INDIRECT(ADDRESS(2,COLUMN())),OFFSET($BN$2,0,0,ROW()-1,60),ROW()-1,FALSE))</f>
        <v>431.69</v>
      </c>
      <c r="AB78">
        <f ca="1">IF(AND(ISNUMBER($AB$328),$B$258=1),$AB$328,HLOOKUP(INDIRECT(ADDRESS(2,COLUMN())),OFFSET($BN$2,0,0,ROW()-1,60),ROW()-1,FALSE))</f>
        <v>405.62200000000001</v>
      </c>
      <c r="AC78">
        <f ca="1">IF(AND(ISNUMBER($AC$328),$B$258=1),$AC$328,HLOOKUP(INDIRECT(ADDRESS(2,COLUMN())),OFFSET($BN$2,0,0,ROW()-1,60),ROW()-1,FALSE))</f>
        <v>399.11599999999999</v>
      </c>
      <c r="AD78">
        <f ca="1">IF(AND(ISNUMBER($AD$328),$B$258=1),$AD$328,HLOOKUP(INDIRECT(ADDRESS(2,COLUMN())),OFFSET($BN$2,0,0,ROW()-1,60),ROW()-1,FALSE))</f>
        <v>390.94600000000003</v>
      </c>
      <c r="AE78">
        <f ca="1">IF(AND(ISNUMBER($AE$328),$B$258=1),$AE$328,HLOOKUP(INDIRECT(ADDRESS(2,COLUMN())),OFFSET($BN$2,0,0,ROW()-1,60),ROW()-1,FALSE))</f>
        <v>386.59899999999999</v>
      </c>
      <c r="AF78">
        <f ca="1">IF(AND(ISNUMBER($AF$328),$B$258=1),$AF$328,HLOOKUP(INDIRECT(ADDRESS(2,COLUMN())),OFFSET($BN$2,0,0,ROW()-1,60),ROW()-1,FALSE))</f>
        <v>384.82799999999997</v>
      </c>
      <c r="AG78">
        <f ca="1">IF(AND(ISNUMBER($AG$328),$B$258=1),$AG$328,HLOOKUP(INDIRECT(ADDRESS(2,COLUMN())),OFFSET($BN$2,0,0,ROW()-1,60),ROW()-1,FALSE))</f>
        <v>432.36500000000001</v>
      </c>
      <c r="AH78">
        <f ca="1">IF(AND(ISNUMBER($AH$328),$B$258=1),$AH$328,HLOOKUP(INDIRECT(ADDRESS(2,COLUMN())),OFFSET($BN$2,0,0,ROW()-1,60),ROW()-1,FALSE))</f>
        <v>269.46899999999999</v>
      </c>
      <c r="AI78">
        <f ca="1">IF(AND(ISNUMBER($AI$328),$B$258=1),$AI$328,HLOOKUP(INDIRECT(ADDRESS(2,COLUMN())),OFFSET($BN$2,0,0,ROW()-1,60),ROW()-1,FALSE))</f>
        <v>283.495</v>
      </c>
      <c r="AJ78">
        <f ca="1">IF(AND(ISNUMBER($AJ$328),$B$258=1),$AJ$328,HLOOKUP(INDIRECT(ADDRESS(2,COLUMN())),OFFSET($BN$2,0,0,ROW()-1,60),ROW()-1,FALSE))</f>
        <v>254.435</v>
      </c>
      <c r="AK78">
        <f ca="1">IF(AND(ISNUMBER($AK$328),$B$258=1),$AK$328,HLOOKUP(INDIRECT(ADDRESS(2,COLUMN())),OFFSET($BN$2,0,0,ROW()-1,60),ROW()-1,FALSE))</f>
        <v>249.208</v>
      </c>
      <c r="AL78">
        <f ca="1">IF(AND(ISNUMBER($AL$328),$B$258=1),$AL$328,HLOOKUP(INDIRECT(ADDRESS(2,COLUMN())),OFFSET($BN$2,0,0,ROW()-1,60),ROW()-1,FALSE))</f>
        <v>237.392</v>
      </c>
      <c r="AM78">
        <f ca="1">IF(AND(ISNUMBER($AM$328),$B$258=1),$AM$328,HLOOKUP(INDIRECT(ADDRESS(2,COLUMN())),OFFSET($BN$2,0,0,ROW()-1,60),ROW()-1,FALSE))</f>
        <v>247.67400000000001</v>
      </c>
      <c r="AN78">
        <f ca="1">IF(AND(ISNUMBER($AN$328),$B$258=1),$AN$328,HLOOKUP(INDIRECT(ADDRESS(2,COLUMN())),OFFSET($BN$2,0,0,ROW()-1,60),ROW()-1,FALSE))</f>
        <v>237.31399999999999</v>
      </c>
      <c r="AO78">
        <f ca="1">IF(AND(ISNUMBER($AO$328),$B$258=1),$AO$328,HLOOKUP(INDIRECT(ADDRESS(2,COLUMN())),OFFSET($BN$2,0,0,ROW()-1,60),ROW()-1,FALSE))</f>
        <v>242.541</v>
      </c>
      <c r="AP78">
        <f ca="1">IF(AND(ISNUMBER($AP$328),$B$258=1),$AP$328,HLOOKUP(INDIRECT(ADDRESS(2,COLUMN())),OFFSET($BN$2,0,0,ROW()-1,60),ROW()-1,FALSE))</f>
        <v>221.291</v>
      </c>
      <c r="AQ78">
        <f ca="1">IF(AND(ISNUMBER($AQ$328),$B$258=1),$AQ$328,HLOOKUP(INDIRECT(ADDRESS(2,COLUMN())),OFFSET($BN$2,0,0,ROW()-1,60),ROW()-1,FALSE))</f>
        <v>232.47499999999999</v>
      </c>
      <c r="AR78">
        <f ca="1">IF(AND(ISNUMBER($AR$328),$B$258=1),$AR$328,HLOOKUP(INDIRECT(ADDRESS(2,COLUMN())),OFFSET($BN$2,0,0,ROW()-1,60),ROW()-1,FALSE))</f>
        <v>279.54300000000001</v>
      </c>
      <c r="AS78">
        <f ca="1">IF(AND(ISNUMBER($AS$328),$B$258=1),$AS$328,HLOOKUP(INDIRECT(ADDRESS(2,COLUMN())),OFFSET($BN$2,0,0,ROW()-1,60),ROW()-1,FALSE))</f>
        <v>233.852</v>
      </c>
      <c r="AT78">
        <f ca="1">IF(AND(ISNUMBER($AT$328),$B$258=1),$AT$328,HLOOKUP(INDIRECT(ADDRESS(2,COLUMN())),OFFSET($BN$2,0,0,ROW()-1,60),ROW()-1,FALSE))</f>
        <v>237.30600000000001</v>
      </c>
      <c r="AU78">
        <f ca="1">IF(AND(ISNUMBER($AU$328),$B$258=1),$AU$328,HLOOKUP(INDIRECT(ADDRESS(2,COLUMN())),OFFSET($BN$2,0,0,ROW()-1,60),ROW()-1,FALSE))</f>
        <v>238.45</v>
      </c>
      <c r="AV78">
        <f ca="1">IF(AND(ISNUMBER($AV$328),$B$258=1),$AV$328,HLOOKUP(INDIRECT(ADDRESS(2,COLUMN())),OFFSET($BN$2,0,0,ROW()-1,60),ROW()-1,FALSE))</f>
        <v>229.88900000000001</v>
      </c>
      <c r="AW78">
        <f ca="1">IF(AND(ISNUMBER($AW$328),$B$258=1),$AW$328,HLOOKUP(INDIRECT(ADDRESS(2,COLUMN())),OFFSET($BN$2,0,0,ROW()-1,60),ROW()-1,FALSE))</f>
        <v>211.46799999999999</v>
      </c>
      <c r="AX78">
        <f ca="1">IF(AND(ISNUMBER($AX$328),$B$258=1),$AX$328,HLOOKUP(INDIRECT(ADDRESS(2,COLUMN())),OFFSET($BN$2,0,0,ROW()-1,60),ROW()-1,FALSE))</f>
        <v>197.87299999999999</v>
      </c>
      <c r="AY78">
        <f ca="1">IF(AND(ISNUMBER($AY$328),$B$258=1),$AY$328,HLOOKUP(INDIRECT(ADDRESS(2,COLUMN())),OFFSET($BN$2,0,0,ROW()-1,60),ROW()-1,FALSE))</f>
        <v>192.67599999999999</v>
      </c>
      <c r="AZ78">
        <f ca="1">IF(AND(ISNUMBER($AZ$328),$B$258=1),$AZ$328,HLOOKUP(INDIRECT(ADDRESS(2,COLUMN())),OFFSET($BN$2,0,0,ROW()-1,60),ROW()-1,FALSE))</f>
        <v>116.96</v>
      </c>
      <c r="BA78">
        <f ca="1">IF(AND(ISNUMBER($BA$328),$B$258=1),$BA$328,HLOOKUP(INDIRECT(ADDRESS(2,COLUMN())),OFFSET($BN$2,0,0,ROW()-1,60),ROW()-1,FALSE))</f>
        <v>112.239</v>
      </c>
      <c r="BB78">
        <f ca="1">IF(AND(ISNUMBER($BB$328),$B$258=1),$BB$328,HLOOKUP(INDIRECT(ADDRESS(2,COLUMN())),OFFSET($BN$2,0,0,ROW()-1,60),ROW()-1,FALSE))</f>
        <v>118.949</v>
      </c>
      <c r="BC78" t="str">
        <f ca="1">IF(AND(ISNUMBER($BC$328),$B$258=1),$BC$328,HLOOKUP(INDIRECT(ADDRESS(2,COLUMN())),OFFSET($BN$2,0,0,ROW()-1,60),ROW()-1,FALSE))</f>
        <v/>
      </c>
      <c r="BD78" t="str">
        <f ca="1">IF(AND(ISNUMBER($BD$328),$B$258=1),$BD$328,HLOOKUP(INDIRECT(ADDRESS(2,COLUMN())),OFFSET($BN$2,0,0,ROW()-1,60),ROW()-1,FALSE))</f>
        <v/>
      </c>
      <c r="BE78" t="str">
        <f ca="1">IF(AND(ISNUMBER($BE$328),$B$258=1),$BE$328,HLOOKUP(INDIRECT(ADDRESS(2,COLUMN())),OFFSET($BN$2,0,0,ROW()-1,60),ROW()-1,FALSE))</f>
        <v/>
      </c>
      <c r="BF78" t="str">
        <f ca="1">IF(AND(ISNUMBER($BF$328),$B$258=1),$BF$328,HLOOKUP(INDIRECT(ADDRESS(2,COLUMN())),OFFSET($BN$2,0,0,ROW()-1,60),ROW()-1,FALSE))</f>
        <v/>
      </c>
      <c r="BG78" t="str">
        <f ca="1">IF(AND(ISNUMBER($BG$328),$B$258=1),$BG$328,HLOOKUP(INDIRECT(ADDRESS(2,COLUMN())),OFFSET($BN$2,0,0,ROW()-1,60),ROW()-1,FALSE))</f>
        <v/>
      </c>
      <c r="BH78" t="str">
        <f ca="1">IF(AND(ISNUMBER($BH$328),$B$258=1),$BH$328,HLOOKUP(INDIRECT(ADDRESS(2,COLUMN())),OFFSET($BN$2,0,0,ROW()-1,60),ROW()-1,FALSE))</f>
        <v/>
      </c>
      <c r="BI78" t="str">
        <f ca="1">IF(AND(ISNUMBER($BI$328),$B$258=1),$BI$328,HLOOKUP(INDIRECT(ADDRESS(2,COLUMN())),OFFSET($BN$2,0,0,ROW()-1,60),ROW()-1,FALSE))</f>
        <v/>
      </c>
      <c r="BJ78" t="str">
        <f ca="1">IF(AND(ISNUMBER($BJ$328),$B$258=1),$BJ$328,HLOOKUP(INDIRECT(ADDRESS(2,COLUMN())),OFFSET($BN$2,0,0,ROW()-1,60),ROW()-1,FALSE))</f>
        <v/>
      </c>
      <c r="BK78" t="str">
        <f ca="1">IF(AND(ISNUMBER($BK$328),$B$258=1),$BK$328,HLOOKUP(INDIRECT(ADDRESS(2,COLUMN())),OFFSET($BN$2,0,0,ROW()-1,60),ROW()-1,FALSE))</f>
        <v/>
      </c>
      <c r="BL78" t="str">
        <f ca="1">IF(AND(ISNUMBER($BL$328),$B$258=1),$BL$328,HLOOKUP(INDIRECT(ADDRESS(2,COLUMN())),OFFSET($BN$2,0,0,ROW()-1,60),ROW()-1,FALSE))</f>
        <v/>
      </c>
      <c r="BM78" t="str">
        <f ca="1">IF(AND(ISNUMBER($BM$328),$B$258=1),$BM$328,HLOOKUP(INDIRECT(ADDRESS(2,COLUMN())),OFFSET($BN$2,0,0,ROW()-1,60),ROW()-1,FALSE))</f>
        <v/>
      </c>
      <c r="BN78" t="str">
        <f>""</f>
        <v/>
      </c>
      <c r="BO78">
        <f>298.481</f>
        <v>298.48099999999999</v>
      </c>
      <c r="BP78">
        <f>300.084</f>
        <v>300.084</v>
      </c>
      <c r="BQ78">
        <f>305.422</f>
        <v>305.42200000000003</v>
      </c>
      <c r="BR78">
        <f>331.983</f>
        <v>331.983</v>
      </c>
      <c r="BS78">
        <f>382.725</f>
        <v>382.72500000000002</v>
      </c>
      <c r="BT78">
        <f>458.521</f>
        <v>458.52100000000002</v>
      </c>
      <c r="BU78">
        <f>474.226</f>
        <v>474.226</v>
      </c>
      <c r="BV78">
        <f>451.923</f>
        <v>451.923</v>
      </c>
      <c r="BW78">
        <f>504.61</f>
        <v>504.61</v>
      </c>
      <c r="BX78">
        <f>492.466</f>
        <v>492.46600000000001</v>
      </c>
      <c r="BY78">
        <f>482.472</f>
        <v>482.47199999999998</v>
      </c>
      <c r="BZ78">
        <f>484.517</f>
        <v>484.517</v>
      </c>
      <c r="CA78">
        <f>480.15</f>
        <v>480.15</v>
      </c>
      <c r="CB78">
        <f>464.219</f>
        <v>464.21899999999999</v>
      </c>
      <c r="CC78">
        <f>448.263</f>
        <v>448.26299999999998</v>
      </c>
      <c r="CD78">
        <f>456.409</f>
        <v>456.40899999999999</v>
      </c>
      <c r="CE78">
        <f>456.69</f>
        <v>456.69</v>
      </c>
      <c r="CF78">
        <f>449.359</f>
        <v>449.35899999999998</v>
      </c>
      <c r="CG78">
        <f>440.878</f>
        <v>440.87799999999999</v>
      </c>
      <c r="CH78">
        <f>453.527</f>
        <v>453.52699999999999</v>
      </c>
      <c r="CI78">
        <f>431.69</f>
        <v>431.69</v>
      </c>
      <c r="CJ78">
        <f>405.622</f>
        <v>405.62200000000001</v>
      </c>
      <c r="CK78">
        <f>399.116</f>
        <v>399.11599999999999</v>
      </c>
      <c r="CL78">
        <f>390.946</f>
        <v>390.94600000000003</v>
      </c>
      <c r="CM78">
        <f>386.599</f>
        <v>386.59899999999999</v>
      </c>
      <c r="CN78">
        <f>384.828</f>
        <v>384.82799999999997</v>
      </c>
      <c r="CO78">
        <f>432.365</f>
        <v>432.36500000000001</v>
      </c>
      <c r="CP78">
        <f>269.469</f>
        <v>269.46899999999999</v>
      </c>
      <c r="CQ78">
        <f>283.495</f>
        <v>283.495</v>
      </c>
      <c r="CR78">
        <f>254.435</f>
        <v>254.435</v>
      </c>
      <c r="CS78">
        <f>249.208</f>
        <v>249.208</v>
      </c>
      <c r="CT78">
        <f>237.392</f>
        <v>237.392</v>
      </c>
      <c r="CU78">
        <f>247.674</f>
        <v>247.67400000000001</v>
      </c>
      <c r="CV78">
        <f>237.314</f>
        <v>237.31399999999999</v>
      </c>
      <c r="CW78">
        <f>242.541</f>
        <v>242.541</v>
      </c>
      <c r="CX78">
        <f>221.291</f>
        <v>221.291</v>
      </c>
      <c r="CY78">
        <f>232.475</f>
        <v>232.47499999999999</v>
      </c>
      <c r="CZ78">
        <f>279.543</f>
        <v>279.54300000000001</v>
      </c>
      <c r="DA78">
        <f>233.852</f>
        <v>233.852</v>
      </c>
      <c r="DB78">
        <f>237.306</f>
        <v>237.30600000000001</v>
      </c>
      <c r="DC78">
        <f>238.45</f>
        <v>238.45</v>
      </c>
      <c r="DD78">
        <f>229.889</f>
        <v>229.88900000000001</v>
      </c>
      <c r="DE78">
        <f>211.468</f>
        <v>211.46799999999999</v>
      </c>
      <c r="DF78">
        <f>197.873</f>
        <v>197.87299999999999</v>
      </c>
      <c r="DG78">
        <f>192.676</f>
        <v>192.67599999999999</v>
      </c>
      <c r="DH78">
        <f>116.96</f>
        <v>116.96</v>
      </c>
      <c r="DI78">
        <f>112.239</f>
        <v>112.239</v>
      </c>
      <c r="DJ78">
        <f>118.949</f>
        <v>118.949</v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>
      <c r="A79" t="str">
        <f>"    Healthcare Realty Trust Inc"</f>
        <v xml:space="preserve">    Healthcare Realty Trust Inc</v>
      </c>
      <c r="B79" t="str">
        <f>"HR US Equity"</f>
        <v>HR US Equity</v>
      </c>
      <c r="C79" t="str">
        <f t="shared" si="18"/>
        <v>IS972</v>
      </c>
      <c r="D79" t="str">
        <f t="shared" si="19"/>
        <v>IS_ADJUSTED_EBITDA_AS_REPORTED</v>
      </c>
      <c r="E79" t="str">
        <f t="shared" si="20"/>
        <v>动态</v>
      </c>
      <c r="F79" t="str">
        <f ca="1">IF(AND(ISNUMBER($F$329),$B$258=1),$F$329,HLOOKUP(INDIRECT(ADDRESS(2,COLUMN())),OFFSET($BN$2,0,0,ROW()-1,60),ROW()-1,FALSE))</f>
        <v/>
      </c>
      <c r="G79">
        <f ca="1">IF(AND(ISNUMBER($G$329),$B$258=1),$G$329,HLOOKUP(INDIRECT(ADDRESS(2,COLUMN())),OFFSET($BN$2,0,0,ROW()-1,60),ROW()-1,FALSE))</f>
        <v>66.44</v>
      </c>
      <c r="H79">
        <f ca="1">IF(AND(ISNUMBER($H$329),$B$258=1),$H$329,HLOOKUP(INDIRECT(ADDRESS(2,COLUMN())),OFFSET($BN$2,0,0,ROW()-1,60),ROW()-1,FALSE))</f>
        <v>63.707999999999998</v>
      </c>
      <c r="I79">
        <f ca="1">IF(AND(ISNUMBER($I$329),$B$258=1),$I$329,HLOOKUP(INDIRECT(ADDRESS(2,COLUMN())),OFFSET($BN$2,0,0,ROW()-1,60),ROW()-1,FALSE))</f>
        <v>61.390999999999998</v>
      </c>
      <c r="J79">
        <f ca="1">IF(AND(ISNUMBER($J$329),$B$258=1),$J$329,HLOOKUP(INDIRECT(ADDRESS(2,COLUMN())),OFFSET($BN$2,0,0,ROW()-1,60),ROW()-1,FALSE))</f>
        <v>59.448</v>
      </c>
      <c r="K79">
        <f ca="1">IF(AND(ISNUMBER($K$329),$B$258=1),$K$329,HLOOKUP(INDIRECT(ADDRESS(2,COLUMN())),OFFSET($BN$2,0,0,ROW()-1,60),ROW()-1,FALSE))</f>
        <v>61.344999999999999</v>
      </c>
      <c r="L79">
        <f ca="1">IF(AND(ISNUMBER($L$329),$B$258=1),$L$329,HLOOKUP(INDIRECT(ADDRESS(2,COLUMN())),OFFSET($BN$2,0,0,ROW()-1,60),ROW()-1,FALSE))</f>
        <v>61.360999999999997</v>
      </c>
      <c r="M79" t="str">
        <f ca="1">IF(AND(ISNUMBER($M$329),$B$258=1),$M$329,HLOOKUP(INDIRECT(ADDRESS(2,COLUMN())),OFFSET($BN$2,0,0,ROW()-1,60),ROW()-1,FALSE))</f>
        <v/>
      </c>
      <c r="N79" t="str">
        <f ca="1">IF(AND(ISNUMBER($N$329),$B$258=1),$N$329,HLOOKUP(INDIRECT(ADDRESS(2,COLUMN())),OFFSET($BN$2,0,0,ROW()-1,60),ROW()-1,FALSE))</f>
        <v/>
      </c>
      <c r="O79" t="str">
        <f ca="1">IF(AND(ISNUMBER($O$329),$B$258=1),$O$329,HLOOKUP(INDIRECT(ADDRESS(2,COLUMN())),OFFSET($BN$2,0,0,ROW()-1,60),ROW()-1,FALSE))</f>
        <v/>
      </c>
      <c r="P79" t="str">
        <f ca="1">IF(AND(ISNUMBER($P$329),$B$258=1),$P$329,HLOOKUP(INDIRECT(ADDRESS(2,COLUMN())),OFFSET($BN$2,0,0,ROW()-1,60),ROW()-1,FALSE))</f>
        <v/>
      </c>
      <c r="Q79" t="str">
        <f ca="1">IF(AND(ISNUMBER($Q$329),$B$258=1),$Q$329,HLOOKUP(INDIRECT(ADDRESS(2,COLUMN())),OFFSET($BN$2,0,0,ROW()-1,60),ROW()-1,FALSE))</f>
        <v/>
      </c>
      <c r="R79" t="str">
        <f ca="1">IF(AND(ISNUMBER($R$329),$B$258=1),$R$329,HLOOKUP(INDIRECT(ADDRESS(2,COLUMN())),OFFSET($BN$2,0,0,ROW()-1,60),ROW()-1,FALSE))</f>
        <v/>
      </c>
      <c r="S79" t="str">
        <f ca="1">IF(AND(ISNUMBER($S$329),$B$258=1),$S$329,HLOOKUP(INDIRECT(ADDRESS(2,COLUMN())),OFFSET($BN$2,0,0,ROW()-1,60),ROW()-1,FALSE))</f>
        <v/>
      </c>
      <c r="T79" t="str">
        <f ca="1">IF(AND(ISNUMBER($T$329),$B$258=1),$T$329,HLOOKUP(INDIRECT(ADDRESS(2,COLUMN())),OFFSET($BN$2,0,0,ROW()-1,60),ROW()-1,FALSE))</f>
        <v/>
      </c>
      <c r="U79" t="str">
        <f ca="1">IF(AND(ISNUMBER($U$329),$B$258=1),$U$329,HLOOKUP(INDIRECT(ADDRESS(2,COLUMN())),OFFSET($BN$2,0,0,ROW()-1,60),ROW()-1,FALSE))</f>
        <v/>
      </c>
      <c r="V79" t="str">
        <f ca="1">IF(AND(ISNUMBER($V$329),$B$258=1),$V$329,HLOOKUP(INDIRECT(ADDRESS(2,COLUMN())),OFFSET($BN$2,0,0,ROW()-1,60),ROW()-1,FALSE))</f>
        <v/>
      </c>
      <c r="W79" t="str">
        <f ca="1">IF(AND(ISNUMBER($W$329),$B$258=1),$W$329,HLOOKUP(INDIRECT(ADDRESS(2,COLUMN())),OFFSET($BN$2,0,0,ROW()-1,60),ROW()-1,FALSE))</f>
        <v/>
      </c>
      <c r="X79" t="str">
        <f ca="1">IF(AND(ISNUMBER($X$329),$B$258=1),$X$329,HLOOKUP(INDIRECT(ADDRESS(2,COLUMN())),OFFSET($BN$2,0,0,ROW()-1,60),ROW()-1,FALSE))</f>
        <v/>
      </c>
      <c r="Y79" t="str">
        <f ca="1">IF(AND(ISNUMBER($Y$329),$B$258=1),$Y$329,HLOOKUP(INDIRECT(ADDRESS(2,COLUMN())),OFFSET($BN$2,0,0,ROW()-1,60),ROW()-1,FALSE))</f>
        <v/>
      </c>
      <c r="Z79" t="str">
        <f ca="1">IF(AND(ISNUMBER($Z$329),$B$258=1),$Z$329,HLOOKUP(INDIRECT(ADDRESS(2,COLUMN())),OFFSET($BN$2,0,0,ROW()-1,60),ROW()-1,FALSE))</f>
        <v/>
      </c>
      <c r="AA79" t="str">
        <f ca="1">IF(AND(ISNUMBER($AA$329),$B$258=1),$AA$329,HLOOKUP(INDIRECT(ADDRESS(2,COLUMN())),OFFSET($BN$2,0,0,ROW()-1,60),ROW()-1,FALSE))</f>
        <v/>
      </c>
      <c r="AB79" t="str">
        <f ca="1">IF(AND(ISNUMBER($AB$329),$B$258=1),$AB$329,HLOOKUP(INDIRECT(ADDRESS(2,COLUMN())),OFFSET($BN$2,0,0,ROW()-1,60),ROW()-1,FALSE))</f>
        <v/>
      </c>
      <c r="AC79" t="str">
        <f ca="1">IF(AND(ISNUMBER($AC$329),$B$258=1),$AC$329,HLOOKUP(INDIRECT(ADDRESS(2,COLUMN())),OFFSET($BN$2,0,0,ROW()-1,60),ROW()-1,FALSE))</f>
        <v/>
      </c>
      <c r="AD79" t="str">
        <f ca="1">IF(AND(ISNUMBER($AD$329),$B$258=1),$AD$329,HLOOKUP(INDIRECT(ADDRESS(2,COLUMN())),OFFSET($BN$2,0,0,ROW()-1,60),ROW()-1,FALSE))</f>
        <v/>
      </c>
      <c r="AE79" t="str">
        <f ca="1">IF(AND(ISNUMBER($AE$329),$B$258=1),$AE$329,HLOOKUP(INDIRECT(ADDRESS(2,COLUMN())),OFFSET($BN$2,0,0,ROW()-1,60),ROW()-1,FALSE))</f>
        <v/>
      </c>
      <c r="AF79" t="str">
        <f ca="1">IF(AND(ISNUMBER($AF$329),$B$258=1),$AF$329,HLOOKUP(INDIRECT(ADDRESS(2,COLUMN())),OFFSET($BN$2,0,0,ROW()-1,60),ROW()-1,FALSE))</f>
        <v/>
      </c>
      <c r="AG79" t="str">
        <f ca="1">IF(AND(ISNUMBER($AG$329),$B$258=1),$AG$329,HLOOKUP(INDIRECT(ADDRESS(2,COLUMN())),OFFSET($BN$2,0,0,ROW()-1,60),ROW()-1,FALSE))</f>
        <v/>
      </c>
      <c r="AH79" t="str">
        <f ca="1">IF(AND(ISNUMBER($AH$329),$B$258=1),$AH$329,HLOOKUP(INDIRECT(ADDRESS(2,COLUMN())),OFFSET($BN$2,0,0,ROW()-1,60),ROW()-1,FALSE))</f>
        <v/>
      </c>
      <c r="AI79" t="str">
        <f ca="1">IF(AND(ISNUMBER($AI$329),$B$258=1),$AI$329,HLOOKUP(INDIRECT(ADDRESS(2,COLUMN())),OFFSET($BN$2,0,0,ROW()-1,60),ROW()-1,FALSE))</f>
        <v/>
      </c>
      <c r="AJ79" t="str">
        <f ca="1">IF(AND(ISNUMBER($AJ$329),$B$258=1),$AJ$329,HLOOKUP(INDIRECT(ADDRESS(2,COLUMN())),OFFSET($BN$2,0,0,ROW()-1,60),ROW()-1,FALSE))</f>
        <v/>
      </c>
      <c r="AK79" t="str">
        <f ca="1">IF(AND(ISNUMBER($AK$329),$B$258=1),$AK$329,HLOOKUP(INDIRECT(ADDRESS(2,COLUMN())),OFFSET($BN$2,0,0,ROW()-1,60),ROW()-1,FALSE))</f>
        <v/>
      </c>
      <c r="AL79" t="str">
        <f ca="1">IF(AND(ISNUMBER($AL$329),$B$258=1),$AL$329,HLOOKUP(INDIRECT(ADDRESS(2,COLUMN())),OFFSET($BN$2,0,0,ROW()-1,60),ROW()-1,FALSE))</f>
        <v/>
      </c>
      <c r="AM79" t="str">
        <f ca="1">IF(AND(ISNUMBER($AM$329),$B$258=1),$AM$329,HLOOKUP(INDIRECT(ADDRESS(2,COLUMN())),OFFSET($BN$2,0,0,ROW()-1,60),ROW()-1,FALSE))</f>
        <v/>
      </c>
      <c r="AN79" t="str">
        <f ca="1">IF(AND(ISNUMBER($AN$329),$B$258=1),$AN$329,HLOOKUP(INDIRECT(ADDRESS(2,COLUMN())),OFFSET($BN$2,0,0,ROW()-1,60),ROW()-1,FALSE))</f>
        <v/>
      </c>
      <c r="AO79" t="str">
        <f ca="1">IF(AND(ISNUMBER($AO$329),$B$258=1),$AO$329,HLOOKUP(INDIRECT(ADDRESS(2,COLUMN())),OFFSET($BN$2,0,0,ROW()-1,60),ROW()-1,FALSE))</f>
        <v/>
      </c>
      <c r="AP79" t="str">
        <f ca="1">IF(AND(ISNUMBER($AP$329),$B$258=1),$AP$329,HLOOKUP(INDIRECT(ADDRESS(2,COLUMN())),OFFSET($BN$2,0,0,ROW()-1,60),ROW()-1,FALSE))</f>
        <v/>
      </c>
      <c r="AQ79" t="str">
        <f ca="1">IF(AND(ISNUMBER($AQ$329),$B$258=1),$AQ$329,HLOOKUP(INDIRECT(ADDRESS(2,COLUMN())),OFFSET($BN$2,0,0,ROW()-1,60),ROW()-1,FALSE))</f>
        <v/>
      </c>
      <c r="AR79" t="str">
        <f ca="1">IF(AND(ISNUMBER($AR$329),$B$258=1),$AR$329,HLOOKUP(INDIRECT(ADDRESS(2,COLUMN())),OFFSET($BN$2,0,0,ROW()-1,60),ROW()-1,FALSE))</f>
        <v/>
      </c>
      <c r="AS79" t="str">
        <f ca="1">IF(AND(ISNUMBER($AS$329),$B$258=1),$AS$329,HLOOKUP(INDIRECT(ADDRESS(2,COLUMN())),OFFSET($BN$2,0,0,ROW()-1,60),ROW()-1,FALSE))</f>
        <v/>
      </c>
      <c r="AT79" t="str">
        <f ca="1">IF(AND(ISNUMBER($AT$329),$B$258=1),$AT$329,HLOOKUP(INDIRECT(ADDRESS(2,COLUMN())),OFFSET($BN$2,0,0,ROW()-1,60),ROW()-1,FALSE))</f>
        <v/>
      </c>
      <c r="AU79" t="str">
        <f ca="1">IF(AND(ISNUMBER($AU$329),$B$258=1),$AU$329,HLOOKUP(INDIRECT(ADDRESS(2,COLUMN())),OFFSET($BN$2,0,0,ROW()-1,60),ROW()-1,FALSE))</f>
        <v/>
      </c>
      <c r="AV79" t="str">
        <f ca="1">IF(AND(ISNUMBER($AV$329),$B$258=1),$AV$329,HLOOKUP(INDIRECT(ADDRESS(2,COLUMN())),OFFSET($BN$2,0,0,ROW()-1,60),ROW()-1,FALSE))</f>
        <v/>
      </c>
      <c r="AW79" t="str">
        <f ca="1">IF(AND(ISNUMBER($AW$329),$B$258=1),$AW$329,HLOOKUP(INDIRECT(ADDRESS(2,COLUMN())),OFFSET($BN$2,0,0,ROW()-1,60),ROW()-1,FALSE))</f>
        <v/>
      </c>
      <c r="AX79" t="str">
        <f ca="1">IF(AND(ISNUMBER($AX$329),$B$258=1),$AX$329,HLOOKUP(INDIRECT(ADDRESS(2,COLUMN())),OFFSET($BN$2,0,0,ROW()-1,60),ROW()-1,FALSE))</f>
        <v/>
      </c>
      <c r="AY79" t="str">
        <f ca="1">IF(AND(ISNUMBER($AY$329),$B$258=1),$AY$329,HLOOKUP(INDIRECT(ADDRESS(2,COLUMN())),OFFSET($BN$2,0,0,ROW()-1,60),ROW()-1,FALSE))</f>
        <v/>
      </c>
      <c r="AZ79" t="str">
        <f ca="1">IF(AND(ISNUMBER($AZ$329),$B$258=1),$AZ$329,HLOOKUP(INDIRECT(ADDRESS(2,COLUMN())),OFFSET($BN$2,0,0,ROW()-1,60),ROW()-1,FALSE))</f>
        <v/>
      </c>
      <c r="BA79" t="str">
        <f ca="1">IF(AND(ISNUMBER($BA$329),$B$258=1),$BA$329,HLOOKUP(INDIRECT(ADDRESS(2,COLUMN())),OFFSET($BN$2,0,0,ROW()-1,60),ROW()-1,FALSE))</f>
        <v/>
      </c>
      <c r="BB79" t="str">
        <f ca="1">IF(AND(ISNUMBER($BB$329),$B$258=1),$BB$329,HLOOKUP(INDIRECT(ADDRESS(2,COLUMN())),OFFSET($BN$2,0,0,ROW()-1,60),ROW()-1,FALSE))</f>
        <v/>
      </c>
      <c r="BC79" t="str">
        <f ca="1">IF(AND(ISNUMBER($BC$329),$B$258=1),$BC$329,HLOOKUP(INDIRECT(ADDRESS(2,COLUMN())),OFFSET($BN$2,0,0,ROW()-1,60),ROW()-1,FALSE))</f>
        <v/>
      </c>
      <c r="BD79" t="str">
        <f ca="1">IF(AND(ISNUMBER($BD$329),$B$258=1),$BD$329,HLOOKUP(INDIRECT(ADDRESS(2,COLUMN())),OFFSET($BN$2,0,0,ROW()-1,60),ROW()-1,FALSE))</f>
        <v/>
      </c>
      <c r="BE79" t="str">
        <f ca="1">IF(AND(ISNUMBER($BE$329),$B$258=1),$BE$329,HLOOKUP(INDIRECT(ADDRESS(2,COLUMN())),OFFSET($BN$2,0,0,ROW()-1,60),ROW()-1,FALSE))</f>
        <v/>
      </c>
      <c r="BF79" t="str">
        <f ca="1">IF(AND(ISNUMBER($BF$329),$B$258=1),$BF$329,HLOOKUP(INDIRECT(ADDRESS(2,COLUMN())),OFFSET($BN$2,0,0,ROW()-1,60),ROW()-1,FALSE))</f>
        <v/>
      </c>
      <c r="BG79" t="str">
        <f ca="1">IF(AND(ISNUMBER($BG$329),$B$258=1),$BG$329,HLOOKUP(INDIRECT(ADDRESS(2,COLUMN())),OFFSET($BN$2,0,0,ROW()-1,60),ROW()-1,FALSE))</f>
        <v/>
      </c>
      <c r="BH79" t="str">
        <f ca="1">IF(AND(ISNUMBER($BH$329),$B$258=1),$BH$329,HLOOKUP(INDIRECT(ADDRESS(2,COLUMN())),OFFSET($BN$2,0,0,ROW()-1,60),ROW()-1,FALSE))</f>
        <v/>
      </c>
      <c r="BI79" t="str">
        <f ca="1">IF(AND(ISNUMBER($BI$329),$B$258=1),$BI$329,HLOOKUP(INDIRECT(ADDRESS(2,COLUMN())),OFFSET($BN$2,0,0,ROW()-1,60),ROW()-1,FALSE))</f>
        <v/>
      </c>
      <c r="BJ79" t="str">
        <f ca="1">IF(AND(ISNUMBER($BJ$329),$B$258=1),$BJ$329,HLOOKUP(INDIRECT(ADDRESS(2,COLUMN())),OFFSET($BN$2,0,0,ROW()-1,60),ROW()-1,FALSE))</f>
        <v/>
      </c>
      <c r="BK79" t="str">
        <f ca="1">IF(AND(ISNUMBER($BK$329),$B$258=1),$BK$329,HLOOKUP(INDIRECT(ADDRESS(2,COLUMN())),OFFSET($BN$2,0,0,ROW()-1,60),ROW()-1,FALSE))</f>
        <v/>
      </c>
      <c r="BL79" t="str">
        <f ca="1">IF(AND(ISNUMBER($BL$329),$B$258=1),$BL$329,HLOOKUP(INDIRECT(ADDRESS(2,COLUMN())),OFFSET($BN$2,0,0,ROW()-1,60),ROW()-1,FALSE))</f>
        <v/>
      </c>
      <c r="BM79" t="str">
        <f ca="1">IF(AND(ISNUMBER($BM$329),$B$258=1),$BM$329,HLOOKUP(INDIRECT(ADDRESS(2,COLUMN())),OFFSET($BN$2,0,0,ROW()-1,60),ROW()-1,FALSE))</f>
        <v/>
      </c>
      <c r="BN79" t="str">
        <f>""</f>
        <v/>
      </c>
      <c r="BO79">
        <f>66.44</f>
        <v>66.44</v>
      </c>
      <c r="BP79">
        <f>63.708</f>
        <v>63.707999999999998</v>
      </c>
      <c r="BQ79">
        <f>61.391</f>
        <v>61.390999999999998</v>
      </c>
      <c r="BR79">
        <f>59.448</f>
        <v>59.448</v>
      </c>
      <c r="BS79">
        <f>61.345</f>
        <v>61.344999999999999</v>
      </c>
      <c r="BT79">
        <f>61.361</f>
        <v>61.360999999999997</v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>
      <c r="A80" t="str">
        <f>"    Healthcare Trust of America In"</f>
        <v xml:space="preserve">    Healthcare Trust of America In</v>
      </c>
      <c r="B80" t="str">
        <f>"HTA US Equity"</f>
        <v>HTA US Equity</v>
      </c>
      <c r="C80" t="str">
        <f t="shared" si="18"/>
        <v>IS972</v>
      </c>
      <c r="D80" t="str">
        <f t="shared" si="19"/>
        <v>IS_ADJUSTED_EBITDA_AS_REPORTED</v>
      </c>
      <c r="E80" t="str">
        <f t="shared" si="20"/>
        <v>动态</v>
      </c>
      <c r="F80" t="str">
        <f ca="1">IF(AND(ISNUMBER($F$330),$B$258=1),$F$330,HLOOKUP(INDIRECT(ADDRESS(2,COLUMN())),OFFSET($BN$2,0,0,ROW()-1,60),ROW()-1,FALSE))</f>
        <v/>
      </c>
      <c r="G80">
        <f ca="1">IF(AND(ISNUMBER($G$330),$B$258=1),$G$330,HLOOKUP(INDIRECT(ADDRESS(2,COLUMN())),OFFSET($BN$2,0,0,ROW()-1,60),ROW()-1,FALSE))</f>
        <v>457.54</v>
      </c>
      <c r="H80">
        <f ca="1">IF(AND(ISNUMBER($H$330),$B$258=1),$H$330,HLOOKUP(INDIRECT(ADDRESS(2,COLUMN())),OFFSET($BN$2,0,0,ROW()-1,60),ROW()-1,FALSE))</f>
        <v>457.71600000000001</v>
      </c>
      <c r="I80">
        <f ca="1">IF(AND(ISNUMBER($I$330),$B$258=1),$I$330,HLOOKUP(INDIRECT(ADDRESS(2,COLUMN())),OFFSET($BN$2,0,0,ROW()-1,60),ROW()-1,FALSE))</f>
        <v>442.31599999999997</v>
      </c>
      <c r="J80">
        <f ca="1">IF(AND(ISNUMBER($J$330),$B$258=1),$J$330,HLOOKUP(INDIRECT(ADDRESS(2,COLUMN())),OFFSET($BN$2,0,0,ROW()-1,60),ROW()-1,FALSE))</f>
        <v>319.13200000000001</v>
      </c>
      <c r="K80">
        <f ca="1">IF(AND(ISNUMBER($K$330),$B$258=1),$K$330,HLOOKUP(INDIRECT(ADDRESS(2,COLUMN())),OFFSET($BN$2,0,0,ROW()-1,60),ROW()-1,FALSE))</f>
        <v>312.33999999999997</v>
      </c>
      <c r="L80">
        <f ca="1">IF(AND(ISNUMBER($L$330),$B$258=1),$L$330,HLOOKUP(INDIRECT(ADDRESS(2,COLUMN())),OFFSET($BN$2,0,0,ROW()-1,60),ROW()-1,FALSE))</f>
        <v>77.944000000000003</v>
      </c>
      <c r="M80">
        <f ca="1">IF(AND(ISNUMBER($M$330),$B$258=1),$M$330,HLOOKUP(INDIRECT(ADDRESS(2,COLUMN())),OFFSET($BN$2,0,0,ROW()-1,60),ROW()-1,FALSE))</f>
        <v>73.563999999999993</v>
      </c>
      <c r="N80">
        <f ca="1">IF(AND(ISNUMBER($N$330),$B$258=1),$N$330,HLOOKUP(INDIRECT(ADDRESS(2,COLUMN())),OFFSET($BN$2,0,0,ROW()-1,60),ROW()-1,FALSE))</f>
        <v>69.978999999999999</v>
      </c>
      <c r="O80">
        <f ca="1">IF(AND(ISNUMBER($O$330),$B$258=1),$O$330,HLOOKUP(INDIRECT(ADDRESS(2,COLUMN())),OFFSET($BN$2,0,0,ROW()-1,60),ROW()-1,FALSE))</f>
        <v>66.869</v>
      </c>
      <c r="P80">
        <f ca="1">IF(AND(ISNUMBER($P$330),$B$258=1),$P$330,HLOOKUP(INDIRECT(ADDRESS(2,COLUMN())),OFFSET($BN$2,0,0,ROW()-1,60),ROW()-1,FALSE))</f>
        <v>66.256</v>
      </c>
      <c r="Q80">
        <f ca="1">IF(AND(ISNUMBER($Q$330),$B$258=1),$Q$330,HLOOKUP(INDIRECT(ADDRESS(2,COLUMN())),OFFSET($BN$2,0,0,ROW()-1,60),ROW()-1,FALSE))</f>
        <v>66.768000000000001</v>
      </c>
      <c r="R80">
        <f ca="1">IF(AND(ISNUMBER($R$330),$B$258=1),$R$330,HLOOKUP(INDIRECT(ADDRESS(2,COLUMN())),OFFSET($BN$2,0,0,ROW()-1,60),ROW()-1,FALSE))</f>
        <v>63.670999999999999</v>
      </c>
      <c r="S80">
        <f ca="1">IF(AND(ISNUMBER($S$330),$B$258=1),$S$330,HLOOKUP(INDIRECT(ADDRESS(2,COLUMN())),OFFSET($BN$2,0,0,ROW()-1,60),ROW()-1,FALSE))</f>
        <v>62.488999999999997</v>
      </c>
      <c r="T80">
        <f ca="1">IF(AND(ISNUMBER($T$330),$B$258=1),$T$330,HLOOKUP(INDIRECT(ADDRESS(2,COLUMN())),OFFSET($BN$2,0,0,ROW()-1,60),ROW()-1,FALSE))</f>
        <v>69.432000000000002</v>
      </c>
      <c r="U80">
        <f ca="1">IF(AND(ISNUMBER($U$330),$B$258=1),$U$330,HLOOKUP(INDIRECT(ADDRESS(2,COLUMN())),OFFSET($BN$2,0,0,ROW()-1,60),ROW()-1,FALSE))</f>
        <v>60.811999999999998</v>
      </c>
      <c r="V80">
        <f ca="1">IF(AND(ISNUMBER($V$330),$B$258=1),$V$330,HLOOKUP(INDIRECT(ADDRESS(2,COLUMN())),OFFSET($BN$2,0,0,ROW()-1,60),ROW()-1,FALSE))</f>
        <v>56.83</v>
      </c>
      <c r="W80">
        <f ca="1">IF(AND(ISNUMBER($W$330),$B$258=1),$W$330,HLOOKUP(INDIRECT(ADDRESS(2,COLUMN())),OFFSET($BN$2,0,0,ROW()-1,60),ROW()-1,FALSE))</f>
        <v>55.987000000000002</v>
      </c>
      <c r="X80">
        <f ca="1">IF(AND(ISNUMBER($X$330),$B$258=1),$X$330,HLOOKUP(INDIRECT(ADDRESS(2,COLUMN())),OFFSET($BN$2,0,0,ROW()-1,60),ROW()-1,FALSE))</f>
        <v>51.637999999999998</v>
      </c>
      <c r="Y80">
        <f ca="1">IF(AND(ISNUMBER($Y$330),$B$258=1),$Y$330,HLOOKUP(INDIRECT(ADDRESS(2,COLUMN())),OFFSET($BN$2,0,0,ROW()-1,60),ROW()-1,FALSE))</f>
        <v>48.878999999999998</v>
      </c>
      <c r="Z80">
        <f ca="1">IF(AND(ISNUMBER($Z$330),$B$258=1),$Z$330,HLOOKUP(INDIRECT(ADDRESS(2,COLUMN())),OFFSET($BN$2,0,0,ROW()-1,60),ROW()-1,FALSE))</f>
        <v>47.017000000000003</v>
      </c>
      <c r="AA80">
        <f ca="1">IF(AND(ISNUMBER($AA$330),$B$258=1),$AA$330,HLOOKUP(INDIRECT(ADDRESS(2,COLUMN())),OFFSET($BN$2,0,0,ROW()-1,60),ROW()-1,FALSE))</f>
        <v>46.805</v>
      </c>
      <c r="AB80">
        <f ca="1">IF(AND(ISNUMBER($AB$330),$B$258=1),$AB$330,HLOOKUP(INDIRECT(ADDRESS(2,COLUMN())),OFFSET($BN$2,0,0,ROW()-1,60),ROW()-1,FALSE))</f>
        <v>46.926000000000002</v>
      </c>
      <c r="AC80">
        <f ca="1">IF(AND(ISNUMBER($AC$330),$B$258=1),$AC$330,HLOOKUP(INDIRECT(ADDRESS(2,COLUMN())),OFFSET($BN$2,0,0,ROW()-1,60),ROW()-1,FALSE))</f>
        <v>45.415999999999997</v>
      </c>
      <c r="AD80" t="str">
        <f ca="1">IF(AND(ISNUMBER($AD$330),$B$258=1),$AD$330,HLOOKUP(INDIRECT(ADDRESS(2,COLUMN())),OFFSET($BN$2,0,0,ROW()-1,60),ROW()-1,FALSE))</f>
        <v/>
      </c>
      <c r="AE80" t="str">
        <f ca="1">IF(AND(ISNUMBER($AE$330),$B$258=1),$AE$330,HLOOKUP(INDIRECT(ADDRESS(2,COLUMN())),OFFSET($BN$2,0,0,ROW()-1,60),ROW()-1,FALSE))</f>
        <v/>
      </c>
      <c r="AF80" t="str">
        <f ca="1">IF(AND(ISNUMBER($AF$330),$B$258=1),$AF$330,HLOOKUP(INDIRECT(ADDRESS(2,COLUMN())),OFFSET($BN$2,0,0,ROW()-1,60),ROW()-1,FALSE))</f>
        <v/>
      </c>
      <c r="AG80" t="str">
        <f ca="1">IF(AND(ISNUMBER($AG$330),$B$258=1),$AG$330,HLOOKUP(INDIRECT(ADDRESS(2,COLUMN())),OFFSET($BN$2,0,0,ROW()-1,60),ROW()-1,FALSE))</f>
        <v/>
      </c>
      <c r="AH80" t="str">
        <f ca="1">IF(AND(ISNUMBER($AH$330),$B$258=1),$AH$330,HLOOKUP(INDIRECT(ADDRESS(2,COLUMN())),OFFSET($BN$2,0,0,ROW()-1,60),ROW()-1,FALSE))</f>
        <v/>
      </c>
      <c r="AI80" t="str">
        <f ca="1">IF(AND(ISNUMBER($AI$330),$B$258=1),$AI$330,HLOOKUP(INDIRECT(ADDRESS(2,COLUMN())),OFFSET($BN$2,0,0,ROW()-1,60),ROW()-1,FALSE))</f>
        <v/>
      </c>
      <c r="AJ80" t="str">
        <f ca="1">IF(AND(ISNUMBER($AJ$330),$B$258=1),$AJ$330,HLOOKUP(INDIRECT(ADDRESS(2,COLUMN())),OFFSET($BN$2,0,0,ROW()-1,60),ROW()-1,FALSE))</f>
        <v/>
      </c>
      <c r="AK80" t="str">
        <f ca="1">IF(AND(ISNUMBER($AK$330),$B$258=1),$AK$330,HLOOKUP(INDIRECT(ADDRESS(2,COLUMN())),OFFSET($BN$2,0,0,ROW()-1,60),ROW()-1,FALSE))</f>
        <v/>
      </c>
      <c r="AL80" t="str">
        <f ca="1">IF(AND(ISNUMBER($AL$330),$B$258=1),$AL$330,HLOOKUP(INDIRECT(ADDRESS(2,COLUMN())),OFFSET($BN$2,0,0,ROW()-1,60),ROW()-1,FALSE))</f>
        <v/>
      </c>
      <c r="AM80" t="str">
        <f ca="1">IF(AND(ISNUMBER($AM$330),$B$258=1),$AM$330,HLOOKUP(INDIRECT(ADDRESS(2,COLUMN())),OFFSET($BN$2,0,0,ROW()-1,60),ROW()-1,FALSE))</f>
        <v/>
      </c>
      <c r="AN80" t="str">
        <f ca="1">IF(AND(ISNUMBER($AN$330),$B$258=1),$AN$330,HLOOKUP(INDIRECT(ADDRESS(2,COLUMN())),OFFSET($BN$2,0,0,ROW()-1,60),ROW()-1,FALSE))</f>
        <v/>
      </c>
      <c r="AO80" t="str">
        <f ca="1">IF(AND(ISNUMBER($AO$330),$B$258=1),$AO$330,HLOOKUP(INDIRECT(ADDRESS(2,COLUMN())),OFFSET($BN$2,0,0,ROW()-1,60),ROW()-1,FALSE))</f>
        <v/>
      </c>
      <c r="AP80" t="str">
        <f ca="1">IF(AND(ISNUMBER($AP$330),$B$258=1),$AP$330,HLOOKUP(INDIRECT(ADDRESS(2,COLUMN())),OFFSET($BN$2,0,0,ROW()-1,60),ROW()-1,FALSE))</f>
        <v/>
      </c>
      <c r="AQ80" t="str">
        <f ca="1">IF(AND(ISNUMBER($AQ$330),$B$258=1),$AQ$330,HLOOKUP(INDIRECT(ADDRESS(2,COLUMN())),OFFSET($BN$2,0,0,ROW()-1,60),ROW()-1,FALSE))</f>
        <v/>
      </c>
      <c r="AR80" t="str">
        <f ca="1">IF(AND(ISNUMBER($AR$330),$B$258=1),$AR$330,HLOOKUP(INDIRECT(ADDRESS(2,COLUMN())),OFFSET($BN$2,0,0,ROW()-1,60),ROW()-1,FALSE))</f>
        <v/>
      </c>
      <c r="AS80" t="str">
        <f ca="1">IF(AND(ISNUMBER($AS$330),$B$258=1),$AS$330,HLOOKUP(INDIRECT(ADDRESS(2,COLUMN())),OFFSET($BN$2,0,0,ROW()-1,60),ROW()-1,FALSE))</f>
        <v/>
      </c>
      <c r="AT80" t="str">
        <f ca="1">IF(AND(ISNUMBER($AT$330),$B$258=1),$AT$330,HLOOKUP(INDIRECT(ADDRESS(2,COLUMN())),OFFSET($BN$2,0,0,ROW()-1,60),ROW()-1,FALSE))</f>
        <v/>
      </c>
      <c r="AU80" t="str">
        <f ca="1">IF(AND(ISNUMBER($AU$330),$B$258=1),$AU$330,HLOOKUP(INDIRECT(ADDRESS(2,COLUMN())),OFFSET($BN$2,0,0,ROW()-1,60),ROW()-1,FALSE))</f>
        <v/>
      </c>
      <c r="AV80" t="str">
        <f ca="1">IF(AND(ISNUMBER($AV$330),$B$258=1),$AV$330,HLOOKUP(INDIRECT(ADDRESS(2,COLUMN())),OFFSET($BN$2,0,0,ROW()-1,60),ROW()-1,FALSE))</f>
        <v/>
      </c>
      <c r="AW80" t="str">
        <f ca="1">IF(AND(ISNUMBER($AW$330),$B$258=1),$AW$330,HLOOKUP(INDIRECT(ADDRESS(2,COLUMN())),OFFSET($BN$2,0,0,ROW()-1,60),ROW()-1,FALSE))</f>
        <v/>
      </c>
      <c r="AX80" t="str">
        <f ca="1">IF(AND(ISNUMBER($AX$330),$B$258=1),$AX$330,HLOOKUP(INDIRECT(ADDRESS(2,COLUMN())),OFFSET($BN$2,0,0,ROW()-1,60),ROW()-1,FALSE))</f>
        <v/>
      </c>
      <c r="AY80" t="str">
        <f ca="1">IF(AND(ISNUMBER($AY$330),$B$258=1),$AY$330,HLOOKUP(INDIRECT(ADDRESS(2,COLUMN())),OFFSET($BN$2,0,0,ROW()-1,60),ROW()-1,FALSE))</f>
        <v/>
      </c>
      <c r="AZ80" t="str">
        <f ca="1">IF(AND(ISNUMBER($AZ$330),$B$258=1),$AZ$330,HLOOKUP(INDIRECT(ADDRESS(2,COLUMN())),OFFSET($BN$2,0,0,ROW()-1,60),ROW()-1,FALSE))</f>
        <v/>
      </c>
      <c r="BA80" t="str">
        <f ca="1">IF(AND(ISNUMBER($BA$330),$B$258=1),$BA$330,HLOOKUP(INDIRECT(ADDRESS(2,COLUMN())),OFFSET($BN$2,0,0,ROW()-1,60),ROW()-1,FALSE))</f>
        <v/>
      </c>
      <c r="BB80" t="str">
        <f ca="1">IF(AND(ISNUMBER($BB$330),$B$258=1),$BB$330,HLOOKUP(INDIRECT(ADDRESS(2,COLUMN())),OFFSET($BN$2,0,0,ROW()-1,60),ROW()-1,FALSE))</f>
        <v/>
      </c>
      <c r="BC80" t="str">
        <f ca="1">IF(AND(ISNUMBER($BC$330),$B$258=1),$BC$330,HLOOKUP(INDIRECT(ADDRESS(2,COLUMN())),OFFSET($BN$2,0,0,ROW()-1,60),ROW()-1,FALSE))</f>
        <v/>
      </c>
      <c r="BD80" t="str">
        <f ca="1">IF(AND(ISNUMBER($BD$330),$B$258=1),$BD$330,HLOOKUP(INDIRECT(ADDRESS(2,COLUMN())),OFFSET($BN$2,0,0,ROW()-1,60),ROW()-1,FALSE))</f>
        <v/>
      </c>
      <c r="BE80" t="str">
        <f ca="1">IF(AND(ISNUMBER($BE$330),$B$258=1),$BE$330,HLOOKUP(INDIRECT(ADDRESS(2,COLUMN())),OFFSET($BN$2,0,0,ROW()-1,60),ROW()-1,FALSE))</f>
        <v/>
      </c>
      <c r="BF80" t="str">
        <f ca="1">IF(AND(ISNUMBER($BF$330),$B$258=1),$BF$330,HLOOKUP(INDIRECT(ADDRESS(2,COLUMN())),OFFSET($BN$2,0,0,ROW()-1,60),ROW()-1,FALSE))</f>
        <v/>
      </c>
      <c r="BG80" t="str">
        <f ca="1">IF(AND(ISNUMBER($BG$330),$B$258=1),$BG$330,HLOOKUP(INDIRECT(ADDRESS(2,COLUMN())),OFFSET($BN$2,0,0,ROW()-1,60),ROW()-1,FALSE))</f>
        <v/>
      </c>
      <c r="BH80" t="str">
        <f ca="1">IF(AND(ISNUMBER($BH$330),$B$258=1),$BH$330,HLOOKUP(INDIRECT(ADDRESS(2,COLUMN())),OFFSET($BN$2,0,0,ROW()-1,60),ROW()-1,FALSE))</f>
        <v/>
      </c>
      <c r="BI80" t="str">
        <f ca="1">IF(AND(ISNUMBER($BI$330),$B$258=1),$BI$330,HLOOKUP(INDIRECT(ADDRESS(2,COLUMN())),OFFSET($BN$2,0,0,ROW()-1,60),ROW()-1,FALSE))</f>
        <v/>
      </c>
      <c r="BJ80" t="str">
        <f ca="1">IF(AND(ISNUMBER($BJ$330),$B$258=1),$BJ$330,HLOOKUP(INDIRECT(ADDRESS(2,COLUMN())),OFFSET($BN$2,0,0,ROW()-1,60),ROW()-1,FALSE))</f>
        <v/>
      </c>
      <c r="BK80" t="str">
        <f ca="1">IF(AND(ISNUMBER($BK$330),$B$258=1),$BK$330,HLOOKUP(INDIRECT(ADDRESS(2,COLUMN())),OFFSET($BN$2,0,0,ROW()-1,60),ROW()-1,FALSE))</f>
        <v/>
      </c>
      <c r="BL80" t="str">
        <f ca="1">IF(AND(ISNUMBER($BL$330),$B$258=1),$BL$330,HLOOKUP(INDIRECT(ADDRESS(2,COLUMN())),OFFSET($BN$2,0,0,ROW()-1,60),ROW()-1,FALSE))</f>
        <v/>
      </c>
      <c r="BM80" t="str">
        <f ca="1">IF(AND(ISNUMBER($BM$330),$B$258=1),$BM$330,HLOOKUP(INDIRECT(ADDRESS(2,COLUMN())),OFFSET($BN$2,0,0,ROW()-1,60),ROW()-1,FALSE))</f>
        <v/>
      </c>
      <c r="BN80" t="str">
        <f>""</f>
        <v/>
      </c>
      <c r="BO80">
        <f>457.54</f>
        <v>457.54</v>
      </c>
      <c r="BP80">
        <f>457.716</f>
        <v>457.71600000000001</v>
      </c>
      <c r="BQ80">
        <f>442.316</f>
        <v>442.31599999999997</v>
      </c>
      <c r="BR80">
        <f>319.132</f>
        <v>319.13200000000001</v>
      </c>
      <c r="BS80">
        <f>312.34</f>
        <v>312.33999999999997</v>
      </c>
      <c r="BT80">
        <f>77.944</f>
        <v>77.944000000000003</v>
      </c>
      <c r="BU80">
        <f>73.564</f>
        <v>73.563999999999993</v>
      </c>
      <c r="BV80">
        <f>69.979</f>
        <v>69.978999999999999</v>
      </c>
      <c r="BW80">
        <f>66.869</f>
        <v>66.869</v>
      </c>
      <c r="BX80">
        <f>66.256</f>
        <v>66.256</v>
      </c>
      <c r="BY80">
        <f>66.768</f>
        <v>66.768000000000001</v>
      </c>
      <c r="BZ80">
        <f>63.671</f>
        <v>63.670999999999999</v>
      </c>
      <c r="CA80">
        <f>62.489</f>
        <v>62.488999999999997</v>
      </c>
      <c r="CB80">
        <f>69.432</f>
        <v>69.432000000000002</v>
      </c>
      <c r="CC80">
        <f>60.812</f>
        <v>60.811999999999998</v>
      </c>
      <c r="CD80">
        <f>56.83</f>
        <v>56.83</v>
      </c>
      <c r="CE80">
        <f>55.987</f>
        <v>55.987000000000002</v>
      </c>
      <c r="CF80">
        <f>51.638</f>
        <v>51.637999999999998</v>
      </c>
      <c r="CG80">
        <f>48.879</f>
        <v>48.878999999999998</v>
      </c>
      <c r="CH80">
        <f>47.017</f>
        <v>47.017000000000003</v>
      </c>
      <c r="CI80">
        <f>46.805</f>
        <v>46.805</v>
      </c>
      <c r="CJ80">
        <f>46.926</f>
        <v>46.926000000000002</v>
      </c>
      <c r="CK80">
        <f>45.416</f>
        <v>45.415999999999997</v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>
      <c r="A81" t="str">
        <f>"    Medical Properties Trust Inc"</f>
        <v xml:space="preserve">    Medical Properties Trust Inc</v>
      </c>
      <c r="B81" t="str">
        <f>"MPW US Equity"</f>
        <v>MPW US Equity</v>
      </c>
      <c r="C81" t="str">
        <f t="shared" si="18"/>
        <v>IS972</v>
      </c>
      <c r="D81" t="str">
        <f t="shared" si="19"/>
        <v>IS_ADJUSTED_EBITDA_AS_REPORTED</v>
      </c>
      <c r="E81" t="str">
        <f t="shared" si="20"/>
        <v>动态</v>
      </c>
      <c r="F81" t="str">
        <f ca="1">IF(AND(ISNUMBER($F$331),$B$258=1),$F$331,HLOOKUP(INDIRECT(ADDRESS(2,COLUMN())),OFFSET($BN$2,0,0,ROW()-1,60),ROW()-1,FALSE))</f>
        <v/>
      </c>
      <c r="G81" t="str">
        <f ca="1">IF(AND(ISNUMBER($G$331),$B$258=1),$G$331,HLOOKUP(INDIRECT(ADDRESS(2,COLUMN())),OFFSET($BN$2,0,0,ROW()-1,60),ROW()-1,FALSE))</f>
        <v/>
      </c>
      <c r="H81" t="str">
        <f ca="1">IF(AND(ISNUMBER($H$331),$B$258=1),$H$331,HLOOKUP(INDIRECT(ADDRESS(2,COLUMN())),OFFSET($BN$2,0,0,ROW()-1,60),ROW()-1,FALSE))</f>
        <v/>
      </c>
      <c r="I81" t="str">
        <f ca="1">IF(AND(ISNUMBER($I$331),$B$258=1),$I$331,HLOOKUP(INDIRECT(ADDRESS(2,COLUMN())),OFFSET($BN$2,0,0,ROW()-1,60),ROW()-1,FALSE))</f>
        <v/>
      </c>
      <c r="J81" t="str">
        <f ca="1">IF(AND(ISNUMBER($J$331),$B$258=1),$J$331,HLOOKUP(INDIRECT(ADDRESS(2,COLUMN())),OFFSET($BN$2,0,0,ROW()-1,60),ROW()-1,FALSE))</f>
        <v/>
      </c>
      <c r="K81" t="str">
        <f ca="1">IF(AND(ISNUMBER($K$331),$B$258=1),$K$331,HLOOKUP(INDIRECT(ADDRESS(2,COLUMN())),OFFSET($BN$2,0,0,ROW()-1,60),ROW()-1,FALSE))</f>
        <v/>
      </c>
      <c r="L81" t="str">
        <f ca="1">IF(AND(ISNUMBER($L$331),$B$258=1),$L$331,HLOOKUP(INDIRECT(ADDRESS(2,COLUMN())),OFFSET($BN$2,0,0,ROW()-1,60),ROW()-1,FALSE))</f>
        <v/>
      </c>
      <c r="M81" t="str">
        <f ca="1">IF(AND(ISNUMBER($M$331),$B$258=1),$M$331,HLOOKUP(INDIRECT(ADDRESS(2,COLUMN())),OFFSET($BN$2,0,0,ROW()-1,60),ROW()-1,FALSE))</f>
        <v/>
      </c>
      <c r="N81" t="str">
        <f ca="1">IF(AND(ISNUMBER($N$331),$B$258=1),$N$331,HLOOKUP(INDIRECT(ADDRESS(2,COLUMN())),OFFSET($BN$2,0,0,ROW()-1,60),ROW()-1,FALSE))</f>
        <v/>
      </c>
      <c r="O81" t="str">
        <f ca="1">IF(AND(ISNUMBER($O$331),$B$258=1),$O$331,HLOOKUP(INDIRECT(ADDRESS(2,COLUMN())),OFFSET($BN$2,0,0,ROW()-1,60),ROW()-1,FALSE))</f>
        <v/>
      </c>
      <c r="P81" t="str">
        <f ca="1">IF(AND(ISNUMBER($P$331),$B$258=1),$P$331,HLOOKUP(INDIRECT(ADDRESS(2,COLUMN())),OFFSET($BN$2,0,0,ROW()-1,60),ROW()-1,FALSE))</f>
        <v/>
      </c>
      <c r="Q81" t="str">
        <f ca="1">IF(AND(ISNUMBER($Q$331),$B$258=1),$Q$331,HLOOKUP(INDIRECT(ADDRESS(2,COLUMN())),OFFSET($BN$2,0,0,ROW()-1,60),ROW()-1,FALSE))</f>
        <v/>
      </c>
      <c r="R81" t="str">
        <f ca="1">IF(AND(ISNUMBER($R$331),$B$258=1),$R$331,HLOOKUP(INDIRECT(ADDRESS(2,COLUMN())),OFFSET($BN$2,0,0,ROW()-1,60),ROW()-1,FALSE))</f>
        <v/>
      </c>
      <c r="S81" t="str">
        <f ca="1">IF(AND(ISNUMBER($S$331),$B$258=1),$S$331,HLOOKUP(INDIRECT(ADDRESS(2,COLUMN())),OFFSET($BN$2,0,0,ROW()-1,60),ROW()-1,FALSE))</f>
        <v/>
      </c>
      <c r="T81" t="str">
        <f ca="1">IF(AND(ISNUMBER($T$331),$B$258=1),$T$331,HLOOKUP(INDIRECT(ADDRESS(2,COLUMN())),OFFSET($BN$2,0,0,ROW()-1,60),ROW()-1,FALSE))</f>
        <v/>
      </c>
      <c r="U81" t="str">
        <f ca="1">IF(AND(ISNUMBER($U$331),$B$258=1),$U$331,HLOOKUP(INDIRECT(ADDRESS(2,COLUMN())),OFFSET($BN$2,0,0,ROW()-1,60),ROW()-1,FALSE))</f>
        <v/>
      </c>
      <c r="V81" t="str">
        <f ca="1">IF(AND(ISNUMBER($V$331),$B$258=1),$V$331,HLOOKUP(INDIRECT(ADDRESS(2,COLUMN())),OFFSET($BN$2,0,0,ROW()-1,60),ROW()-1,FALSE))</f>
        <v/>
      </c>
      <c r="W81" t="str">
        <f ca="1">IF(AND(ISNUMBER($W$331),$B$258=1),$W$331,HLOOKUP(INDIRECT(ADDRESS(2,COLUMN())),OFFSET($BN$2,0,0,ROW()-1,60),ROW()-1,FALSE))</f>
        <v/>
      </c>
      <c r="X81" t="str">
        <f ca="1">IF(AND(ISNUMBER($X$331),$B$258=1),$X$331,HLOOKUP(INDIRECT(ADDRESS(2,COLUMN())),OFFSET($BN$2,0,0,ROW()-1,60),ROW()-1,FALSE))</f>
        <v/>
      </c>
      <c r="Y81" t="str">
        <f ca="1">IF(AND(ISNUMBER($Y$331),$B$258=1),$Y$331,HLOOKUP(INDIRECT(ADDRESS(2,COLUMN())),OFFSET($BN$2,0,0,ROW()-1,60),ROW()-1,FALSE))</f>
        <v/>
      </c>
      <c r="Z81" t="str">
        <f ca="1">IF(AND(ISNUMBER($Z$331),$B$258=1),$Z$331,HLOOKUP(INDIRECT(ADDRESS(2,COLUMN())),OFFSET($BN$2,0,0,ROW()-1,60),ROW()-1,FALSE))</f>
        <v/>
      </c>
      <c r="AA81" t="str">
        <f ca="1">IF(AND(ISNUMBER($AA$331),$B$258=1),$AA$331,HLOOKUP(INDIRECT(ADDRESS(2,COLUMN())),OFFSET($BN$2,0,0,ROW()-1,60),ROW()-1,FALSE))</f>
        <v/>
      </c>
      <c r="AB81" t="str">
        <f ca="1">IF(AND(ISNUMBER($AB$331),$B$258=1),$AB$331,HLOOKUP(INDIRECT(ADDRESS(2,COLUMN())),OFFSET($BN$2,0,0,ROW()-1,60),ROW()-1,FALSE))</f>
        <v/>
      </c>
      <c r="AC81" t="str">
        <f ca="1">IF(AND(ISNUMBER($AC$331),$B$258=1),$AC$331,HLOOKUP(INDIRECT(ADDRESS(2,COLUMN())),OFFSET($BN$2,0,0,ROW()-1,60),ROW()-1,FALSE))</f>
        <v/>
      </c>
      <c r="AD81" t="str">
        <f ca="1">IF(AND(ISNUMBER($AD$331),$B$258=1),$AD$331,HLOOKUP(INDIRECT(ADDRESS(2,COLUMN())),OFFSET($BN$2,0,0,ROW()-1,60),ROW()-1,FALSE))</f>
        <v/>
      </c>
      <c r="AE81" t="str">
        <f ca="1">IF(AND(ISNUMBER($AE$331),$B$258=1),$AE$331,HLOOKUP(INDIRECT(ADDRESS(2,COLUMN())),OFFSET($BN$2,0,0,ROW()-1,60),ROW()-1,FALSE))</f>
        <v/>
      </c>
      <c r="AF81" t="str">
        <f ca="1">IF(AND(ISNUMBER($AF$331),$B$258=1),$AF$331,HLOOKUP(INDIRECT(ADDRESS(2,COLUMN())),OFFSET($BN$2,0,0,ROW()-1,60),ROW()-1,FALSE))</f>
        <v/>
      </c>
      <c r="AG81" t="str">
        <f ca="1">IF(AND(ISNUMBER($AG$331),$B$258=1),$AG$331,HLOOKUP(INDIRECT(ADDRESS(2,COLUMN())),OFFSET($BN$2,0,0,ROW()-1,60),ROW()-1,FALSE))</f>
        <v/>
      </c>
      <c r="AH81" t="str">
        <f ca="1">IF(AND(ISNUMBER($AH$331),$B$258=1),$AH$331,HLOOKUP(INDIRECT(ADDRESS(2,COLUMN())),OFFSET($BN$2,0,0,ROW()-1,60),ROW()-1,FALSE))</f>
        <v/>
      </c>
      <c r="AI81" t="str">
        <f ca="1">IF(AND(ISNUMBER($AI$331),$B$258=1),$AI$331,HLOOKUP(INDIRECT(ADDRESS(2,COLUMN())),OFFSET($BN$2,0,0,ROW()-1,60),ROW()-1,FALSE))</f>
        <v/>
      </c>
      <c r="AJ81" t="str">
        <f ca="1">IF(AND(ISNUMBER($AJ$331),$B$258=1),$AJ$331,HLOOKUP(INDIRECT(ADDRESS(2,COLUMN())),OFFSET($BN$2,0,0,ROW()-1,60),ROW()-1,FALSE))</f>
        <v/>
      </c>
      <c r="AK81" t="str">
        <f ca="1">IF(AND(ISNUMBER($AK$331),$B$258=1),$AK$331,HLOOKUP(INDIRECT(ADDRESS(2,COLUMN())),OFFSET($BN$2,0,0,ROW()-1,60),ROW()-1,FALSE))</f>
        <v/>
      </c>
      <c r="AL81" t="str">
        <f ca="1">IF(AND(ISNUMBER($AL$331),$B$258=1),$AL$331,HLOOKUP(INDIRECT(ADDRESS(2,COLUMN())),OFFSET($BN$2,0,0,ROW()-1,60),ROW()-1,FALSE))</f>
        <v/>
      </c>
      <c r="AM81" t="str">
        <f ca="1">IF(AND(ISNUMBER($AM$331),$B$258=1),$AM$331,HLOOKUP(INDIRECT(ADDRESS(2,COLUMN())),OFFSET($BN$2,0,0,ROW()-1,60),ROW()-1,FALSE))</f>
        <v/>
      </c>
      <c r="AN81" t="str">
        <f ca="1">IF(AND(ISNUMBER($AN$331),$B$258=1),$AN$331,HLOOKUP(INDIRECT(ADDRESS(2,COLUMN())),OFFSET($BN$2,0,0,ROW()-1,60),ROW()-1,FALSE))</f>
        <v/>
      </c>
      <c r="AO81" t="str">
        <f ca="1">IF(AND(ISNUMBER($AO$331),$B$258=1),$AO$331,HLOOKUP(INDIRECT(ADDRESS(2,COLUMN())),OFFSET($BN$2,0,0,ROW()-1,60),ROW()-1,FALSE))</f>
        <v/>
      </c>
      <c r="AP81" t="str">
        <f ca="1">IF(AND(ISNUMBER($AP$331),$B$258=1),$AP$331,HLOOKUP(INDIRECT(ADDRESS(2,COLUMN())),OFFSET($BN$2,0,0,ROW()-1,60),ROW()-1,FALSE))</f>
        <v/>
      </c>
      <c r="AQ81" t="str">
        <f ca="1">IF(AND(ISNUMBER($AQ$331),$B$258=1),$AQ$331,HLOOKUP(INDIRECT(ADDRESS(2,COLUMN())),OFFSET($BN$2,0,0,ROW()-1,60),ROW()-1,FALSE))</f>
        <v/>
      </c>
      <c r="AR81" t="str">
        <f ca="1">IF(AND(ISNUMBER($AR$331),$B$258=1),$AR$331,HLOOKUP(INDIRECT(ADDRESS(2,COLUMN())),OFFSET($BN$2,0,0,ROW()-1,60),ROW()-1,FALSE))</f>
        <v/>
      </c>
      <c r="AS81" t="str">
        <f ca="1">IF(AND(ISNUMBER($AS$331),$B$258=1),$AS$331,HLOOKUP(INDIRECT(ADDRESS(2,COLUMN())),OFFSET($BN$2,0,0,ROW()-1,60),ROW()-1,FALSE))</f>
        <v/>
      </c>
      <c r="AT81" t="str">
        <f ca="1">IF(AND(ISNUMBER($AT$331),$B$258=1),$AT$331,HLOOKUP(INDIRECT(ADDRESS(2,COLUMN())),OFFSET($BN$2,0,0,ROW()-1,60),ROW()-1,FALSE))</f>
        <v/>
      </c>
      <c r="AU81" t="str">
        <f ca="1">IF(AND(ISNUMBER($AU$331),$B$258=1),$AU$331,HLOOKUP(INDIRECT(ADDRESS(2,COLUMN())),OFFSET($BN$2,0,0,ROW()-1,60),ROW()-1,FALSE))</f>
        <v/>
      </c>
      <c r="AV81" t="str">
        <f ca="1">IF(AND(ISNUMBER($AV$331),$B$258=1),$AV$331,HLOOKUP(INDIRECT(ADDRESS(2,COLUMN())),OFFSET($BN$2,0,0,ROW()-1,60),ROW()-1,FALSE))</f>
        <v/>
      </c>
      <c r="AW81" t="str">
        <f ca="1">IF(AND(ISNUMBER($AW$331),$B$258=1),$AW$331,HLOOKUP(INDIRECT(ADDRESS(2,COLUMN())),OFFSET($BN$2,0,0,ROW()-1,60),ROW()-1,FALSE))</f>
        <v/>
      </c>
      <c r="AX81" t="str">
        <f ca="1">IF(AND(ISNUMBER($AX$331),$B$258=1),$AX$331,HLOOKUP(INDIRECT(ADDRESS(2,COLUMN())),OFFSET($BN$2,0,0,ROW()-1,60),ROW()-1,FALSE))</f>
        <v/>
      </c>
      <c r="AY81" t="str">
        <f ca="1">IF(AND(ISNUMBER($AY$331),$B$258=1),$AY$331,HLOOKUP(INDIRECT(ADDRESS(2,COLUMN())),OFFSET($BN$2,0,0,ROW()-1,60),ROW()-1,FALSE))</f>
        <v/>
      </c>
      <c r="AZ81" t="str">
        <f ca="1">IF(AND(ISNUMBER($AZ$331),$B$258=1),$AZ$331,HLOOKUP(INDIRECT(ADDRESS(2,COLUMN())),OFFSET($BN$2,0,0,ROW()-1,60),ROW()-1,FALSE))</f>
        <v/>
      </c>
      <c r="BA81" t="str">
        <f ca="1">IF(AND(ISNUMBER($BA$331),$B$258=1),$BA$331,HLOOKUP(INDIRECT(ADDRESS(2,COLUMN())),OFFSET($BN$2,0,0,ROW()-1,60),ROW()-1,FALSE))</f>
        <v/>
      </c>
      <c r="BB81" t="str">
        <f ca="1">IF(AND(ISNUMBER($BB$331),$B$258=1),$BB$331,HLOOKUP(INDIRECT(ADDRESS(2,COLUMN())),OFFSET($BN$2,0,0,ROW()-1,60),ROW()-1,FALSE))</f>
        <v/>
      </c>
      <c r="BC81" t="str">
        <f ca="1">IF(AND(ISNUMBER($BC$331),$B$258=1),$BC$331,HLOOKUP(INDIRECT(ADDRESS(2,COLUMN())),OFFSET($BN$2,0,0,ROW()-1,60),ROW()-1,FALSE))</f>
        <v/>
      </c>
      <c r="BD81" t="str">
        <f ca="1">IF(AND(ISNUMBER($BD$331),$B$258=1),$BD$331,HLOOKUP(INDIRECT(ADDRESS(2,COLUMN())),OFFSET($BN$2,0,0,ROW()-1,60),ROW()-1,FALSE))</f>
        <v/>
      </c>
      <c r="BE81" t="str">
        <f ca="1">IF(AND(ISNUMBER($BE$331),$B$258=1),$BE$331,HLOOKUP(INDIRECT(ADDRESS(2,COLUMN())),OFFSET($BN$2,0,0,ROW()-1,60),ROW()-1,FALSE))</f>
        <v/>
      </c>
      <c r="BF81" t="str">
        <f ca="1">IF(AND(ISNUMBER($BF$331),$B$258=1),$BF$331,HLOOKUP(INDIRECT(ADDRESS(2,COLUMN())),OFFSET($BN$2,0,0,ROW()-1,60),ROW()-1,FALSE))</f>
        <v/>
      </c>
      <c r="BG81" t="str">
        <f ca="1">IF(AND(ISNUMBER($BG$331),$B$258=1),$BG$331,HLOOKUP(INDIRECT(ADDRESS(2,COLUMN())),OFFSET($BN$2,0,0,ROW()-1,60),ROW()-1,FALSE))</f>
        <v/>
      </c>
      <c r="BH81" t="str">
        <f ca="1">IF(AND(ISNUMBER($BH$331),$B$258=1),$BH$331,HLOOKUP(INDIRECT(ADDRESS(2,COLUMN())),OFFSET($BN$2,0,0,ROW()-1,60),ROW()-1,FALSE))</f>
        <v/>
      </c>
      <c r="BI81" t="str">
        <f ca="1">IF(AND(ISNUMBER($BI$331),$B$258=1),$BI$331,HLOOKUP(INDIRECT(ADDRESS(2,COLUMN())),OFFSET($BN$2,0,0,ROW()-1,60),ROW()-1,FALSE))</f>
        <v/>
      </c>
      <c r="BJ81" t="str">
        <f ca="1">IF(AND(ISNUMBER($BJ$331),$B$258=1),$BJ$331,HLOOKUP(INDIRECT(ADDRESS(2,COLUMN())),OFFSET($BN$2,0,0,ROW()-1,60),ROW()-1,FALSE))</f>
        <v/>
      </c>
      <c r="BK81" t="str">
        <f ca="1">IF(AND(ISNUMBER($BK$331),$B$258=1),$BK$331,HLOOKUP(INDIRECT(ADDRESS(2,COLUMN())),OFFSET($BN$2,0,0,ROW()-1,60),ROW()-1,FALSE))</f>
        <v/>
      </c>
      <c r="BL81" t="str">
        <f ca="1">IF(AND(ISNUMBER($BL$331),$B$258=1),$BL$331,HLOOKUP(INDIRECT(ADDRESS(2,COLUMN())),OFFSET($BN$2,0,0,ROW()-1,60),ROW()-1,FALSE))</f>
        <v/>
      </c>
      <c r="BM81" t="str">
        <f ca="1">IF(AND(ISNUMBER($BM$331),$B$258=1),$BM$331,HLOOKUP(INDIRECT(ADDRESS(2,COLUMN())),OFFSET($BN$2,0,0,ROW()-1,60),ROW()-1,FALSE))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>
      <c r="A82" t="str">
        <f>"    Omega Healthcare Investors Inc"</f>
        <v xml:space="preserve">    Omega Healthcare Investors Inc</v>
      </c>
      <c r="B82" t="str">
        <f>"OHI US Equity"</f>
        <v>OHI US Equity</v>
      </c>
      <c r="C82" t="str">
        <f t="shared" si="18"/>
        <v>IS972</v>
      </c>
      <c r="D82" t="str">
        <f t="shared" si="19"/>
        <v>IS_ADJUSTED_EBITDA_AS_REPORTED</v>
      </c>
      <c r="E82" t="str">
        <f t="shared" si="20"/>
        <v>动态</v>
      </c>
      <c r="F82" t="str">
        <f ca="1">IF(AND(ISNUMBER($F$332),$B$258=1),$F$332,HLOOKUP(INDIRECT(ADDRESS(2,COLUMN())),OFFSET($BN$2,0,0,ROW()-1,60),ROW()-1,FALSE))</f>
        <v/>
      </c>
      <c r="G82">
        <f ca="1">IF(AND(ISNUMBER($G$332),$B$258=1),$G$332,HLOOKUP(INDIRECT(ADDRESS(2,COLUMN())),OFFSET($BN$2,0,0,ROW()-1,60),ROW()-1,FALSE))</f>
        <v>214.64099999999999</v>
      </c>
      <c r="H82">
        <f ca="1">IF(AND(ISNUMBER($H$332),$B$258=1),$H$332,HLOOKUP(INDIRECT(ADDRESS(2,COLUMN())),OFFSET($BN$2,0,0,ROW()-1,60),ROW()-1,FALSE))</f>
        <v>214.15199999999999</v>
      </c>
      <c r="I82">
        <f ca="1">IF(AND(ISNUMBER($I$332),$B$258=1),$I$332,HLOOKUP(INDIRECT(ADDRESS(2,COLUMN())),OFFSET($BN$2,0,0,ROW()-1,60),ROW()-1,FALSE))</f>
        <v>213.095</v>
      </c>
      <c r="J82">
        <f ca="1">IF(AND(ISNUMBER($J$332),$B$258=1),$J$332,HLOOKUP(INDIRECT(ADDRESS(2,COLUMN())),OFFSET($BN$2,0,0,ROW()-1,60),ROW()-1,FALSE))</f>
        <v>225.31899999999999</v>
      </c>
      <c r="K82">
        <f ca="1">IF(AND(ISNUMBER($K$332),$B$258=1),$K$332,HLOOKUP(INDIRECT(ADDRESS(2,COLUMN())),OFFSET($BN$2,0,0,ROW()-1,60),ROW()-1,FALSE))</f>
        <v>228.57</v>
      </c>
      <c r="L82">
        <f ca="1">IF(AND(ISNUMBER($L$332),$B$258=1),$L$332,HLOOKUP(INDIRECT(ADDRESS(2,COLUMN())),OFFSET($BN$2,0,0,ROW()-1,60),ROW()-1,FALSE))</f>
        <v>215.81800000000001</v>
      </c>
      <c r="M82">
        <f ca="1">IF(AND(ISNUMBER($M$332),$B$258=1),$M$332,HLOOKUP(INDIRECT(ADDRESS(2,COLUMN())),OFFSET($BN$2,0,0,ROW()-1,60),ROW()-1,FALSE))</f>
        <v>220.661</v>
      </c>
      <c r="N82">
        <f ca="1">IF(AND(ISNUMBER($N$332),$B$258=1),$N$332,HLOOKUP(INDIRECT(ADDRESS(2,COLUMN())),OFFSET($BN$2,0,0,ROW()-1,60),ROW()-1,FALSE))</f>
        <v>205.18799999999999</v>
      </c>
      <c r="O82">
        <f ca="1">IF(AND(ISNUMBER($O$332),$B$258=1),$O$332,HLOOKUP(INDIRECT(ADDRESS(2,COLUMN())),OFFSET($BN$2,0,0,ROW()-1,60),ROW()-1,FALSE))</f>
        <v>202.78399999999999</v>
      </c>
      <c r="P82">
        <f ca="1">IF(AND(ISNUMBER($P$332),$B$258=1),$P$332,HLOOKUP(INDIRECT(ADDRESS(2,COLUMN())),OFFSET($BN$2,0,0,ROW()-1,60),ROW()-1,FALSE))</f>
        <v>194.018</v>
      </c>
      <c r="Q82">
        <f ca="1">IF(AND(ISNUMBER($Q$332),$B$258=1),$Q$332,HLOOKUP(INDIRECT(ADDRESS(2,COLUMN())),OFFSET($BN$2,0,0,ROW()-1,60),ROW()-1,FALSE))</f>
        <v>190.28299999999999</v>
      </c>
      <c r="R82">
        <f ca="1">IF(AND(ISNUMBER($R$332),$B$258=1),$R$332,HLOOKUP(INDIRECT(ADDRESS(2,COLUMN())),OFFSET($BN$2,0,0,ROW()-1,60),ROW()-1,FALSE))</f>
        <v>129.10499999999999</v>
      </c>
      <c r="S82">
        <f ca="1">IF(AND(ISNUMBER($S$332),$B$258=1),$S$332,HLOOKUP(INDIRECT(ADDRESS(2,COLUMN())),OFFSET($BN$2,0,0,ROW()-1,60),ROW()-1,FALSE))</f>
        <v>126.244</v>
      </c>
      <c r="T82">
        <f ca="1">IF(AND(ISNUMBER($T$332),$B$258=1),$T$332,HLOOKUP(INDIRECT(ADDRESS(2,COLUMN())),OFFSET($BN$2,0,0,ROW()-1,60),ROW()-1,FALSE))</f>
        <v>126.126</v>
      </c>
      <c r="U82">
        <f ca="1">IF(AND(ISNUMBER($U$332),$B$258=1),$U$332,HLOOKUP(INDIRECT(ADDRESS(2,COLUMN())),OFFSET($BN$2,0,0,ROW()-1,60),ROW()-1,FALSE))</f>
        <v>117.80500000000001</v>
      </c>
      <c r="V82" t="str">
        <f ca="1">IF(AND(ISNUMBER($V$332),$B$258=1),$V$332,HLOOKUP(INDIRECT(ADDRESS(2,COLUMN())),OFFSET($BN$2,0,0,ROW()-1,60),ROW()-1,FALSE))</f>
        <v/>
      </c>
      <c r="W82" t="str">
        <f ca="1">IF(AND(ISNUMBER($W$332),$B$258=1),$W$332,HLOOKUP(INDIRECT(ADDRESS(2,COLUMN())),OFFSET($BN$2,0,0,ROW()-1,60),ROW()-1,FALSE))</f>
        <v/>
      </c>
      <c r="X82" t="str">
        <f ca="1">IF(AND(ISNUMBER($X$332),$B$258=1),$X$332,HLOOKUP(INDIRECT(ADDRESS(2,COLUMN())),OFFSET($BN$2,0,0,ROW()-1,60),ROW()-1,FALSE))</f>
        <v/>
      </c>
      <c r="Y82" t="str">
        <f ca="1">IF(AND(ISNUMBER($Y$332),$B$258=1),$Y$332,HLOOKUP(INDIRECT(ADDRESS(2,COLUMN())),OFFSET($BN$2,0,0,ROW()-1,60),ROW()-1,FALSE))</f>
        <v/>
      </c>
      <c r="Z82" t="str">
        <f ca="1">IF(AND(ISNUMBER($Z$332),$B$258=1),$Z$332,HLOOKUP(INDIRECT(ADDRESS(2,COLUMN())),OFFSET($BN$2,0,0,ROW()-1,60),ROW()-1,FALSE))</f>
        <v/>
      </c>
      <c r="AA82" t="str">
        <f ca="1">IF(AND(ISNUMBER($AA$332),$B$258=1),$AA$332,HLOOKUP(INDIRECT(ADDRESS(2,COLUMN())),OFFSET($BN$2,0,0,ROW()-1,60),ROW()-1,FALSE))</f>
        <v/>
      </c>
      <c r="AB82" t="str">
        <f ca="1">IF(AND(ISNUMBER($AB$332),$B$258=1),$AB$332,HLOOKUP(INDIRECT(ADDRESS(2,COLUMN())),OFFSET($BN$2,0,0,ROW()-1,60),ROW()-1,FALSE))</f>
        <v/>
      </c>
      <c r="AC82" t="str">
        <f ca="1">IF(AND(ISNUMBER($AC$332),$B$258=1),$AC$332,HLOOKUP(INDIRECT(ADDRESS(2,COLUMN())),OFFSET($BN$2,0,0,ROW()-1,60),ROW()-1,FALSE))</f>
        <v/>
      </c>
      <c r="AD82" t="str">
        <f ca="1">IF(AND(ISNUMBER($AD$332),$B$258=1),$AD$332,HLOOKUP(INDIRECT(ADDRESS(2,COLUMN())),OFFSET($BN$2,0,0,ROW()-1,60),ROW()-1,FALSE))</f>
        <v/>
      </c>
      <c r="AE82" t="str">
        <f ca="1">IF(AND(ISNUMBER($AE$332),$B$258=1),$AE$332,HLOOKUP(INDIRECT(ADDRESS(2,COLUMN())),OFFSET($BN$2,0,0,ROW()-1,60),ROW()-1,FALSE))</f>
        <v/>
      </c>
      <c r="AF82" t="str">
        <f ca="1">IF(AND(ISNUMBER($AF$332),$B$258=1),$AF$332,HLOOKUP(INDIRECT(ADDRESS(2,COLUMN())),OFFSET($BN$2,0,0,ROW()-1,60),ROW()-1,FALSE))</f>
        <v/>
      </c>
      <c r="AG82" t="str">
        <f ca="1">IF(AND(ISNUMBER($AG$332),$B$258=1),$AG$332,HLOOKUP(INDIRECT(ADDRESS(2,COLUMN())),OFFSET($BN$2,0,0,ROW()-1,60),ROW()-1,FALSE))</f>
        <v/>
      </c>
      <c r="AH82" t="str">
        <f ca="1">IF(AND(ISNUMBER($AH$332),$B$258=1),$AH$332,HLOOKUP(INDIRECT(ADDRESS(2,COLUMN())),OFFSET($BN$2,0,0,ROW()-1,60),ROW()-1,FALSE))</f>
        <v/>
      </c>
      <c r="AI82" t="str">
        <f ca="1">IF(AND(ISNUMBER($AI$332),$B$258=1),$AI$332,HLOOKUP(INDIRECT(ADDRESS(2,COLUMN())),OFFSET($BN$2,0,0,ROW()-1,60),ROW()-1,FALSE))</f>
        <v/>
      </c>
      <c r="AJ82" t="str">
        <f ca="1">IF(AND(ISNUMBER($AJ$332),$B$258=1),$AJ$332,HLOOKUP(INDIRECT(ADDRESS(2,COLUMN())),OFFSET($BN$2,0,0,ROW()-1,60),ROW()-1,FALSE))</f>
        <v/>
      </c>
      <c r="AK82" t="str">
        <f ca="1">IF(AND(ISNUMBER($AK$332),$B$258=1),$AK$332,HLOOKUP(INDIRECT(ADDRESS(2,COLUMN())),OFFSET($BN$2,0,0,ROW()-1,60),ROW()-1,FALSE))</f>
        <v/>
      </c>
      <c r="AL82" t="str">
        <f ca="1">IF(AND(ISNUMBER($AL$332),$B$258=1),$AL$332,HLOOKUP(INDIRECT(ADDRESS(2,COLUMN())),OFFSET($BN$2,0,0,ROW()-1,60),ROW()-1,FALSE))</f>
        <v/>
      </c>
      <c r="AM82" t="str">
        <f ca="1">IF(AND(ISNUMBER($AM$332),$B$258=1),$AM$332,HLOOKUP(INDIRECT(ADDRESS(2,COLUMN())),OFFSET($BN$2,0,0,ROW()-1,60),ROW()-1,FALSE))</f>
        <v/>
      </c>
      <c r="AN82" t="str">
        <f ca="1">IF(AND(ISNUMBER($AN$332),$B$258=1),$AN$332,HLOOKUP(INDIRECT(ADDRESS(2,COLUMN())),OFFSET($BN$2,0,0,ROW()-1,60),ROW()-1,FALSE))</f>
        <v/>
      </c>
      <c r="AO82" t="str">
        <f ca="1">IF(AND(ISNUMBER($AO$332),$B$258=1),$AO$332,HLOOKUP(INDIRECT(ADDRESS(2,COLUMN())),OFFSET($BN$2,0,0,ROW()-1,60),ROW()-1,FALSE))</f>
        <v/>
      </c>
      <c r="AP82" t="str">
        <f ca="1">IF(AND(ISNUMBER($AP$332),$B$258=1),$AP$332,HLOOKUP(INDIRECT(ADDRESS(2,COLUMN())),OFFSET($BN$2,0,0,ROW()-1,60),ROW()-1,FALSE))</f>
        <v/>
      </c>
      <c r="AQ82" t="str">
        <f ca="1">IF(AND(ISNUMBER($AQ$332),$B$258=1),$AQ$332,HLOOKUP(INDIRECT(ADDRESS(2,COLUMN())),OFFSET($BN$2,0,0,ROW()-1,60),ROW()-1,FALSE))</f>
        <v/>
      </c>
      <c r="AR82" t="str">
        <f ca="1">IF(AND(ISNUMBER($AR$332),$B$258=1),$AR$332,HLOOKUP(INDIRECT(ADDRESS(2,COLUMN())),OFFSET($BN$2,0,0,ROW()-1,60),ROW()-1,FALSE))</f>
        <v/>
      </c>
      <c r="AS82" t="str">
        <f ca="1">IF(AND(ISNUMBER($AS$332),$B$258=1),$AS$332,HLOOKUP(INDIRECT(ADDRESS(2,COLUMN())),OFFSET($BN$2,0,0,ROW()-1,60),ROW()-1,FALSE))</f>
        <v/>
      </c>
      <c r="AT82" t="str">
        <f ca="1">IF(AND(ISNUMBER($AT$332),$B$258=1),$AT$332,HLOOKUP(INDIRECT(ADDRESS(2,COLUMN())),OFFSET($BN$2,0,0,ROW()-1,60),ROW()-1,FALSE))</f>
        <v/>
      </c>
      <c r="AU82" t="str">
        <f ca="1">IF(AND(ISNUMBER($AU$332),$B$258=1),$AU$332,HLOOKUP(INDIRECT(ADDRESS(2,COLUMN())),OFFSET($BN$2,0,0,ROW()-1,60),ROW()-1,FALSE))</f>
        <v/>
      </c>
      <c r="AV82" t="str">
        <f ca="1">IF(AND(ISNUMBER($AV$332),$B$258=1),$AV$332,HLOOKUP(INDIRECT(ADDRESS(2,COLUMN())),OFFSET($BN$2,0,0,ROW()-1,60),ROW()-1,FALSE))</f>
        <v/>
      </c>
      <c r="AW82" t="str">
        <f ca="1">IF(AND(ISNUMBER($AW$332),$B$258=1),$AW$332,HLOOKUP(INDIRECT(ADDRESS(2,COLUMN())),OFFSET($BN$2,0,0,ROW()-1,60),ROW()-1,FALSE))</f>
        <v/>
      </c>
      <c r="AX82" t="str">
        <f ca="1">IF(AND(ISNUMBER($AX$332),$B$258=1),$AX$332,HLOOKUP(INDIRECT(ADDRESS(2,COLUMN())),OFFSET($BN$2,0,0,ROW()-1,60),ROW()-1,FALSE))</f>
        <v/>
      </c>
      <c r="AY82" t="str">
        <f ca="1">IF(AND(ISNUMBER($AY$332),$B$258=1),$AY$332,HLOOKUP(INDIRECT(ADDRESS(2,COLUMN())),OFFSET($BN$2,0,0,ROW()-1,60),ROW()-1,FALSE))</f>
        <v/>
      </c>
      <c r="AZ82" t="str">
        <f ca="1">IF(AND(ISNUMBER($AZ$332),$B$258=1),$AZ$332,HLOOKUP(INDIRECT(ADDRESS(2,COLUMN())),OFFSET($BN$2,0,0,ROW()-1,60),ROW()-1,FALSE))</f>
        <v/>
      </c>
      <c r="BA82" t="str">
        <f ca="1">IF(AND(ISNUMBER($BA$332),$B$258=1),$BA$332,HLOOKUP(INDIRECT(ADDRESS(2,COLUMN())),OFFSET($BN$2,0,0,ROW()-1,60),ROW()-1,FALSE))</f>
        <v/>
      </c>
      <c r="BB82" t="str">
        <f ca="1">IF(AND(ISNUMBER($BB$332),$B$258=1),$BB$332,HLOOKUP(INDIRECT(ADDRESS(2,COLUMN())),OFFSET($BN$2,0,0,ROW()-1,60),ROW()-1,FALSE))</f>
        <v/>
      </c>
      <c r="BC82" t="str">
        <f ca="1">IF(AND(ISNUMBER($BC$332),$B$258=1),$BC$332,HLOOKUP(INDIRECT(ADDRESS(2,COLUMN())),OFFSET($BN$2,0,0,ROW()-1,60),ROW()-1,FALSE))</f>
        <v/>
      </c>
      <c r="BD82" t="str">
        <f ca="1">IF(AND(ISNUMBER($BD$332),$B$258=1),$BD$332,HLOOKUP(INDIRECT(ADDRESS(2,COLUMN())),OFFSET($BN$2,0,0,ROW()-1,60),ROW()-1,FALSE))</f>
        <v/>
      </c>
      <c r="BE82" t="str">
        <f ca="1">IF(AND(ISNUMBER($BE$332),$B$258=1),$BE$332,HLOOKUP(INDIRECT(ADDRESS(2,COLUMN())),OFFSET($BN$2,0,0,ROW()-1,60),ROW()-1,FALSE))</f>
        <v/>
      </c>
      <c r="BF82" t="str">
        <f ca="1">IF(AND(ISNUMBER($BF$332),$B$258=1),$BF$332,HLOOKUP(INDIRECT(ADDRESS(2,COLUMN())),OFFSET($BN$2,0,0,ROW()-1,60),ROW()-1,FALSE))</f>
        <v/>
      </c>
      <c r="BG82" t="str">
        <f ca="1">IF(AND(ISNUMBER($BG$332),$B$258=1),$BG$332,HLOOKUP(INDIRECT(ADDRESS(2,COLUMN())),OFFSET($BN$2,0,0,ROW()-1,60),ROW()-1,FALSE))</f>
        <v/>
      </c>
      <c r="BH82" t="str">
        <f ca="1">IF(AND(ISNUMBER($BH$332),$B$258=1),$BH$332,HLOOKUP(INDIRECT(ADDRESS(2,COLUMN())),OFFSET($BN$2,0,0,ROW()-1,60),ROW()-1,FALSE))</f>
        <v/>
      </c>
      <c r="BI82" t="str">
        <f ca="1">IF(AND(ISNUMBER($BI$332),$B$258=1),$BI$332,HLOOKUP(INDIRECT(ADDRESS(2,COLUMN())),OFFSET($BN$2,0,0,ROW()-1,60),ROW()-1,FALSE))</f>
        <v/>
      </c>
      <c r="BJ82" t="str">
        <f ca="1">IF(AND(ISNUMBER($BJ$332),$B$258=1),$BJ$332,HLOOKUP(INDIRECT(ADDRESS(2,COLUMN())),OFFSET($BN$2,0,0,ROW()-1,60),ROW()-1,FALSE))</f>
        <v/>
      </c>
      <c r="BK82" t="str">
        <f ca="1">IF(AND(ISNUMBER($BK$332),$B$258=1),$BK$332,HLOOKUP(INDIRECT(ADDRESS(2,COLUMN())),OFFSET($BN$2,0,0,ROW()-1,60),ROW()-1,FALSE))</f>
        <v/>
      </c>
      <c r="BL82" t="str">
        <f ca="1">IF(AND(ISNUMBER($BL$332),$B$258=1),$BL$332,HLOOKUP(INDIRECT(ADDRESS(2,COLUMN())),OFFSET($BN$2,0,0,ROW()-1,60),ROW()-1,FALSE))</f>
        <v/>
      </c>
      <c r="BM82" t="str">
        <f ca="1">IF(AND(ISNUMBER($BM$332),$B$258=1),$BM$332,HLOOKUP(INDIRECT(ADDRESS(2,COLUMN())),OFFSET($BN$2,0,0,ROW()-1,60),ROW()-1,FALSE))</f>
        <v/>
      </c>
      <c r="BN82" t="str">
        <f>""</f>
        <v/>
      </c>
      <c r="BO82">
        <f>214.641</f>
        <v>214.64099999999999</v>
      </c>
      <c r="BP82">
        <f>214.152</f>
        <v>214.15199999999999</v>
      </c>
      <c r="BQ82">
        <f>213.095</f>
        <v>213.095</v>
      </c>
      <c r="BR82">
        <f>225.319</f>
        <v>225.31899999999999</v>
      </c>
      <c r="BS82">
        <f>228.57</f>
        <v>228.57</v>
      </c>
      <c r="BT82">
        <f>215.818</f>
        <v>215.81800000000001</v>
      </c>
      <c r="BU82">
        <f>220.661</f>
        <v>220.661</v>
      </c>
      <c r="BV82">
        <f>205.188</f>
        <v>205.18799999999999</v>
      </c>
      <c r="BW82">
        <f>202.784</f>
        <v>202.78399999999999</v>
      </c>
      <c r="BX82">
        <f>194.018</f>
        <v>194.018</v>
      </c>
      <c r="BY82">
        <f>190.283</f>
        <v>190.28299999999999</v>
      </c>
      <c r="BZ82">
        <f>129.105</f>
        <v>129.10499999999999</v>
      </c>
      <c r="CA82">
        <f>126.244</f>
        <v>126.244</v>
      </c>
      <c r="CB82">
        <f>126.126</f>
        <v>126.126</v>
      </c>
      <c r="CC82">
        <f>117.805</f>
        <v>117.80500000000001</v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  <c r="CH82" t="str">
        <f>""</f>
        <v/>
      </c>
      <c r="CI82" t="str">
        <f>""</f>
        <v/>
      </c>
      <c r="CJ82" t="str">
        <f>""</f>
        <v/>
      </c>
      <c r="CK82" t="str">
        <f>""</f>
        <v/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</row>
    <row r="83" spans="1:125">
      <c r="A83" t="str">
        <f>"    Sabra Health Care REIT Inc"</f>
        <v xml:space="preserve">    Sabra Health Care REIT Inc</v>
      </c>
      <c r="B83" t="str">
        <f>"SBRA US Equity"</f>
        <v>SBRA US Equity</v>
      </c>
      <c r="C83" t="str">
        <f t="shared" si="18"/>
        <v>IS972</v>
      </c>
      <c r="D83" t="str">
        <f t="shared" si="19"/>
        <v>IS_ADJUSTED_EBITDA_AS_REPORTED</v>
      </c>
      <c r="E83" t="str">
        <f t="shared" si="20"/>
        <v>动态</v>
      </c>
      <c r="F83" t="str">
        <f ca="1">IF(AND(ISNUMBER($F$333),$B$258=1),$F$333,HLOOKUP(INDIRECT(ADDRESS(2,COLUMN())),OFFSET($BN$2,0,0,ROW()-1,60),ROW()-1,FALSE))</f>
        <v/>
      </c>
      <c r="G83" t="str">
        <f ca="1">IF(AND(ISNUMBER($G$333),$B$258=1),$G$333,HLOOKUP(INDIRECT(ADDRESS(2,COLUMN())),OFFSET($BN$2,0,0,ROW()-1,60),ROW()-1,FALSE))</f>
        <v/>
      </c>
      <c r="H83" t="str">
        <f ca="1">IF(AND(ISNUMBER($H$333),$B$258=1),$H$333,HLOOKUP(INDIRECT(ADDRESS(2,COLUMN())),OFFSET($BN$2,0,0,ROW()-1,60),ROW()-1,FALSE))</f>
        <v/>
      </c>
      <c r="I83" t="str">
        <f ca="1">IF(AND(ISNUMBER($I$333),$B$258=1),$I$333,HLOOKUP(INDIRECT(ADDRESS(2,COLUMN())),OFFSET($BN$2,0,0,ROW()-1,60),ROW()-1,FALSE))</f>
        <v/>
      </c>
      <c r="J83" t="str">
        <f ca="1">IF(AND(ISNUMBER($J$333),$B$258=1),$J$333,HLOOKUP(INDIRECT(ADDRESS(2,COLUMN())),OFFSET($BN$2,0,0,ROW()-1,60),ROW()-1,FALSE))</f>
        <v/>
      </c>
      <c r="K83" t="str">
        <f ca="1">IF(AND(ISNUMBER($K$333),$B$258=1),$K$333,HLOOKUP(INDIRECT(ADDRESS(2,COLUMN())),OFFSET($BN$2,0,0,ROW()-1,60),ROW()-1,FALSE))</f>
        <v/>
      </c>
      <c r="L83" t="str">
        <f ca="1">IF(AND(ISNUMBER($L$333),$B$258=1),$L$333,HLOOKUP(INDIRECT(ADDRESS(2,COLUMN())),OFFSET($BN$2,0,0,ROW()-1,60),ROW()-1,FALSE))</f>
        <v/>
      </c>
      <c r="M83" t="str">
        <f ca="1">IF(AND(ISNUMBER($M$333),$B$258=1),$M$333,HLOOKUP(INDIRECT(ADDRESS(2,COLUMN())),OFFSET($BN$2,0,0,ROW()-1,60),ROW()-1,FALSE))</f>
        <v/>
      </c>
      <c r="N83" t="str">
        <f ca="1">IF(AND(ISNUMBER($N$333),$B$258=1),$N$333,HLOOKUP(INDIRECT(ADDRESS(2,COLUMN())),OFFSET($BN$2,0,0,ROW()-1,60),ROW()-1,FALSE))</f>
        <v/>
      </c>
      <c r="O83" t="str">
        <f ca="1">IF(AND(ISNUMBER($O$333),$B$258=1),$O$333,HLOOKUP(INDIRECT(ADDRESS(2,COLUMN())),OFFSET($BN$2,0,0,ROW()-1,60),ROW()-1,FALSE))</f>
        <v/>
      </c>
      <c r="P83" t="str">
        <f ca="1">IF(AND(ISNUMBER($P$333),$B$258=1),$P$333,HLOOKUP(INDIRECT(ADDRESS(2,COLUMN())),OFFSET($BN$2,0,0,ROW()-1,60),ROW()-1,FALSE))</f>
        <v/>
      </c>
      <c r="Q83" t="str">
        <f ca="1">IF(AND(ISNUMBER($Q$333),$B$258=1),$Q$333,HLOOKUP(INDIRECT(ADDRESS(2,COLUMN())),OFFSET($BN$2,0,0,ROW()-1,60),ROW()-1,FALSE))</f>
        <v/>
      </c>
      <c r="R83" t="str">
        <f ca="1">IF(AND(ISNUMBER($R$333),$B$258=1),$R$333,HLOOKUP(INDIRECT(ADDRESS(2,COLUMN())),OFFSET($BN$2,0,0,ROW()-1,60),ROW()-1,FALSE))</f>
        <v/>
      </c>
      <c r="S83" t="str">
        <f ca="1">IF(AND(ISNUMBER($S$333),$B$258=1),$S$333,HLOOKUP(INDIRECT(ADDRESS(2,COLUMN())),OFFSET($BN$2,0,0,ROW()-1,60),ROW()-1,FALSE))</f>
        <v/>
      </c>
      <c r="T83" t="str">
        <f ca="1">IF(AND(ISNUMBER($T$333),$B$258=1),$T$333,HLOOKUP(INDIRECT(ADDRESS(2,COLUMN())),OFFSET($BN$2,0,0,ROW()-1,60),ROW()-1,FALSE))</f>
        <v/>
      </c>
      <c r="U83">
        <f ca="1">IF(AND(ISNUMBER($U$333),$B$258=1),$U$333,HLOOKUP(INDIRECT(ADDRESS(2,COLUMN())),OFFSET($BN$2,0,0,ROW()-1,60),ROW()-1,FALSE))</f>
        <v>35.046999999999997</v>
      </c>
      <c r="V83">
        <f ca="1">IF(AND(ISNUMBER($V$333),$B$258=1),$V$333,HLOOKUP(INDIRECT(ADDRESS(2,COLUMN())),OFFSET($BN$2,0,0,ROW()-1,60),ROW()-1,FALSE))</f>
        <v>34.997</v>
      </c>
      <c r="W83">
        <f ca="1">IF(AND(ISNUMBER($W$333),$B$258=1),$W$333,HLOOKUP(INDIRECT(ADDRESS(2,COLUMN())),OFFSET($BN$2,0,0,ROW()-1,60),ROW()-1,FALSE))</f>
        <v>32.33</v>
      </c>
      <c r="X83">
        <f ca="1">IF(AND(ISNUMBER($X$333),$B$258=1),$X$333,HLOOKUP(INDIRECT(ADDRESS(2,COLUMN())),OFFSET($BN$2,0,0,ROW()-1,60),ROW()-1,FALSE))</f>
        <v>29.869</v>
      </c>
      <c r="Y83">
        <f ca="1">IF(AND(ISNUMBER($Y$333),$B$258=1),$Y$333,HLOOKUP(INDIRECT(ADDRESS(2,COLUMN())),OFFSET($BN$2,0,0,ROW()-1,60),ROW()-1,FALSE))</f>
        <v>28.853000000000002</v>
      </c>
      <c r="Z83" t="str">
        <f ca="1">IF(AND(ISNUMBER($Z$333),$B$258=1),$Z$333,HLOOKUP(INDIRECT(ADDRESS(2,COLUMN())),OFFSET($BN$2,0,0,ROW()-1,60),ROW()-1,FALSE))</f>
        <v/>
      </c>
      <c r="AA83" t="str">
        <f ca="1">IF(AND(ISNUMBER($AA$333),$B$258=1),$AA$333,HLOOKUP(INDIRECT(ADDRESS(2,COLUMN())),OFFSET($BN$2,0,0,ROW()-1,60),ROW()-1,FALSE))</f>
        <v/>
      </c>
      <c r="AB83" t="str">
        <f ca="1">IF(AND(ISNUMBER($AB$333),$B$258=1),$AB$333,HLOOKUP(INDIRECT(ADDRESS(2,COLUMN())),OFFSET($BN$2,0,0,ROW()-1,60),ROW()-1,FALSE))</f>
        <v/>
      </c>
      <c r="AC83" t="str">
        <f ca="1">IF(AND(ISNUMBER($AC$333),$B$258=1),$AC$333,HLOOKUP(INDIRECT(ADDRESS(2,COLUMN())),OFFSET($BN$2,0,0,ROW()-1,60),ROW()-1,FALSE))</f>
        <v/>
      </c>
      <c r="AD83" t="str">
        <f ca="1">IF(AND(ISNUMBER($AD$333),$B$258=1),$AD$333,HLOOKUP(INDIRECT(ADDRESS(2,COLUMN())),OFFSET($BN$2,0,0,ROW()-1,60),ROW()-1,FALSE))</f>
        <v/>
      </c>
      <c r="AE83" t="str">
        <f ca="1">IF(AND(ISNUMBER($AE$333),$B$258=1),$AE$333,HLOOKUP(INDIRECT(ADDRESS(2,COLUMN())),OFFSET($BN$2,0,0,ROW()-1,60),ROW()-1,FALSE))</f>
        <v/>
      </c>
      <c r="AF83" t="str">
        <f ca="1">IF(AND(ISNUMBER($AF$333),$B$258=1),$AF$333,HLOOKUP(INDIRECT(ADDRESS(2,COLUMN())),OFFSET($BN$2,0,0,ROW()-1,60),ROW()-1,FALSE))</f>
        <v/>
      </c>
      <c r="AG83" t="str">
        <f ca="1">IF(AND(ISNUMBER($AG$333),$B$258=1),$AG$333,HLOOKUP(INDIRECT(ADDRESS(2,COLUMN())),OFFSET($BN$2,0,0,ROW()-1,60),ROW()-1,FALSE))</f>
        <v/>
      </c>
      <c r="AH83" t="str">
        <f ca="1">IF(AND(ISNUMBER($AH$333),$B$258=1),$AH$333,HLOOKUP(INDIRECT(ADDRESS(2,COLUMN())),OFFSET($BN$2,0,0,ROW()-1,60),ROW()-1,FALSE))</f>
        <v/>
      </c>
      <c r="AI83" t="str">
        <f ca="1">IF(AND(ISNUMBER($AI$333),$B$258=1),$AI$333,HLOOKUP(INDIRECT(ADDRESS(2,COLUMN())),OFFSET($BN$2,0,0,ROW()-1,60),ROW()-1,FALSE))</f>
        <v/>
      </c>
      <c r="AJ83" t="str">
        <f ca="1">IF(AND(ISNUMBER($AJ$333),$B$258=1),$AJ$333,HLOOKUP(INDIRECT(ADDRESS(2,COLUMN())),OFFSET($BN$2,0,0,ROW()-1,60),ROW()-1,FALSE))</f>
        <v/>
      </c>
      <c r="AK83" t="str">
        <f ca="1">IF(AND(ISNUMBER($AK$333),$B$258=1),$AK$333,HLOOKUP(INDIRECT(ADDRESS(2,COLUMN())),OFFSET($BN$2,0,0,ROW()-1,60),ROW()-1,FALSE))</f>
        <v/>
      </c>
      <c r="AL83" t="str">
        <f ca="1">IF(AND(ISNUMBER($AL$333),$B$258=1),$AL$333,HLOOKUP(INDIRECT(ADDRESS(2,COLUMN())),OFFSET($BN$2,0,0,ROW()-1,60),ROW()-1,FALSE))</f>
        <v/>
      </c>
      <c r="AM83" t="str">
        <f ca="1">IF(AND(ISNUMBER($AM$333),$B$258=1),$AM$333,HLOOKUP(INDIRECT(ADDRESS(2,COLUMN())),OFFSET($BN$2,0,0,ROW()-1,60),ROW()-1,FALSE))</f>
        <v/>
      </c>
      <c r="AN83" t="str">
        <f ca="1">IF(AND(ISNUMBER($AN$333),$B$258=1),$AN$333,HLOOKUP(INDIRECT(ADDRESS(2,COLUMN())),OFFSET($BN$2,0,0,ROW()-1,60),ROW()-1,FALSE))</f>
        <v/>
      </c>
      <c r="AO83" t="str">
        <f ca="1">IF(AND(ISNUMBER($AO$333),$B$258=1),$AO$333,HLOOKUP(INDIRECT(ADDRESS(2,COLUMN())),OFFSET($BN$2,0,0,ROW()-1,60),ROW()-1,FALSE))</f>
        <v/>
      </c>
      <c r="AP83" t="str">
        <f ca="1">IF(AND(ISNUMBER($AP$333),$B$258=1),$AP$333,HLOOKUP(INDIRECT(ADDRESS(2,COLUMN())),OFFSET($BN$2,0,0,ROW()-1,60),ROW()-1,FALSE))</f>
        <v/>
      </c>
      <c r="AQ83" t="str">
        <f ca="1">IF(AND(ISNUMBER($AQ$333),$B$258=1),$AQ$333,HLOOKUP(INDIRECT(ADDRESS(2,COLUMN())),OFFSET($BN$2,0,0,ROW()-1,60),ROW()-1,FALSE))</f>
        <v/>
      </c>
      <c r="AR83" t="str">
        <f ca="1">IF(AND(ISNUMBER($AR$333),$B$258=1),$AR$333,HLOOKUP(INDIRECT(ADDRESS(2,COLUMN())),OFFSET($BN$2,0,0,ROW()-1,60),ROW()-1,FALSE))</f>
        <v/>
      </c>
      <c r="AS83" t="str">
        <f ca="1">IF(AND(ISNUMBER($AS$333),$B$258=1),$AS$333,HLOOKUP(INDIRECT(ADDRESS(2,COLUMN())),OFFSET($BN$2,0,0,ROW()-1,60),ROW()-1,FALSE))</f>
        <v/>
      </c>
      <c r="AT83" t="str">
        <f ca="1">IF(AND(ISNUMBER($AT$333),$B$258=1),$AT$333,HLOOKUP(INDIRECT(ADDRESS(2,COLUMN())),OFFSET($BN$2,0,0,ROW()-1,60),ROW()-1,FALSE))</f>
        <v/>
      </c>
      <c r="AU83" t="str">
        <f ca="1">IF(AND(ISNUMBER($AU$333),$B$258=1),$AU$333,HLOOKUP(INDIRECT(ADDRESS(2,COLUMN())),OFFSET($BN$2,0,0,ROW()-1,60),ROW()-1,FALSE))</f>
        <v/>
      </c>
      <c r="AV83" t="str">
        <f ca="1">IF(AND(ISNUMBER($AV$333),$B$258=1),$AV$333,HLOOKUP(INDIRECT(ADDRESS(2,COLUMN())),OFFSET($BN$2,0,0,ROW()-1,60),ROW()-1,FALSE))</f>
        <v/>
      </c>
      <c r="AW83" t="str">
        <f ca="1">IF(AND(ISNUMBER($AW$333),$B$258=1),$AW$333,HLOOKUP(INDIRECT(ADDRESS(2,COLUMN())),OFFSET($BN$2,0,0,ROW()-1,60),ROW()-1,FALSE))</f>
        <v/>
      </c>
      <c r="AX83" t="str">
        <f ca="1">IF(AND(ISNUMBER($AX$333),$B$258=1),$AX$333,HLOOKUP(INDIRECT(ADDRESS(2,COLUMN())),OFFSET($BN$2,0,0,ROW()-1,60),ROW()-1,FALSE))</f>
        <v/>
      </c>
      <c r="AY83" t="str">
        <f ca="1">IF(AND(ISNUMBER($AY$333),$B$258=1),$AY$333,HLOOKUP(INDIRECT(ADDRESS(2,COLUMN())),OFFSET($BN$2,0,0,ROW()-1,60),ROW()-1,FALSE))</f>
        <v/>
      </c>
      <c r="AZ83" t="str">
        <f ca="1">IF(AND(ISNUMBER($AZ$333),$B$258=1),$AZ$333,HLOOKUP(INDIRECT(ADDRESS(2,COLUMN())),OFFSET($BN$2,0,0,ROW()-1,60),ROW()-1,FALSE))</f>
        <v/>
      </c>
      <c r="BA83" t="str">
        <f ca="1">IF(AND(ISNUMBER($BA$333),$B$258=1),$BA$333,HLOOKUP(INDIRECT(ADDRESS(2,COLUMN())),OFFSET($BN$2,0,0,ROW()-1,60),ROW()-1,FALSE))</f>
        <v/>
      </c>
      <c r="BB83" t="str">
        <f ca="1">IF(AND(ISNUMBER($BB$333),$B$258=1),$BB$333,HLOOKUP(INDIRECT(ADDRESS(2,COLUMN())),OFFSET($BN$2,0,0,ROW()-1,60),ROW()-1,FALSE))</f>
        <v/>
      </c>
      <c r="BC83" t="str">
        <f ca="1">IF(AND(ISNUMBER($BC$333),$B$258=1),$BC$333,HLOOKUP(INDIRECT(ADDRESS(2,COLUMN())),OFFSET($BN$2,0,0,ROW()-1,60),ROW()-1,FALSE))</f>
        <v/>
      </c>
      <c r="BD83" t="str">
        <f ca="1">IF(AND(ISNUMBER($BD$333),$B$258=1),$BD$333,HLOOKUP(INDIRECT(ADDRESS(2,COLUMN())),OFFSET($BN$2,0,0,ROW()-1,60),ROW()-1,FALSE))</f>
        <v/>
      </c>
      <c r="BE83" t="str">
        <f ca="1">IF(AND(ISNUMBER($BE$333),$B$258=1),$BE$333,HLOOKUP(INDIRECT(ADDRESS(2,COLUMN())),OFFSET($BN$2,0,0,ROW()-1,60),ROW()-1,FALSE))</f>
        <v/>
      </c>
      <c r="BF83" t="str">
        <f ca="1">IF(AND(ISNUMBER($BF$333),$B$258=1),$BF$333,HLOOKUP(INDIRECT(ADDRESS(2,COLUMN())),OFFSET($BN$2,0,0,ROW()-1,60),ROW()-1,FALSE))</f>
        <v/>
      </c>
      <c r="BG83" t="str">
        <f ca="1">IF(AND(ISNUMBER($BG$333),$B$258=1),$BG$333,HLOOKUP(INDIRECT(ADDRESS(2,COLUMN())),OFFSET($BN$2,0,0,ROW()-1,60),ROW()-1,FALSE))</f>
        <v/>
      </c>
      <c r="BH83" t="str">
        <f ca="1">IF(AND(ISNUMBER($BH$333),$B$258=1),$BH$333,HLOOKUP(INDIRECT(ADDRESS(2,COLUMN())),OFFSET($BN$2,0,0,ROW()-1,60),ROW()-1,FALSE))</f>
        <v/>
      </c>
      <c r="BI83" t="str">
        <f ca="1">IF(AND(ISNUMBER($BI$333),$B$258=1),$BI$333,HLOOKUP(INDIRECT(ADDRESS(2,COLUMN())),OFFSET($BN$2,0,0,ROW()-1,60),ROW()-1,FALSE))</f>
        <v/>
      </c>
      <c r="BJ83" t="str">
        <f ca="1">IF(AND(ISNUMBER($BJ$333),$B$258=1),$BJ$333,HLOOKUP(INDIRECT(ADDRESS(2,COLUMN())),OFFSET($BN$2,0,0,ROW()-1,60),ROW()-1,FALSE))</f>
        <v/>
      </c>
      <c r="BK83" t="str">
        <f ca="1">IF(AND(ISNUMBER($BK$333),$B$258=1),$BK$333,HLOOKUP(INDIRECT(ADDRESS(2,COLUMN())),OFFSET($BN$2,0,0,ROW()-1,60),ROW()-1,FALSE))</f>
        <v/>
      </c>
      <c r="BL83" t="str">
        <f ca="1">IF(AND(ISNUMBER($BL$333),$B$258=1),$BL$333,HLOOKUP(INDIRECT(ADDRESS(2,COLUMN())),OFFSET($BN$2,0,0,ROW()-1,60),ROW()-1,FALSE))</f>
        <v/>
      </c>
      <c r="BM83" t="str">
        <f ca="1">IF(AND(ISNUMBER($BM$333),$B$258=1),$BM$333,HLOOKUP(INDIRECT(ADDRESS(2,COLUMN())),OFFSET($BN$2,0,0,ROW()-1,60),ROW()-1,FALSE))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>
        <f>35.047</f>
        <v>35.046999999999997</v>
      </c>
      <c r="CD83">
        <f>34.997</f>
        <v>34.997</v>
      </c>
      <c r="CE83">
        <f>32.33</f>
        <v>32.33</v>
      </c>
      <c r="CF83">
        <f>29.869</f>
        <v>29.869</v>
      </c>
      <c r="CG83">
        <f>28.853</f>
        <v>28.853000000000002</v>
      </c>
      <c r="CH83" t="str">
        <f>""</f>
        <v/>
      </c>
      <c r="CI83" t="str">
        <f>""</f>
        <v/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>
      <c r="A84" t="str">
        <f>"    Senior Housing Properties Trus"</f>
        <v xml:space="preserve">    Senior Housing Properties Trus</v>
      </c>
      <c r="B84" t="str">
        <f>"SNH US Equity"</f>
        <v>SNH US Equity</v>
      </c>
      <c r="C84" t="str">
        <f t="shared" si="18"/>
        <v>IS972</v>
      </c>
      <c r="D84" t="str">
        <f t="shared" si="19"/>
        <v>IS_ADJUSTED_EBITDA_AS_REPORTED</v>
      </c>
      <c r="E84" t="str">
        <f t="shared" si="20"/>
        <v>动态</v>
      </c>
      <c r="F84" t="str">
        <f ca="1">IF(AND(ISNUMBER($F$334),$B$258=1),$F$334,HLOOKUP(INDIRECT(ADDRESS(2,COLUMN())),OFFSET($BN$2,0,0,ROW()-1,60),ROW()-1,FALSE))</f>
        <v/>
      </c>
      <c r="G84">
        <f ca="1">IF(AND(ISNUMBER($G$334),$B$258=1),$G$334,HLOOKUP(INDIRECT(ADDRESS(2,COLUMN())),OFFSET($BN$2,0,0,ROW()-1,60),ROW()-1,FALSE))</f>
        <v>107.187</v>
      </c>
      <c r="H84">
        <f ca="1">IF(AND(ISNUMBER($H$334),$B$258=1),$H$334,HLOOKUP(INDIRECT(ADDRESS(2,COLUMN())),OFFSET($BN$2,0,0,ROW()-1,60),ROW()-1,FALSE))</f>
        <v>151.51499999999999</v>
      </c>
      <c r="I84">
        <f ca="1">IF(AND(ISNUMBER($I$334),$B$258=1),$I$334,HLOOKUP(INDIRECT(ADDRESS(2,COLUMN())),OFFSET($BN$2,0,0,ROW()-1,60),ROW()-1,FALSE))</f>
        <v>151.80799999999999</v>
      </c>
      <c r="J84">
        <f ca="1">IF(AND(ISNUMBER($J$334),$B$258=1),$J$334,HLOOKUP(INDIRECT(ADDRESS(2,COLUMN())),OFFSET($BN$2,0,0,ROW()-1,60),ROW()-1,FALSE))</f>
        <v>152.98400000000001</v>
      </c>
      <c r="K84">
        <f ca="1">IF(AND(ISNUMBER($K$334),$B$258=1),$K$334,HLOOKUP(INDIRECT(ADDRESS(2,COLUMN())),OFFSET($BN$2,0,0,ROW()-1,60),ROW()-1,FALSE))</f>
        <v>162.505</v>
      </c>
      <c r="L84">
        <f ca="1">IF(AND(ISNUMBER($L$334),$B$258=1),$L$334,HLOOKUP(INDIRECT(ADDRESS(2,COLUMN())),OFFSET($BN$2,0,0,ROW()-1,60),ROW()-1,FALSE))</f>
        <v>150.15700000000001</v>
      </c>
      <c r="M84">
        <f ca="1">IF(AND(ISNUMBER($M$334),$B$258=1),$M$334,HLOOKUP(INDIRECT(ADDRESS(2,COLUMN())),OFFSET($BN$2,0,0,ROW()-1,60),ROW()-1,FALSE))</f>
        <v>153.661</v>
      </c>
      <c r="N84">
        <f ca="1">IF(AND(ISNUMBER($N$334),$B$258=1),$N$334,HLOOKUP(INDIRECT(ADDRESS(2,COLUMN())),OFFSET($BN$2,0,0,ROW()-1,60),ROW()-1,FALSE))</f>
        <v>152.822</v>
      </c>
      <c r="O84">
        <f ca="1">IF(AND(ISNUMBER($O$334),$B$258=1),$O$334,HLOOKUP(INDIRECT(ADDRESS(2,COLUMN())),OFFSET($BN$2,0,0,ROW()-1,60),ROW()-1,FALSE))</f>
        <v>151.44200000000001</v>
      </c>
      <c r="P84">
        <f ca="1">IF(AND(ISNUMBER($P$334),$B$258=1),$P$334,HLOOKUP(INDIRECT(ADDRESS(2,COLUMN())),OFFSET($BN$2,0,0,ROW()-1,60),ROW()-1,FALSE))</f>
        <v>150.804</v>
      </c>
      <c r="Q84">
        <f ca="1">IF(AND(ISNUMBER($Q$334),$B$258=1),$Q$334,HLOOKUP(INDIRECT(ADDRESS(2,COLUMN())),OFFSET($BN$2,0,0,ROW()-1,60),ROW()-1,FALSE))</f>
        <v>145.911</v>
      </c>
      <c r="R84">
        <f ca="1">IF(AND(ISNUMBER($R$334),$B$258=1),$R$334,HLOOKUP(INDIRECT(ADDRESS(2,COLUMN())),OFFSET($BN$2,0,0,ROW()-1,60),ROW()-1,FALSE))</f>
        <v>135.905</v>
      </c>
      <c r="S84">
        <f ca="1">IF(AND(ISNUMBER($S$334),$B$258=1),$S$334,HLOOKUP(INDIRECT(ADDRESS(2,COLUMN())),OFFSET($BN$2,0,0,ROW()-1,60),ROW()-1,FALSE))</f>
        <v>128.548</v>
      </c>
      <c r="T84">
        <f ca="1">IF(AND(ISNUMBER($T$334),$B$258=1),$T$334,HLOOKUP(INDIRECT(ADDRESS(2,COLUMN())),OFFSET($BN$2,0,0,ROW()-1,60),ROW()-1,FALSE))</f>
        <v>127.375</v>
      </c>
      <c r="U84">
        <f ca="1">IF(AND(ISNUMBER($U$334),$B$258=1),$U$334,HLOOKUP(INDIRECT(ADDRESS(2,COLUMN())),OFFSET($BN$2,0,0,ROW()-1,60),ROW()-1,FALSE))</f>
        <v>122.152</v>
      </c>
      <c r="V84">
        <f ca="1">IF(AND(ISNUMBER($V$334),$B$258=1),$V$334,HLOOKUP(INDIRECT(ADDRESS(2,COLUMN())),OFFSET($BN$2,0,0,ROW()-1,60),ROW()-1,FALSE))</f>
        <v>110.35599999999999</v>
      </c>
      <c r="W84">
        <f ca="1">IF(AND(ISNUMBER($W$334),$B$258=1),$W$334,HLOOKUP(INDIRECT(ADDRESS(2,COLUMN())),OFFSET($BN$2,0,0,ROW()-1,60),ROW()-1,FALSE))</f>
        <v>110.004</v>
      </c>
      <c r="X84">
        <f ca="1">IF(AND(ISNUMBER($X$334),$B$258=1),$X$334,HLOOKUP(INDIRECT(ADDRESS(2,COLUMN())),OFFSET($BN$2,0,0,ROW()-1,60),ROW()-1,FALSE))</f>
        <v>108.375</v>
      </c>
      <c r="Y84">
        <f ca="1">IF(AND(ISNUMBER($Y$334),$B$258=1),$Y$334,HLOOKUP(INDIRECT(ADDRESS(2,COLUMN())),OFFSET($BN$2,0,0,ROW()-1,60),ROW()-1,FALSE))</f>
        <v>108.764</v>
      </c>
      <c r="Z84">
        <f ca="1">IF(AND(ISNUMBER($Z$334),$B$258=1),$Z$334,HLOOKUP(INDIRECT(ADDRESS(2,COLUMN())),OFFSET($BN$2,0,0,ROW()-1,60),ROW()-1,FALSE))</f>
        <v>108.648</v>
      </c>
      <c r="AA84">
        <f ca="1">IF(AND(ISNUMBER($AA$334),$B$258=1),$AA$334,HLOOKUP(INDIRECT(ADDRESS(2,COLUMN())),OFFSET($BN$2,0,0,ROW()-1,60),ROW()-1,FALSE))</f>
        <v>105.405</v>
      </c>
      <c r="AB84">
        <f ca="1">IF(AND(ISNUMBER($AB$334),$B$258=1),$AB$334,HLOOKUP(INDIRECT(ADDRESS(2,COLUMN())),OFFSET($BN$2,0,0,ROW()-1,60),ROW()-1,FALSE))</f>
        <v>105.23699999999999</v>
      </c>
      <c r="AC84">
        <f ca="1">IF(AND(ISNUMBER($AC$334),$B$258=1),$AC$334,HLOOKUP(INDIRECT(ADDRESS(2,COLUMN())),OFFSET($BN$2,0,0,ROW()-1,60),ROW()-1,FALSE))</f>
        <v>101.373</v>
      </c>
      <c r="AD84" t="str">
        <f ca="1">IF(AND(ISNUMBER($AD$334),$B$258=1),$AD$334,HLOOKUP(INDIRECT(ADDRESS(2,COLUMN())),OFFSET($BN$2,0,0,ROW()-1,60),ROW()-1,FALSE))</f>
        <v/>
      </c>
      <c r="AE84">
        <f ca="1">IF(AND(ISNUMBER($AE$334),$B$258=1),$AE$334,HLOOKUP(INDIRECT(ADDRESS(2,COLUMN())),OFFSET($BN$2,0,0,ROW()-1,60),ROW()-1,FALSE))</f>
        <v>363.25799999999998</v>
      </c>
      <c r="AF84">
        <f ca="1">IF(AND(ISNUMBER($AF$334),$B$258=1),$AF$334,HLOOKUP(INDIRECT(ADDRESS(2,COLUMN())),OFFSET($BN$2,0,0,ROW()-1,60),ROW()-1,FALSE))</f>
        <v>90.305000000000007</v>
      </c>
      <c r="AG84" t="str">
        <f ca="1">IF(AND(ISNUMBER($AG$334),$B$258=1),$AG$334,HLOOKUP(INDIRECT(ADDRESS(2,COLUMN())),OFFSET($BN$2,0,0,ROW()-1,60),ROW()-1,FALSE))</f>
        <v/>
      </c>
      <c r="AH84" t="str">
        <f ca="1">IF(AND(ISNUMBER($AH$334),$B$258=1),$AH$334,HLOOKUP(INDIRECT(ADDRESS(2,COLUMN())),OFFSET($BN$2,0,0,ROW()-1,60),ROW()-1,FALSE))</f>
        <v/>
      </c>
      <c r="AI84" t="str">
        <f ca="1">IF(AND(ISNUMBER($AI$334),$B$258=1),$AI$334,HLOOKUP(INDIRECT(ADDRESS(2,COLUMN())),OFFSET($BN$2,0,0,ROW()-1,60),ROW()-1,FALSE))</f>
        <v/>
      </c>
      <c r="AJ84" t="str">
        <f ca="1">IF(AND(ISNUMBER($AJ$334),$B$258=1),$AJ$334,HLOOKUP(INDIRECT(ADDRESS(2,COLUMN())),OFFSET($BN$2,0,0,ROW()-1,60),ROW()-1,FALSE))</f>
        <v/>
      </c>
      <c r="AK84" t="str">
        <f ca="1">IF(AND(ISNUMBER($AK$334),$B$258=1),$AK$334,HLOOKUP(INDIRECT(ADDRESS(2,COLUMN())),OFFSET($BN$2,0,0,ROW()-1,60),ROW()-1,FALSE))</f>
        <v/>
      </c>
      <c r="AL84" t="str">
        <f ca="1">IF(AND(ISNUMBER($AL$334),$B$258=1),$AL$334,HLOOKUP(INDIRECT(ADDRESS(2,COLUMN())),OFFSET($BN$2,0,0,ROW()-1,60),ROW()-1,FALSE))</f>
        <v/>
      </c>
      <c r="AM84" t="str">
        <f ca="1">IF(AND(ISNUMBER($AM$334),$B$258=1),$AM$334,HLOOKUP(INDIRECT(ADDRESS(2,COLUMN())),OFFSET($BN$2,0,0,ROW()-1,60),ROW()-1,FALSE))</f>
        <v/>
      </c>
      <c r="AN84" t="str">
        <f ca="1">IF(AND(ISNUMBER($AN$334),$B$258=1),$AN$334,HLOOKUP(INDIRECT(ADDRESS(2,COLUMN())),OFFSET($BN$2,0,0,ROW()-1,60),ROW()-1,FALSE))</f>
        <v/>
      </c>
      <c r="AO84" t="str">
        <f ca="1">IF(AND(ISNUMBER($AO$334),$B$258=1),$AO$334,HLOOKUP(INDIRECT(ADDRESS(2,COLUMN())),OFFSET($BN$2,0,0,ROW()-1,60),ROW()-1,FALSE))</f>
        <v/>
      </c>
      <c r="AP84" t="str">
        <f ca="1">IF(AND(ISNUMBER($AP$334),$B$258=1),$AP$334,HLOOKUP(INDIRECT(ADDRESS(2,COLUMN())),OFFSET($BN$2,0,0,ROW()-1,60),ROW()-1,FALSE))</f>
        <v/>
      </c>
      <c r="AQ84" t="str">
        <f ca="1">IF(AND(ISNUMBER($AQ$334),$B$258=1),$AQ$334,HLOOKUP(INDIRECT(ADDRESS(2,COLUMN())),OFFSET($BN$2,0,0,ROW()-1,60),ROW()-1,FALSE))</f>
        <v/>
      </c>
      <c r="AR84" t="str">
        <f ca="1">IF(AND(ISNUMBER($AR$334),$B$258=1),$AR$334,HLOOKUP(INDIRECT(ADDRESS(2,COLUMN())),OFFSET($BN$2,0,0,ROW()-1,60),ROW()-1,FALSE))</f>
        <v/>
      </c>
      <c r="AS84" t="str">
        <f ca="1">IF(AND(ISNUMBER($AS$334),$B$258=1),$AS$334,HLOOKUP(INDIRECT(ADDRESS(2,COLUMN())),OFFSET($BN$2,0,0,ROW()-1,60),ROW()-1,FALSE))</f>
        <v/>
      </c>
      <c r="AT84" t="str">
        <f ca="1">IF(AND(ISNUMBER($AT$334),$B$258=1),$AT$334,HLOOKUP(INDIRECT(ADDRESS(2,COLUMN())),OFFSET($BN$2,0,0,ROW()-1,60),ROW()-1,FALSE))</f>
        <v/>
      </c>
      <c r="AU84" t="str">
        <f ca="1">IF(AND(ISNUMBER($AU$334),$B$258=1),$AU$334,HLOOKUP(INDIRECT(ADDRESS(2,COLUMN())),OFFSET($BN$2,0,0,ROW()-1,60),ROW()-1,FALSE))</f>
        <v/>
      </c>
      <c r="AV84" t="str">
        <f ca="1">IF(AND(ISNUMBER($AV$334),$B$258=1),$AV$334,HLOOKUP(INDIRECT(ADDRESS(2,COLUMN())),OFFSET($BN$2,0,0,ROW()-1,60),ROW()-1,FALSE))</f>
        <v/>
      </c>
      <c r="AW84" t="str">
        <f ca="1">IF(AND(ISNUMBER($AW$334),$B$258=1),$AW$334,HLOOKUP(INDIRECT(ADDRESS(2,COLUMN())),OFFSET($BN$2,0,0,ROW()-1,60),ROW()-1,FALSE))</f>
        <v/>
      </c>
      <c r="AX84" t="str">
        <f ca="1">IF(AND(ISNUMBER($AX$334),$B$258=1),$AX$334,HLOOKUP(INDIRECT(ADDRESS(2,COLUMN())),OFFSET($BN$2,0,0,ROW()-1,60),ROW()-1,FALSE))</f>
        <v/>
      </c>
      <c r="AY84" t="str">
        <f ca="1">IF(AND(ISNUMBER($AY$334),$B$258=1),$AY$334,HLOOKUP(INDIRECT(ADDRESS(2,COLUMN())),OFFSET($BN$2,0,0,ROW()-1,60),ROW()-1,FALSE))</f>
        <v/>
      </c>
      <c r="AZ84" t="str">
        <f ca="1">IF(AND(ISNUMBER($AZ$334),$B$258=1),$AZ$334,HLOOKUP(INDIRECT(ADDRESS(2,COLUMN())),OFFSET($BN$2,0,0,ROW()-1,60),ROW()-1,FALSE))</f>
        <v/>
      </c>
      <c r="BA84" t="str">
        <f ca="1">IF(AND(ISNUMBER($BA$334),$B$258=1),$BA$334,HLOOKUP(INDIRECT(ADDRESS(2,COLUMN())),OFFSET($BN$2,0,0,ROW()-1,60),ROW()-1,FALSE))</f>
        <v/>
      </c>
      <c r="BB84" t="str">
        <f ca="1">IF(AND(ISNUMBER($BB$334),$B$258=1),$BB$334,HLOOKUP(INDIRECT(ADDRESS(2,COLUMN())),OFFSET($BN$2,0,0,ROW()-1,60),ROW()-1,FALSE))</f>
        <v/>
      </c>
      <c r="BC84" t="str">
        <f ca="1">IF(AND(ISNUMBER($BC$334),$B$258=1),$BC$334,HLOOKUP(INDIRECT(ADDRESS(2,COLUMN())),OFFSET($BN$2,0,0,ROW()-1,60),ROW()-1,FALSE))</f>
        <v/>
      </c>
      <c r="BD84" t="str">
        <f ca="1">IF(AND(ISNUMBER($BD$334),$B$258=1),$BD$334,HLOOKUP(INDIRECT(ADDRESS(2,COLUMN())),OFFSET($BN$2,0,0,ROW()-1,60),ROW()-1,FALSE))</f>
        <v/>
      </c>
      <c r="BE84" t="str">
        <f ca="1">IF(AND(ISNUMBER($BE$334),$B$258=1),$BE$334,HLOOKUP(INDIRECT(ADDRESS(2,COLUMN())),OFFSET($BN$2,0,0,ROW()-1,60),ROW()-1,FALSE))</f>
        <v/>
      </c>
      <c r="BF84" t="str">
        <f ca="1">IF(AND(ISNUMBER($BF$334),$B$258=1),$BF$334,HLOOKUP(INDIRECT(ADDRESS(2,COLUMN())),OFFSET($BN$2,0,0,ROW()-1,60),ROW()-1,FALSE))</f>
        <v/>
      </c>
      <c r="BG84" t="str">
        <f ca="1">IF(AND(ISNUMBER($BG$334),$B$258=1),$BG$334,HLOOKUP(INDIRECT(ADDRESS(2,COLUMN())),OFFSET($BN$2,0,0,ROW()-1,60),ROW()-1,FALSE))</f>
        <v/>
      </c>
      <c r="BH84" t="str">
        <f ca="1">IF(AND(ISNUMBER($BH$334),$B$258=1),$BH$334,HLOOKUP(INDIRECT(ADDRESS(2,COLUMN())),OFFSET($BN$2,0,0,ROW()-1,60),ROW()-1,FALSE))</f>
        <v/>
      </c>
      <c r="BI84" t="str">
        <f ca="1">IF(AND(ISNUMBER($BI$334),$B$258=1),$BI$334,HLOOKUP(INDIRECT(ADDRESS(2,COLUMN())),OFFSET($BN$2,0,0,ROW()-1,60),ROW()-1,FALSE))</f>
        <v/>
      </c>
      <c r="BJ84" t="str">
        <f ca="1">IF(AND(ISNUMBER($BJ$334),$B$258=1),$BJ$334,HLOOKUP(INDIRECT(ADDRESS(2,COLUMN())),OFFSET($BN$2,0,0,ROW()-1,60),ROW()-1,FALSE))</f>
        <v/>
      </c>
      <c r="BK84" t="str">
        <f ca="1">IF(AND(ISNUMBER($BK$334),$B$258=1),$BK$334,HLOOKUP(INDIRECT(ADDRESS(2,COLUMN())),OFFSET($BN$2,0,0,ROW()-1,60),ROW()-1,FALSE))</f>
        <v/>
      </c>
      <c r="BL84" t="str">
        <f ca="1">IF(AND(ISNUMBER($BL$334),$B$258=1),$BL$334,HLOOKUP(INDIRECT(ADDRESS(2,COLUMN())),OFFSET($BN$2,0,0,ROW()-1,60),ROW()-1,FALSE))</f>
        <v/>
      </c>
      <c r="BM84" t="str">
        <f ca="1">IF(AND(ISNUMBER($BM$334),$B$258=1),$BM$334,HLOOKUP(INDIRECT(ADDRESS(2,COLUMN())),OFFSET($BN$2,0,0,ROW()-1,60),ROW()-1,FALSE))</f>
        <v/>
      </c>
      <c r="BN84" t="str">
        <f>""</f>
        <v/>
      </c>
      <c r="BO84">
        <f>107.187</f>
        <v>107.187</v>
      </c>
      <c r="BP84">
        <f>151.515</f>
        <v>151.51499999999999</v>
      </c>
      <c r="BQ84">
        <f>151.808</f>
        <v>151.80799999999999</v>
      </c>
      <c r="BR84">
        <f>152.984</f>
        <v>152.98400000000001</v>
      </c>
      <c r="BS84">
        <f>162.505</f>
        <v>162.505</v>
      </c>
      <c r="BT84">
        <f>150.157</f>
        <v>150.15700000000001</v>
      </c>
      <c r="BU84">
        <f>153.661</f>
        <v>153.661</v>
      </c>
      <c r="BV84">
        <f>152.822</f>
        <v>152.822</v>
      </c>
      <c r="BW84">
        <f>151.442</f>
        <v>151.44200000000001</v>
      </c>
      <c r="BX84">
        <f>150.804</f>
        <v>150.804</v>
      </c>
      <c r="BY84">
        <f>145.911</f>
        <v>145.911</v>
      </c>
      <c r="BZ84">
        <f>135.905</f>
        <v>135.905</v>
      </c>
      <c r="CA84">
        <f>128.548</f>
        <v>128.548</v>
      </c>
      <c r="CB84">
        <f>127.375</f>
        <v>127.375</v>
      </c>
      <c r="CC84">
        <f>122.152</f>
        <v>122.152</v>
      </c>
      <c r="CD84">
        <f>110.356</f>
        <v>110.35599999999999</v>
      </c>
      <c r="CE84">
        <f>110.004</f>
        <v>110.004</v>
      </c>
      <c r="CF84">
        <f>108.375</f>
        <v>108.375</v>
      </c>
      <c r="CG84">
        <f>108.764</f>
        <v>108.764</v>
      </c>
      <c r="CH84">
        <f>108.648</f>
        <v>108.648</v>
      </c>
      <c r="CI84">
        <f>105.405</f>
        <v>105.405</v>
      </c>
      <c r="CJ84">
        <f>105.237</f>
        <v>105.23699999999999</v>
      </c>
      <c r="CK84">
        <f>101.373</f>
        <v>101.373</v>
      </c>
      <c r="CL84" t="str">
        <f>""</f>
        <v/>
      </c>
      <c r="CM84">
        <f>363.258</f>
        <v>363.25799999999998</v>
      </c>
      <c r="CN84">
        <f>90.305</f>
        <v>90.305000000000007</v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>
      <c r="A85" t="str">
        <f>"    Ventas Inc"</f>
        <v xml:space="preserve">    Ventas Inc</v>
      </c>
      <c r="B85" t="str">
        <f>"VTR US Equity"</f>
        <v>VTR US Equity</v>
      </c>
      <c r="C85" t="str">
        <f t="shared" si="18"/>
        <v>IS972</v>
      </c>
      <c r="D85" t="str">
        <f t="shared" si="19"/>
        <v>IS_ADJUSTED_EBITDA_AS_REPORTED</v>
      </c>
      <c r="E85" t="str">
        <f t="shared" si="20"/>
        <v>动态</v>
      </c>
      <c r="F85" t="str">
        <f ca="1">IF(AND(ISNUMBER($F$335),$B$258=1),$F$335,HLOOKUP(INDIRECT(ADDRESS(2,COLUMN())),OFFSET($BN$2,0,0,ROW()-1,60),ROW()-1,FALSE))</f>
        <v/>
      </c>
      <c r="G85">
        <f ca="1">IF(AND(ISNUMBER($G$335),$B$258=1),$G$335,HLOOKUP(INDIRECT(ADDRESS(2,COLUMN())),OFFSET($BN$2,0,0,ROW()-1,60),ROW()-1,FALSE))</f>
        <v>495.05599999999998</v>
      </c>
      <c r="H85">
        <f ca="1">IF(AND(ISNUMBER($H$335),$B$258=1),$H$335,HLOOKUP(INDIRECT(ADDRESS(2,COLUMN())),OFFSET($BN$2,0,0,ROW()-1,60),ROW()-1,FALSE))</f>
        <v>497.36200000000002</v>
      </c>
      <c r="I85">
        <f ca="1">IF(AND(ISNUMBER($I$335),$B$258=1),$I$335,HLOOKUP(INDIRECT(ADDRESS(2,COLUMN())),OFFSET($BN$2,0,0,ROW()-1,60),ROW()-1,FALSE))</f>
        <v>504.87900000000002</v>
      </c>
      <c r="J85">
        <f ca="1">IF(AND(ISNUMBER($J$335),$B$258=1),$J$335,HLOOKUP(INDIRECT(ADDRESS(2,COLUMN())),OFFSET($BN$2,0,0,ROW()-1,60),ROW()-1,FALSE))</f>
        <v>484.80399999999997</v>
      </c>
      <c r="K85">
        <f ca="1">IF(AND(ISNUMBER($K$335),$B$258=1),$K$335,HLOOKUP(INDIRECT(ADDRESS(2,COLUMN())),OFFSET($BN$2,0,0,ROW()-1,60),ROW()-1,FALSE))</f>
        <v>478.608</v>
      </c>
      <c r="L85">
        <f ca="1">IF(AND(ISNUMBER($L$335),$B$258=1),$L$335,HLOOKUP(INDIRECT(ADDRESS(2,COLUMN())),OFFSET($BN$2,0,0,ROW()-1,60),ROW()-1,FALSE))</f>
        <v>479.91300000000001</v>
      </c>
      <c r="M85">
        <f ca="1">IF(AND(ISNUMBER($M$335),$B$258=1),$M$335,HLOOKUP(INDIRECT(ADDRESS(2,COLUMN())),OFFSET($BN$2,0,0,ROW()-1,60),ROW()-1,FALSE))</f>
        <v>465.80099999999999</v>
      </c>
      <c r="N85">
        <f ca="1">IF(AND(ISNUMBER($N$335),$B$258=1),$N$335,HLOOKUP(INDIRECT(ADDRESS(2,COLUMN())),OFFSET($BN$2,0,0,ROW()-1,60),ROW()-1,FALSE))</f>
        <v>461.51900000000001</v>
      </c>
      <c r="O85">
        <f ca="1">IF(AND(ISNUMBER($O$335),$B$258=1),$O$335,HLOOKUP(INDIRECT(ADDRESS(2,COLUMN())),OFFSET($BN$2,0,0,ROW()-1,60),ROW()-1,FALSE))</f>
        <v>457.202</v>
      </c>
      <c r="P85">
        <f ca="1">IF(AND(ISNUMBER($P$335),$B$258=1),$P$335,HLOOKUP(INDIRECT(ADDRESS(2,COLUMN())),OFFSET($BN$2,0,0,ROW()-1,60),ROW()-1,FALSE))</f>
        <v>484.15899999999999</v>
      </c>
      <c r="Q85">
        <f ca="1">IF(AND(ISNUMBER($Q$335),$B$258=1),$Q$335,HLOOKUP(INDIRECT(ADDRESS(2,COLUMN())),OFFSET($BN$2,0,0,ROW()-1,60),ROW()-1,FALSE))</f>
        <v>510.44400000000002</v>
      </c>
      <c r="R85">
        <f ca="1">IF(AND(ISNUMBER($R$335),$B$258=1),$R$335,HLOOKUP(INDIRECT(ADDRESS(2,COLUMN())),OFFSET($BN$2,0,0,ROW()-1,60),ROW()-1,FALSE))</f>
        <v>503.40699999999998</v>
      </c>
      <c r="S85">
        <f ca="1">IF(AND(ISNUMBER($S$335),$B$258=1),$S$335,HLOOKUP(INDIRECT(ADDRESS(2,COLUMN())),OFFSET($BN$2,0,0,ROW()-1,60),ROW()-1,FALSE))</f>
        <v>459.21100000000001</v>
      </c>
      <c r="T85">
        <f ca="1">IF(AND(ISNUMBER($T$335),$B$258=1),$T$335,HLOOKUP(INDIRECT(ADDRESS(2,COLUMN())),OFFSET($BN$2,0,0,ROW()-1,60),ROW()-1,FALSE))</f>
        <v>440.09699999999998</v>
      </c>
      <c r="U85">
        <f ca="1">IF(AND(ISNUMBER($U$335),$B$258=1),$U$335,HLOOKUP(INDIRECT(ADDRESS(2,COLUMN())),OFFSET($BN$2,0,0,ROW()-1,60),ROW()-1,FALSE))</f>
        <v>433.50599999999997</v>
      </c>
      <c r="V85">
        <f ca="1">IF(AND(ISNUMBER($V$335),$B$258=1),$V$335,HLOOKUP(INDIRECT(ADDRESS(2,COLUMN())),OFFSET($BN$2,0,0,ROW()-1,60),ROW()-1,FALSE))</f>
        <v>421.81700000000001</v>
      </c>
      <c r="W85">
        <f ca="1">IF(AND(ISNUMBER($W$335),$B$258=1),$W$335,HLOOKUP(INDIRECT(ADDRESS(2,COLUMN())),OFFSET($BN$2,0,0,ROW()-1,60),ROW()-1,FALSE))</f>
        <v>416.51799999999997</v>
      </c>
      <c r="X85">
        <f ca="1">IF(AND(ISNUMBER($X$335),$B$258=1),$X$335,HLOOKUP(INDIRECT(ADDRESS(2,COLUMN())),OFFSET($BN$2,0,0,ROW()-1,60),ROW()-1,FALSE))</f>
        <v>400.26900000000001</v>
      </c>
      <c r="Y85">
        <f ca="1">IF(AND(ISNUMBER($Y$335),$B$258=1),$Y$335,HLOOKUP(INDIRECT(ADDRESS(2,COLUMN())),OFFSET($BN$2,0,0,ROW()-1,60),ROW()-1,FALSE))</f>
        <v>390.56599999999997</v>
      </c>
      <c r="Z85">
        <f ca="1">IF(AND(ISNUMBER($Z$335),$B$258=1),$Z$335,HLOOKUP(INDIRECT(ADDRESS(2,COLUMN())),OFFSET($BN$2,0,0,ROW()-1,60),ROW()-1,FALSE))</f>
        <v>391.49400000000003</v>
      </c>
      <c r="AA85">
        <f ca="1">IF(AND(ISNUMBER($AA$335),$B$258=1),$AA$335,HLOOKUP(INDIRECT(ADDRESS(2,COLUMN())),OFFSET($BN$2,0,0,ROW()-1,60),ROW()-1,FALSE))</f>
        <v>378.053</v>
      </c>
      <c r="AB85">
        <f ca="1">IF(AND(ISNUMBER($AB$335),$B$258=1),$AB$335,HLOOKUP(INDIRECT(ADDRESS(2,COLUMN())),OFFSET($BN$2,0,0,ROW()-1,60),ROW()-1,FALSE))</f>
        <v>369.31099999999998</v>
      </c>
      <c r="AC85">
        <f ca="1">IF(AND(ISNUMBER($AC$335),$B$258=1),$AC$335,HLOOKUP(INDIRECT(ADDRESS(2,COLUMN())),OFFSET($BN$2,0,0,ROW()-1,60),ROW()-1,FALSE))</f>
        <v>361.89100000000002</v>
      </c>
      <c r="AD85">
        <f ca="1">IF(AND(ISNUMBER($AD$335),$B$258=1),$AD$335,HLOOKUP(INDIRECT(ADDRESS(2,COLUMN())),OFFSET($BN$2,0,0,ROW()-1,60),ROW()-1,FALSE))</f>
        <v>340.80700000000002</v>
      </c>
      <c r="AE85">
        <f ca="1">IF(AND(ISNUMBER($AE$335),$B$258=1),$AE$335,HLOOKUP(INDIRECT(ADDRESS(2,COLUMN())),OFFSET($BN$2,0,0,ROW()-1,60),ROW()-1,FALSE))</f>
        <v>337.08</v>
      </c>
      <c r="AF85">
        <f ca="1">IF(AND(ISNUMBER($AF$335),$B$258=1),$AF$335,HLOOKUP(INDIRECT(ADDRESS(2,COLUMN())),OFFSET($BN$2,0,0,ROW()-1,60),ROW()-1,FALSE))</f>
        <v>333.37200000000001</v>
      </c>
      <c r="AG85">
        <f ca="1">IF(AND(ISNUMBER($AG$335),$B$258=1),$AG$335,HLOOKUP(INDIRECT(ADDRESS(2,COLUMN())),OFFSET($BN$2,0,0,ROW()-1,60),ROW()-1,FALSE))</f>
        <v>199.607</v>
      </c>
      <c r="AH85">
        <f ca="1">IF(AND(ISNUMBER($AH$335),$B$258=1),$AH$335,HLOOKUP(INDIRECT(ADDRESS(2,COLUMN())),OFFSET($BN$2,0,0,ROW()-1,60),ROW()-1,FALSE))</f>
        <v>167.4</v>
      </c>
      <c r="AI85">
        <f ca="1">IF(AND(ISNUMBER($AI$335),$B$258=1),$AI$335,HLOOKUP(INDIRECT(ADDRESS(2,COLUMN())),OFFSET($BN$2,0,0,ROW()-1,60),ROW()-1,FALSE))</f>
        <v>173.74799999999999</v>
      </c>
      <c r="AJ85">
        <f ca="1">IF(AND(ISNUMBER($AJ$335),$B$258=1),$AJ$335,HLOOKUP(INDIRECT(ADDRESS(2,COLUMN())),OFFSET($BN$2,0,0,ROW()-1,60),ROW()-1,FALSE))</f>
        <v>167.745</v>
      </c>
      <c r="AK85">
        <f ca="1">IF(AND(ISNUMBER($AK$335),$B$258=1),$AK$335,HLOOKUP(INDIRECT(ADDRESS(2,COLUMN())),OFFSET($BN$2,0,0,ROW()-1,60),ROW()-1,FALSE))</f>
        <v>162.75299999999999</v>
      </c>
      <c r="AL85">
        <f ca="1">IF(AND(ISNUMBER($AL$335),$B$258=1),$AL$335,HLOOKUP(INDIRECT(ADDRESS(2,COLUMN())),OFFSET($BN$2,0,0,ROW()-1,60),ROW()-1,FALSE))</f>
        <v>155.86699999999999</v>
      </c>
      <c r="AM85">
        <f ca="1">IF(AND(ISNUMBER($AM$335),$B$258=1),$AM$335,HLOOKUP(INDIRECT(ADDRESS(2,COLUMN())),OFFSET($BN$2,0,0,ROW()-1,60),ROW()-1,FALSE))</f>
        <v>155.363</v>
      </c>
      <c r="AN85">
        <f ca="1">IF(AND(ISNUMBER($AN$335),$B$258=1),$AN$335,HLOOKUP(INDIRECT(ADDRESS(2,COLUMN())),OFFSET($BN$2,0,0,ROW()-1,60),ROW()-1,FALSE))</f>
        <v>153.18100000000001</v>
      </c>
      <c r="AO85">
        <f ca="1">IF(AND(ISNUMBER($AO$335),$B$258=1),$AO$335,HLOOKUP(INDIRECT(ADDRESS(2,COLUMN())),OFFSET($BN$2,0,0,ROW()-1,60),ROW()-1,FALSE))</f>
        <v>156.17500000000001</v>
      </c>
      <c r="AP85">
        <f ca="1">IF(AND(ISNUMBER($AP$335),$B$258=1),$AP$335,HLOOKUP(INDIRECT(ADDRESS(2,COLUMN())),OFFSET($BN$2,0,0,ROW()-1,60),ROW()-1,FALSE))</f>
        <v>148.78800000000001</v>
      </c>
      <c r="AQ85" t="str">
        <f ca="1">IF(AND(ISNUMBER($AQ$335),$B$258=1),$AQ$335,HLOOKUP(INDIRECT(ADDRESS(2,COLUMN())),OFFSET($BN$2,0,0,ROW()-1,60),ROW()-1,FALSE))</f>
        <v/>
      </c>
      <c r="AR85" t="str">
        <f ca="1">IF(AND(ISNUMBER($AR$335),$B$258=1),$AR$335,HLOOKUP(INDIRECT(ADDRESS(2,COLUMN())),OFFSET($BN$2,0,0,ROW()-1,60),ROW()-1,FALSE))</f>
        <v/>
      </c>
      <c r="AS85" t="str">
        <f ca="1">IF(AND(ISNUMBER($AS$335),$B$258=1),$AS$335,HLOOKUP(INDIRECT(ADDRESS(2,COLUMN())),OFFSET($BN$2,0,0,ROW()-1,60),ROW()-1,FALSE))</f>
        <v/>
      </c>
      <c r="AT85" t="str">
        <f ca="1">IF(AND(ISNUMBER($AT$335),$B$258=1),$AT$335,HLOOKUP(INDIRECT(ADDRESS(2,COLUMN())),OFFSET($BN$2,0,0,ROW()-1,60),ROW()-1,FALSE))</f>
        <v/>
      </c>
      <c r="AU85" t="str">
        <f ca="1">IF(AND(ISNUMBER($AU$335),$B$258=1),$AU$335,HLOOKUP(INDIRECT(ADDRESS(2,COLUMN())),OFFSET($BN$2,0,0,ROW()-1,60),ROW()-1,FALSE))</f>
        <v/>
      </c>
      <c r="AV85" t="str">
        <f ca="1">IF(AND(ISNUMBER($AV$335),$B$258=1),$AV$335,HLOOKUP(INDIRECT(ADDRESS(2,COLUMN())),OFFSET($BN$2,0,0,ROW()-1,60),ROW()-1,FALSE))</f>
        <v/>
      </c>
      <c r="AW85" t="str">
        <f ca="1">IF(AND(ISNUMBER($AW$335),$B$258=1),$AW$335,HLOOKUP(INDIRECT(ADDRESS(2,COLUMN())),OFFSET($BN$2,0,0,ROW()-1,60),ROW()-1,FALSE))</f>
        <v/>
      </c>
      <c r="AX85" t="str">
        <f ca="1">IF(AND(ISNUMBER($AX$335),$B$258=1),$AX$335,HLOOKUP(INDIRECT(ADDRESS(2,COLUMN())),OFFSET($BN$2,0,0,ROW()-1,60),ROW()-1,FALSE))</f>
        <v/>
      </c>
      <c r="AY85" t="str">
        <f ca="1">IF(AND(ISNUMBER($AY$335),$B$258=1),$AY$335,HLOOKUP(INDIRECT(ADDRESS(2,COLUMN())),OFFSET($BN$2,0,0,ROW()-1,60),ROW()-1,FALSE))</f>
        <v/>
      </c>
      <c r="AZ85" t="str">
        <f ca="1">IF(AND(ISNUMBER($AZ$335),$B$258=1),$AZ$335,HLOOKUP(INDIRECT(ADDRESS(2,COLUMN())),OFFSET($BN$2,0,0,ROW()-1,60),ROW()-1,FALSE))</f>
        <v/>
      </c>
      <c r="BA85" t="str">
        <f ca="1">IF(AND(ISNUMBER($BA$335),$B$258=1),$BA$335,HLOOKUP(INDIRECT(ADDRESS(2,COLUMN())),OFFSET($BN$2,0,0,ROW()-1,60),ROW()-1,FALSE))</f>
        <v/>
      </c>
      <c r="BB85" t="str">
        <f ca="1">IF(AND(ISNUMBER($BB$335),$B$258=1),$BB$335,HLOOKUP(INDIRECT(ADDRESS(2,COLUMN())),OFFSET($BN$2,0,0,ROW()-1,60),ROW()-1,FALSE))</f>
        <v/>
      </c>
      <c r="BC85" t="str">
        <f ca="1">IF(AND(ISNUMBER($BC$335),$B$258=1),$BC$335,HLOOKUP(INDIRECT(ADDRESS(2,COLUMN())),OFFSET($BN$2,0,0,ROW()-1,60),ROW()-1,FALSE))</f>
        <v/>
      </c>
      <c r="BD85" t="str">
        <f ca="1">IF(AND(ISNUMBER($BD$335),$B$258=1),$BD$335,HLOOKUP(INDIRECT(ADDRESS(2,COLUMN())),OFFSET($BN$2,0,0,ROW()-1,60),ROW()-1,FALSE))</f>
        <v/>
      </c>
      <c r="BE85" t="str">
        <f ca="1">IF(AND(ISNUMBER($BE$335),$B$258=1),$BE$335,HLOOKUP(INDIRECT(ADDRESS(2,COLUMN())),OFFSET($BN$2,0,0,ROW()-1,60),ROW()-1,FALSE))</f>
        <v/>
      </c>
      <c r="BF85" t="str">
        <f ca="1">IF(AND(ISNUMBER($BF$335),$B$258=1),$BF$335,HLOOKUP(INDIRECT(ADDRESS(2,COLUMN())),OFFSET($BN$2,0,0,ROW()-1,60),ROW()-1,FALSE))</f>
        <v/>
      </c>
      <c r="BG85" t="str">
        <f ca="1">IF(AND(ISNUMBER($BG$335),$B$258=1),$BG$335,HLOOKUP(INDIRECT(ADDRESS(2,COLUMN())),OFFSET($BN$2,0,0,ROW()-1,60),ROW()-1,FALSE))</f>
        <v/>
      </c>
      <c r="BH85" t="str">
        <f ca="1">IF(AND(ISNUMBER($BH$335),$B$258=1),$BH$335,HLOOKUP(INDIRECT(ADDRESS(2,COLUMN())),OFFSET($BN$2,0,0,ROW()-1,60),ROW()-1,FALSE))</f>
        <v/>
      </c>
      <c r="BI85" t="str">
        <f ca="1">IF(AND(ISNUMBER($BI$335),$B$258=1),$BI$335,HLOOKUP(INDIRECT(ADDRESS(2,COLUMN())),OFFSET($BN$2,0,0,ROW()-1,60),ROW()-1,FALSE))</f>
        <v/>
      </c>
      <c r="BJ85" t="str">
        <f ca="1">IF(AND(ISNUMBER($BJ$335),$B$258=1),$BJ$335,HLOOKUP(INDIRECT(ADDRESS(2,COLUMN())),OFFSET($BN$2,0,0,ROW()-1,60),ROW()-1,FALSE))</f>
        <v/>
      </c>
      <c r="BK85" t="str">
        <f ca="1">IF(AND(ISNUMBER($BK$335),$B$258=1),$BK$335,HLOOKUP(INDIRECT(ADDRESS(2,COLUMN())),OFFSET($BN$2,0,0,ROW()-1,60),ROW()-1,FALSE))</f>
        <v/>
      </c>
      <c r="BL85" t="str">
        <f ca="1">IF(AND(ISNUMBER($BL$335),$B$258=1),$BL$335,HLOOKUP(INDIRECT(ADDRESS(2,COLUMN())),OFFSET($BN$2,0,0,ROW()-1,60),ROW()-1,FALSE))</f>
        <v/>
      </c>
      <c r="BM85" t="str">
        <f ca="1">IF(AND(ISNUMBER($BM$335),$B$258=1),$BM$335,HLOOKUP(INDIRECT(ADDRESS(2,COLUMN())),OFFSET($BN$2,0,0,ROW()-1,60),ROW()-1,FALSE))</f>
        <v/>
      </c>
      <c r="BN85" t="str">
        <f>""</f>
        <v/>
      </c>
      <c r="BO85">
        <f>495.056</f>
        <v>495.05599999999998</v>
      </c>
      <c r="BP85">
        <f>497.362</f>
        <v>497.36200000000002</v>
      </c>
      <c r="BQ85">
        <f>504.879</f>
        <v>504.87900000000002</v>
      </c>
      <c r="BR85">
        <f>484.804</f>
        <v>484.80399999999997</v>
      </c>
      <c r="BS85">
        <f>478.608</f>
        <v>478.608</v>
      </c>
      <c r="BT85">
        <f>479.913</f>
        <v>479.91300000000001</v>
      </c>
      <c r="BU85">
        <f>465.801</f>
        <v>465.80099999999999</v>
      </c>
      <c r="BV85">
        <f>461.519</f>
        <v>461.51900000000001</v>
      </c>
      <c r="BW85">
        <f>457.202</f>
        <v>457.202</v>
      </c>
      <c r="BX85">
        <f>484.159</f>
        <v>484.15899999999999</v>
      </c>
      <c r="BY85">
        <f>510.444</f>
        <v>510.44400000000002</v>
      </c>
      <c r="BZ85">
        <f>503.407</f>
        <v>503.40699999999998</v>
      </c>
      <c r="CA85">
        <f>459.211</f>
        <v>459.21100000000001</v>
      </c>
      <c r="CB85">
        <f>440.097</f>
        <v>440.09699999999998</v>
      </c>
      <c r="CC85">
        <f>433.506</f>
        <v>433.50599999999997</v>
      </c>
      <c r="CD85">
        <f>421.817</f>
        <v>421.81700000000001</v>
      </c>
      <c r="CE85">
        <f>416.518</f>
        <v>416.51799999999997</v>
      </c>
      <c r="CF85">
        <f>400.269</f>
        <v>400.26900000000001</v>
      </c>
      <c r="CG85">
        <f>390.566</f>
        <v>390.56599999999997</v>
      </c>
      <c r="CH85">
        <f>391.494</f>
        <v>391.49400000000003</v>
      </c>
      <c r="CI85">
        <f>378.053</f>
        <v>378.053</v>
      </c>
      <c r="CJ85">
        <f>369.311</f>
        <v>369.31099999999998</v>
      </c>
      <c r="CK85">
        <f>361.891</f>
        <v>361.89100000000002</v>
      </c>
      <c r="CL85">
        <f>340.807</f>
        <v>340.80700000000002</v>
      </c>
      <c r="CM85">
        <f>337.08</f>
        <v>337.08</v>
      </c>
      <c r="CN85">
        <f>333.372</f>
        <v>333.37200000000001</v>
      </c>
      <c r="CO85">
        <f>199.607</f>
        <v>199.607</v>
      </c>
      <c r="CP85">
        <f>167.4</f>
        <v>167.4</v>
      </c>
      <c r="CQ85">
        <f>173.748</f>
        <v>173.74799999999999</v>
      </c>
      <c r="CR85">
        <f>167.745</f>
        <v>167.745</v>
      </c>
      <c r="CS85">
        <f>162.753</f>
        <v>162.75299999999999</v>
      </c>
      <c r="CT85">
        <f>155.867</f>
        <v>155.86699999999999</v>
      </c>
      <c r="CU85">
        <f>155.363</f>
        <v>155.363</v>
      </c>
      <c r="CV85">
        <f>153.181</f>
        <v>153.18100000000001</v>
      </c>
      <c r="CW85">
        <f>156.175</f>
        <v>156.17500000000001</v>
      </c>
      <c r="CX85">
        <f>148.788</f>
        <v>148.78800000000001</v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</row>
    <row r="86" spans="1:125">
      <c r="A86" t="str">
        <f>"    Welltower Inc"</f>
        <v xml:space="preserve">    Welltower Inc</v>
      </c>
      <c r="B86" t="str">
        <f>"HCN US Equity"</f>
        <v>HCN US Equity</v>
      </c>
      <c r="C86" t="str">
        <f t="shared" si="18"/>
        <v>IS972</v>
      </c>
      <c r="D86" t="str">
        <f t="shared" si="19"/>
        <v>IS_ADJUSTED_EBITDA_AS_REPORTED</v>
      </c>
      <c r="E86" t="str">
        <f t="shared" si="20"/>
        <v>动态</v>
      </c>
      <c r="F86" t="str">
        <f ca="1">IF(AND(ISNUMBER($F$336),$B$258=1),$F$336,HLOOKUP(INDIRECT(ADDRESS(2,COLUMN())),OFFSET($BN$2,0,0,ROW()-1,60),ROW()-1,FALSE))</f>
        <v/>
      </c>
      <c r="G86">
        <f ca="1">IF(AND(ISNUMBER($G$336),$B$258=1),$G$336,HLOOKUP(INDIRECT(ADDRESS(2,COLUMN())),OFFSET($BN$2,0,0,ROW()-1,60),ROW()-1,FALSE))</f>
        <v>530.63099999999997</v>
      </c>
      <c r="H86">
        <f ca="1">IF(AND(ISNUMBER($H$336),$B$258=1),$H$336,HLOOKUP(INDIRECT(ADDRESS(2,COLUMN())),OFFSET($BN$2,0,0,ROW()-1,60),ROW()-1,FALSE))</f>
        <v>542.98199999999997</v>
      </c>
      <c r="I86">
        <f ca="1">IF(AND(ISNUMBER($I$336),$B$258=1),$I$336,HLOOKUP(INDIRECT(ADDRESS(2,COLUMN())),OFFSET($BN$2,0,0,ROW()-1,60),ROW()-1,FALSE))</f>
        <v>528.87800000000004</v>
      </c>
      <c r="J86">
        <f ca="1">IF(AND(ISNUMBER($J$336),$B$258=1),$J$336,HLOOKUP(INDIRECT(ADDRESS(2,COLUMN())),OFFSET($BN$2,0,0,ROW()-1,60),ROW()-1,FALSE))</f>
        <v>525.93399999999997</v>
      </c>
      <c r="K86">
        <f ca="1">IF(AND(ISNUMBER($K$336),$B$258=1),$K$336,HLOOKUP(INDIRECT(ADDRESS(2,COLUMN())),OFFSET($BN$2,0,0,ROW()-1,60),ROW()-1,FALSE))</f>
        <v>548.39300000000003</v>
      </c>
      <c r="L86">
        <f ca="1">IF(AND(ISNUMBER($L$336),$B$258=1),$L$336,HLOOKUP(INDIRECT(ADDRESS(2,COLUMN())),OFFSET($BN$2,0,0,ROW()-1,60),ROW()-1,FALSE))</f>
        <v>574.02599999999995</v>
      </c>
      <c r="M86">
        <f ca="1">IF(AND(ISNUMBER($M$336),$B$258=1),$M$336,HLOOKUP(INDIRECT(ADDRESS(2,COLUMN())),OFFSET($BN$2,0,0,ROW()-1,60),ROW()-1,FALSE))</f>
        <v>571.70799999999997</v>
      </c>
      <c r="N86">
        <f ca="1">IF(AND(ISNUMBER($N$336),$B$258=1),$N$336,HLOOKUP(INDIRECT(ADDRESS(2,COLUMN())),OFFSET($BN$2,0,0,ROW()-1,60),ROW()-1,FALSE))</f>
        <v>556.08900000000006</v>
      </c>
      <c r="O86">
        <f ca="1">IF(AND(ISNUMBER($O$336),$B$258=1),$O$336,HLOOKUP(INDIRECT(ADDRESS(2,COLUMN())),OFFSET($BN$2,0,0,ROW()-1,60),ROW()-1,FALSE))</f>
        <v>555.08399999999995</v>
      </c>
      <c r="P86">
        <f ca="1">IF(AND(ISNUMBER($P$336),$B$258=1),$P$336,HLOOKUP(INDIRECT(ADDRESS(2,COLUMN())),OFFSET($BN$2,0,0,ROW()-1,60),ROW()-1,FALSE))</f>
        <v>534.33600000000001</v>
      </c>
      <c r="Q86">
        <f ca="1">IF(AND(ISNUMBER($Q$336),$B$258=1),$Q$336,HLOOKUP(INDIRECT(ADDRESS(2,COLUMN())),OFFSET($BN$2,0,0,ROW()-1,60),ROW()-1,FALSE))</f>
        <v>519.26199999999994</v>
      </c>
      <c r="R86">
        <f ca="1">IF(AND(ISNUMBER($R$336),$B$258=1),$R$336,HLOOKUP(INDIRECT(ADDRESS(2,COLUMN())),OFFSET($BN$2,0,0,ROW()-1,60),ROW()-1,FALSE))</f>
        <v>486.82100000000003</v>
      </c>
      <c r="S86">
        <f ca="1">IF(AND(ISNUMBER($S$336),$B$258=1),$S$336,HLOOKUP(INDIRECT(ADDRESS(2,COLUMN())),OFFSET($BN$2,0,0,ROW()-1,60),ROW()-1,FALSE))</f>
        <v>470.86799999999999</v>
      </c>
      <c r="T86">
        <f ca="1">IF(AND(ISNUMBER($T$336),$B$258=1),$T$336,HLOOKUP(INDIRECT(ADDRESS(2,COLUMN())),OFFSET($BN$2,0,0,ROW()-1,60),ROW()-1,FALSE))</f>
        <v>462.76</v>
      </c>
      <c r="U86">
        <f ca="1">IF(AND(ISNUMBER($U$336),$B$258=1),$U$336,HLOOKUP(INDIRECT(ADDRESS(2,COLUMN())),OFFSET($BN$2,0,0,ROW()-1,60),ROW()-1,FALSE))</f>
        <v>448.07900000000001</v>
      </c>
      <c r="V86">
        <f ca="1">IF(AND(ISNUMBER($V$336),$B$258=1),$V$336,HLOOKUP(INDIRECT(ADDRESS(2,COLUMN())),OFFSET($BN$2,0,0,ROW()-1,60),ROW()-1,FALSE))</f>
        <v>435.04700000000003</v>
      </c>
      <c r="W86">
        <f ca="1">IF(AND(ISNUMBER($W$336),$B$258=1),$W$336,HLOOKUP(INDIRECT(ADDRESS(2,COLUMN())),OFFSET($BN$2,0,0,ROW()-1,60),ROW()-1,FALSE))</f>
        <v>430.16899999999998</v>
      </c>
      <c r="X86">
        <f ca="1">IF(AND(ISNUMBER($X$336),$B$258=1),$X$336,HLOOKUP(INDIRECT(ADDRESS(2,COLUMN())),OFFSET($BN$2,0,0,ROW()-1,60),ROW()-1,FALSE))</f>
        <v>424.053</v>
      </c>
      <c r="Y86">
        <f ca="1">IF(AND(ISNUMBER($Y$336),$B$258=1),$Y$336,HLOOKUP(INDIRECT(ADDRESS(2,COLUMN())),OFFSET($BN$2,0,0,ROW()-1,60),ROW()-1,FALSE))</f>
        <v>321.90300000000002</v>
      </c>
      <c r="Z86">
        <f ca="1">IF(AND(ISNUMBER($Z$336),$B$258=1),$Z$336,HLOOKUP(INDIRECT(ADDRESS(2,COLUMN())),OFFSET($BN$2,0,0,ROW()-1,60),ROW()-1,FALSE))</f>
        <v>382.61799999999999</v>
      </c>
      <c r="AA86">
        <f ca="1">IF(AND(ISNUMBER($AA$336),$B$258=1),$AA$336,HLOOKUP(INDIRECT(ADDRESS(2,COLUMN())),OFFSET($BN$2,0,0,ROW()-1,60),ROW()-1,FALSE))</f>
        <v>348.50700000000001</v>
      </c>
      <c r="AB86">
        <f ca="1">IF(AND(ISNUMBER($AB$336),$B$258=1),$AB$336,HLOOKUP(INDIRECT(ADDRESS(2,COLUMN())),OFFSET($BN$2,0,0,ROW()-1,60),ROW()-1,FALSE))</f>
        <v>313.25799999999998</v>
      </c>
      <c r="AC86">
        <f ca="1">IF(AND(ISNUMBER($AC$336),$B$258=1),$AC$336,HLOOKUP(INDIRECT(ADDRESS(2,COLUMN())),OFFSET($BN$2,0,0,ROW()-1,60),ROW()-1,FALSE))</f>
        <v>310.93</v>
      </c>
      <c r="AD86">
        <f ca="1">IF(AND(ISNUMBER($AD$336),$B$258=1),$AD$336,HLOOKUP(INDIRECT(ADDRESS(2,COLUMN())),OFFSET($BN$2,0,0,ROW()-1,60),ROW()-1,FALSE))</f>
        <v>291.39600000000002</v>
      </c>
      <c r="AE86">
        <f ca="1">IF(AND(ISNUMBER($AE$336),$B$258=1),$AE$336,HLOOKUP(INDIRECT(ADDRESS(2,COLUMN())),OFFSET($BN$2,0,0,ROW()-1,60),ROW()-1,FALSE))</f>
        <v>257.625</v>
      </c>
      <c r="AF86">
        <f ca="1">IF(AND(ISNUMBER($AF$336),$B$258=1),$AF$336,HLOOKUP(INDIRECT(ADDRESS(2,COLUMN())),OFFSET($BN$2,0,0,ROW()-1,60),ROW()-1,FALSE))</f>
        <v>257.92599999999999</v>
      </c>
      <c r="AG86">
        <f ca="1">IF(AND(ISNUMBER($AG$336),$B$258=1),$AG$336,HLOOKUP(INDIRECT(ADDRESS(2,COLUMN())),OFFSET($BN$2,0,0,ROW()-1,60),ROW()-1,FALSE))</f>
        <v>284.09500000000003</v>
      </c>
      <c r="AH86" t="str">
        <f ca="1">IF(AND(ISNUMBER($AH$336),$B$258=1),$AH$336,HLOOKUP(INDIRECT(ADDRESS(2,COLUMN())),OFFSET($BN$2,0,0,ROW()-1,60),ROW()-1,FALSE))</f>
        <v/>
      </c>
      <c r="AI86" t="str">
        <f ca="1">IF(AND(ISNUMBER($AI$336),$B$258=1),$AI$336,HLOOKUP(INDIRECT(ADDRESS(2,COLUMN())),OFFSET($BN$2,0,0,ROW()-1,60),ROW()-1,FALSE))</f>
        <v/>
      </c>
      <c r="AJ86" t="str">
        <f ca="1">IF(AND(ISNUMBER($AJ$336),$B$258=1),$AJ$336,HLOOKUP(INDIRECT(ADDRESS(2,COLUMN())),OFFSET($BN$2,0,0,ROW()-1,60),ROW()-1,FALSE))</f>
        <v/>
      </c>
      <c r="AK86" t="str">
        <f ca="1">IF(AND(ISNUMBER($AK$336),$B$258=1),$AK$336,HLOOKUP(INDIRECT(ADDRESS(2,COLUMN())),OFFSET($BN$2,0,0,ROW()-1,60),ROW()-1,FALSE))</f>
        <v/>
      </c>
      <c r="AL86" t="str">
        <f ca="1">IF(AND(ISNUMBER($AL$336),$B$258=1),$AL$336,HLOOKUP(INDIRECT(ADDRESS(2,COLUMN())),OFFSET($BN$2,0,0,ROW()-1,60),ROW()-1,FALSE))</f>
        <v/>
      </c>
      <c r="AM86" t="str">
        <f ca="1">IF(AND(ISNUMBER($AM$336),$B$258=1),$AM$336,HLOOKUP(INDIRECT(ADDRESS(2,COLUMN())),OFFSET($BN$2,0,0,ROW()-1,60),ROW()-1,FALSE))</f>
        <v/>
      </c>
      <c r="AN86" t="str">
        <f ca="1">IF(AND(ISNUMBER($AN$336),$B$258=1),$AN$336,HLOOKUP(INDIRECT(ADDRESS(2,COLUMN())),OFFSET($BN$2,0,0,ROW()-1,60),ROW()-1,FALSE))</f>
        <v/>
      </c>
      <c r="AO86" t="str">
        <f ca="1">IF(AND(ISNUMBER($AO$336),$B$258=1),$AO$336,HLOOKUP(INDIRECT(ADDRESS(2,COLUMN())),OFFSET($BN$2,0,0,ROW()-1,60),ROW()-1,FALSE))</f>
        <v/>
      </c>
      <c r="AP86" t="str">
        <f ca="1">IF(AND(ISNUMBER($AP$336),$B$258=1),$AP$336,HLOOKUP(INDIRECT(ADDRESS(2,COLUMN())),OFFSET($BN$2,0,0,ROW()-1,60),ROW()-1,FALSE))</f>
        <v/>
      </c>
      <c r="AQ86">
        <f ca="1">IF(AND(ISNUMBER($AQ$336),$B$258=1),$AQ$336,HLOOKUP(INDIRECT(ADDRESS(2,COLUMN())),OFFSET($BN$2,0,0,ROW()-1,60),ROW()-1,FALSE))</f>
        <v>334.642</v>
      </c>
      <c r="AR86">
        <f ca="1">IF(AND(ISNUMBER($AR$336),$B$258=1),$AR$336,HLOOKUP(INDIRECT(ADDRESS(2,COLUMN())),OFFSET($BN$2,0,0,ROW()-1,60),ROW()-1,FALSE))</f>
        <v>29.58</v>
      </c>
      <c r="AS86">
        <f ca="1">IF(AND(ISNUMBER($AS$336),$B$258=1),$AS$336,HLOOKUP(INDIRECT(ADDRESS(2,COLUMN())),OFFSET($BN$2,0,0,ROW()-1,60),ROW()-1,FALSE))</f>
        <v>114.926</v>
      </c>
      <c r="AT86">
        <f ca="1">IF(AND(ISNUMBER($AT$336),$B$258=1),$AT$336,HLOOKUP(INDIRECT(ADDRESS(2,COLUMN())),OFFSET($BN$2,0,0,ROW()-1,60),ROW()-1,FALSE))</f>
        <v>116.09099999999999</v>
      </c>
      <c r="AU86" t="str">
        <f ca="1">IF(AND(ISNUMBER($AU$336),$B$258=1),$AU$336,HLOOKUP(INDIRECT(ADDRESS(2,COLUMN())),OFFSET($BN$2,0,0,ROW()-1,60),ROW()-1,FALSE))</f>
        <v/>
      </c>
      <c r="AV86">
        <f ca="1">IF(AND(ISNUMBER($AV$336),$B$258=1),$AV$336,HLOOKUP(INDIRECT(ADDRESS(2,COLUMN())),OFFSET($BN$2,0,0,ROW()-1,60),ROW()-1,FALSE))</f>
        <v>31.292999999999999</v>
      </c>
      <c r="AW86">
        <f ca="1">IF(AND(ISNUMBER($AW$336),$B$258=1),$AW$336,HLOOKUP(INDIRECT(ADDRESS(2,COLUMN())),OFFSET($BN$2,0,0,ROW()-1,60),ROW()-1,FALSE))</f>
        <v>103.551</v>
      </c>
      <c r="AX86">
        <f ca="1">IF(AND(ISNUMBER($AX$336),$B$258=1),$AX$336,HLOOKUP(INDIRECT(ADDRESS(2,COLUMN())),OFFSET($BN$2,0,0,ROW()-1,60),ROW()-1,FALSE))</f>
        <v>99.986999999999995</v>
      </c>
      <c r="AY86">
        <f ca="1">IF(AND(ISNUMBER($AY$336),$B$258=1),$AY$336,HLOOKUP(INDIRECT(ADDRESS(2,COLUMN())),OFFSET($BN$2,0,0,ROW()-1,60),ROW()-1,FALSE))</f>
        <v>77.933000000000007</v>
      </c>
      <c r="AZ86">
        <f ca="1">IF(AND(ISNUMBER($AZ$336),$B$258=1),$AZ$336,HLOOKUP(INDIRECT(ADDRESS(2,COLUMN())),OFFSET($BN$2,0,0,ROW()-1,60),ROW()-1,FALSE))</f>
        <v>76.906000000000006</v>
      </c>
      <c r="BA86">
        <f ca="1">IF(AND(ISNUMBER($BA$336),$B$258=1),$BA$336,HLOOKUP(INDIRECT(ADDRESS(2,COLUMN())),OFFSET($BN$2,0,0,ROW()-1,60),ROW()-1,FALSE))</f>
        <v>77.025999999999996</v>
      </c>
      <c r="BB86">
        <f ca="1">IF(AND(ISNUMBER($BB$336),$B$258=1),$BB$336,HLOOKUP(INDIRECT(ADDRESS(2,COLUMN())),OFFSET($BN$2,0,0,ROW()-1,60),ROW()-1,FALSE))</f>
        <v>75.953000000000003</v>
      </c>
      <c r="BC86" t="str">
        <f ca="1">IF(AND(ISNUMBER($BC$336),$B$258=1),$BC$336,HLOOKUP(INDIRECT(ADDRESS(2,COLUMN())),OFFSET($BN$2,0,0,ROW()-1,60),ROW()-1,FALSE))</f>
        <v/>
      </c>
      <c r="BD86" t="str">
        <f ca="1">IF(AND(ISNUMBER($BD$336),$B$258=1),$BD$336,HLOOKUP(INDIRECT(ADDRESS(2,COLUMN())),OFFSET($BN$2,0,0,ROW()-1,60),ROW()-1,FALSE))</f>
        <v/>
      </c>
      <c r="BE86" t="str">
        <f ca="1">IF(AND(ISNUMBER($BE$336),$B$258=1),$BE$336,HLOOKUP(INDIRECT(ADDRESS(2,COLUMN())),OFFSET($BN$2,0,0,ROW()-1,60),ROW()-1,FALSE))</f>
        <v/>
      </c>
      <c r="BF86" t="str">
        <f ca="1">IF(AND(ISNUMBER($BF$336),$B$258=1),$BF$336,HLOOKUP(INDIRECT(ADDRESS(2,COLUMN())),OFFSET($BN$2,0,0,ROW()-1,60),ROW()-1,FALSE))</f>
        <v/>
      </c>
      <c r="BG86" t="str">
        <f ca="1">IF(AND(ISNUMBER($BG$336),$B$258=1),$BG$336,HLOOKUP(INDIRECT(ADDRESS(2,COLUMN())),OFFSET($BN$2,0,0,ROW()-1,60),ROW()-1,FALSE))</f>
        <v/>
      </c>
      <c r="BH86" t="str">
        <f ca="1">IF(AND(ISNUMBER($BH$336),$B$258=1),$BH$336,HLOOKUP(INDIRECT(ADDRESS(2,COLUMN())),OFFSET($BN$2,0,0,ROW()-1,60),ROW()-1,FALSE))</f>
        <v/>
      </c>
      <c r="BI86" t="str">
        <f ca="1">IF(AND(ISNUMBER($BI$336),$B$258=1),$BI$336,HLOOKUP(INDIRECT(ADDRESS(2,COLUMN())),OFFSET($BN$2,0,0,ROW()-1,60),ROW()-1,FALSE))</f>
        <v/>
      </c>
      <c r="BJ86" t="str">
        <f ca="1">IF(AND(ISNUMBER($BJ$336),$B$258=1),$BJ$336,HLOOKUP(INDIRECT(ADDRESS(2,COLUMN())),OFFSET($BN$2,0,0,ROW()-1,60),ROW()-1,FALSE))</f>
        <v/>
      </c>
      <c r="BK86" t="str">
        <f ca="1">IF(AND(ISNUMBER($BK$336),$B$258=1),$BK$336,HLOOKUP(INDIRECT(ADDRESS(2,COLUMN())),OFFSET($BN$2,0,0,ROW()-1,60),ROW()-1,FALSE))</f>
        <v/>
      </c>
      <c r="BL86" t="str">
        <f ca="1">IF(AND(ISNUMBER($BL$336),$B$258=1),$BL$336,HLOOKUP(INDIRECT(ADDRESS(2,COLUMN())),OFFSET($BN$2,0,0,ROW()-1,60),ROW()-1,FALSE))</f>
        <v/>
      </c>
      <c r="BM86" t="str">
        <f ca="1">IF(AND(ISNUMBER($BM$336),$B$258=1),$BM$336,HLOOKUP(INDIRECT(ADDRESS(2,COLUMN())),OFFSET($BN$2,0,0,ROW()-1,60),ROW()-1,FALSE))</f>
        <v/>
      </c>
      <c r="BN86" t="str">
        <f>""</f>
        <v/>
      </c>
      <c r="BO86">
        <f>530.631</f>
        <v>530.63099999999997</v>
      </c>
      <c r="BP86">
        <f>542.982</f>
        <v>542.98199999999997</v>
      </c>
      <c r="BQ86">
        <f>528.878</f>
        <v>528.87800000000004</v>
      </c>
      <c r="BR86">
        <f>525.934</f>
        <v>525.93399999999997</v>
      </c>
      <c r="BS86">
        <f>548.393</f>
        <v>548.39300000000003</v>
      </c>
      <c r="BT86">
        <f>574.026</f>
        <v>574.02599999999995</v>
      </c>
      <c r="BU86">
        <f>571.708</f>
        <v>571.70799999999997</v>
      </c>
      <c r="BV86">
        <f>556.089</f>
        <v>556.08900000000006</v>
      </c>
      <c r="BW86">
        <f>555.084</f>
        <v>555.08399999999995</v>
      </c>
      <c r="BX86">
        <f>534.336</f>
        <v>534.33600000000001</v>
      </c>
      <c r="BY86">
        <f>519.262</f>
        <v>519.26199999999994</v>
      </c>
      <c r="BZ86">
        <f>486.821</f>
        <v>486.82100000000003</v>
      </c>
      <c r="CA86">
        <f>470.868</f>
        <v>470.86799999999999</v>
      </c>
      <c r="CB86">
        <f>462.76</f>
        <v>462.76</v>
      </c>
      <c r="CC86">
        <f>448.079</f>
        <v>448.07900000000001</v>
      </c>
      <c r="CD86">
        <f>435.047</f>
        <v>435.04700000000003</v>
      </c>
      <c r="CE86">
        <f>430.169</f>
        <v>430.16899999999998</v>
      </c>
      <c r="CF86">
        <f>424.053</f>
        <v>424.053</v>
      </c>
      <c r="CG86">
        <f>321.903</f>
        <v>321.90300000000002</v>
      </c>
      <c r="CH86">
        <f>382.618</f>
        <v>382.61799999999999</v>
      </c>
      <c r="CI86">
        <f>348.507</f>
        <v>348.50700000000001</v>
      </c>
      <c r="CJ86">
        <f>313.258</f>
        <v>313.25799999999998</v>
      </c>
      <c r="CK86">
        <f>310.93</f>
        <v>310.93</v>
      </c>
      <c r="CL86">
        <f>291.396</f>
        <v>291.39600000000002</v>
      </c>
      <c r="CM86">
        <f>257.625</f>
        <v>257.625</v>
      </c>
      <c r="CN86">
        <f>257.926</f>
        <v>257.92599999999999</v>
      </c>
      <c r="CO86">
        <f>284.095</f>
        <v>284.09500000000003</v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>
        <f>334.642</f>
        <v>334.642</v>
      </c>
      <c r="CZ86">
        <f>29.58</f>
        <v>29.58</v>
      </c>
      <c r="DA86">
        <f>114.926</f>
        <v>114.926</v>
      </c>
      <c r="DB86">
        <f>116.091</f>
        <v>116.09099999999999</v>
      </c>
      <c r="DC86" t="str">
        <f>""</f>
        <v/>
      </c>
      <c r="DD86">
        <f>31.293</f>
        <v>31.292999999999999</v>
      </c>
      <c r="DE86">
        <f>103.551</f>
        <v>103.551</v>
      </c>
      <c r="DF86">
        <f>99.987</f>
        <v>99.986999999999995</v>
      </c>
      <c r="DG86">
        <f>77.933</f>
        <v>77.933000000000007</v>
      </c>
      <c r="DH86">
        <f>76.906</f>
        <v>76.906000000000006</v>
      </c>
      <c r="DI86">
        <f>77.026</f>
        <v>77.025999999999996</v>
      </c>
      <c r="DJ86">
        <f>75.953</f>
        <v>75.953000000000003</v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  <row r="87" spans="1:125">
      <c r="A87" t="str">
        <f>"营运现金流"</f>
        <v>营运现金流</v>
      </c>
      <c r="B87" t="str">
        <f>""</f>
        <v/>
      </c>
      <c r="E87" t="str">
        <f>"Median"</f>
        <v>Median</v>
      </c>
      <c r="F87" t="str">
        <f ca="1">IF(ISERROR(IF(MEDIAN($F$88:$F$98) = 0, "", MEDIAN($F$88:$F$98))), "", (IF(MEDIAN($F$88:$F$98) = 0, "", MEDIAN($F$88:$F$98))))</f>
        <v/>
      </c>
      <c r="G87">
        <f ca="1">IF(ISERROR(IF(MEDIAN($G$88:$G$98) = 0, "", MEDIAN($G$88:$G$98))), "", (IF(MEDIAN($G$88:$G$98) = 0, "", MEDIAN($G$88:$G$98))))</f>
        <v>107.25</v>
      </c>
      <c r="H87">
        <f ca="1">IF(ISERROR(IF(MEDIAN($H$88:$H$98) = 0, "", MEDIAN($H$88:$H$98))), "", (IF(MEDIAN($H$88:$H$98) = 0, "", MEDIAN($H$88:$H$98))))</f>
        <v>102.35499999999999</v>
      </c>
      <c r="I87">
        <f ca="1">IF(ISERROR(IF(MEDIAN($I$88:$I$98) = 0, "", MEDIAN($I$88:$I$98))), "", (IF(MEDIAN($I$88:$I$98) = 0, "", MEDIAN($I$88:$I$98))))</f>
        <v>103.342</v>
      </c>
      <c r="J87">
        <f ca="1">IF(ISERROR(IF(MEDIAN($J$88:$J$98) = 0, "", MEDIAN($J$88:$J$98))), "", (IF(MEDIAN($J$88:$J$98) = 0, "", MEDIAN($J$88:$J$98))))</f>
        <v>104.874</v>
      </c>
      <c r="K87">
        <f ca="1">IF(ISERROR(IF(MEDIAN($K$88:$K$98) = 0, "", MEDIAN($K$88:$K$98))), "", (IF(MEDIAN($K$88:$K$98) = 0, "", MEDIAN($K$88:$K$98))))</f>
        <v>69.885999999999996</v>
      </c>
      <c r="L87">
        <f ca="1">IF(ISERROR(IF(MEDIAN($L$88:$L$98) = 0, "", MEDIAN($L$88:$L$98))), "", (IF(MEDIAN($L$88:$L$98) = 0, "", MEDIAN($L$88:$L$98))))</f>
        <v>86.784000000000006</v>
      </c>
      <c r="M87">
        <f ca="1">IF(ISERROR(IF(MEDIAN($M$88:$M$98) = 0, "", MEDIAN($M$88:$M$98))), "", (IF(MEDIAN($M$88:$M$98) = 0, "", MEDIAN($M$88:$M$98))))</f>
        <v>64.27</v>
      </c>
      <c r="N87">
        <f ca="1">IF(ISERROR(IF(MEDIAN($N$88:$N$98) = 0, "", MEDIAN($N$88:$N$98))), "", (IF(MEDIAN($N$88:$N$98) = 0, "", MEDIAN($N$88:$N$98))))</f>
        <v>79.215000000000003</v>
      </c>
      <c r="O87">
        <f ca="1">IF(ISERROR(IF(MEDIAN($O$88:$O$98) = 0, "", MEDIAN($O$88:$O$98))), "", (IF(MEDIAN($O$88:$O$98) = 0, "", MEDIAN($O$88:$O$98))))</f>
        <v>78.13</v>
      </c>
      <c r="P87">
        <f ca="1">IF(ISERROR(IF(MEDIAN($P$88:$P$98) = 0, "", MEDIAN($P$88:$P$98))), "", (IF(MEDIAN($P$88:$P$98) = 0, "", MEDIAN($P$88:$P$98))))</f>
        <v>100.35899999999999</v>
      </c>
      <c r="Q87">
        <f ca="1">IF(ISERROR(IF(MEDIAN($Q$88:$Q$98) = 0, "", MEDIAN($Q$88:$Q$98))), "", (IF(MEDIAN($Q$88:$Q$98) = 0, "", MEDIAN($Q$88:$Q$98))))</f>
        <v>93.433000000000007</v>
      </c>
      <c r="R87">
        <f ca="1">IF(ISERROR(IF(MEDIAN($R$88:$R$98) = 0, "", MEDIAN($R$88:$R$98))), "", (IF(MEDIAN($R$88:$R$98) = 0, "", MEDIAN($R$88:$R$98))))</f>
        <v>65.015500000000003</v>
      </c>
      <c r="S87">
        <f ca="1">IF(ISERROR(IF(MEDIAN($S$88:$S$98) = 0, "", MEDIAN($S$88:$S$98))), "", (IF(MEDIAN($S$88:$S$98) = 0, "", MEDIAN($S$88:$S$98))))</f>
        <v>74.433000000000007</v>
      </c>
      <c r="T87">
        <f ca="1">IF(ISERROR(IF(MEDIAN($T$88:$T$98) = 0, "", MEDIAN($T$88:$T$98))), "", (IF(MEDIAN($T$88:$T$98) = 0, "", MEDIAN($T$88:$T$98))))</f>
        <v>86.263499999999993</v>
      </c>
      <c r="U87">
        <f ca="1">IF(ISERROR(IF(MEDIAN($U$88:$U$98) = 0, "", MEDIAN($U$88:$U$98))), "", (IF(MEDIAN($U$88:$U$98) = 0, "", MEDIAN($U$88:$U$98))))</f>
        <v>80.627499999999998</v>
      </c>
      <c r="V87">
        <f ca="1">IF(ISERROR(IF(MEDIAN($V$88:$V$98) = 0, "", MEDIAN($V$88:$V$98))), "", (IF(MEDIAN($V$88:$V$98) = 0, "", MEDIAN($V$88:$V$98))))</f>
        <v>80.284999999999997</v>
      </c>
      <c r="W87">
        <f ca="1">IF(ISERROR(IF(MEDIAN($W$88:$W$98) = 0, "", MEDIAN($W$88:$W$98))), "", (IF(MEDIAN($W$88:$W$98) = 0, "", MEDIAN($W$88:$W$98))))</f>
        <v>80.049499999999995</v>
      </c>
      <c r="X87">
        <f ca="1">IF(ISERROR(IF(MEDIAN($X$88:$X$98) = 0, "", MEDIAN($X$88:$X$98))), "", (IF(MEDIAN($X$88:$X$98) = 0, "", MEDIAN($X$88:$X$98))))</f>
        <v>71.966499999999996</v>
      </c>
      <c r="Y87">
        <f ca="1">IF(ISERROR(IF(MEDIAN($Y$88:$Y$98) = 0, "", MEDIAN($Y$88:$Y$98))), "", (IF(MEDIAN($Y$88:$Y$98) = 0, "", MEDIAN($Y$88:$Y$98))))</f>
        <v>73.691499999999991</v>
      </c>
      <c r="Z87">
        <f ca="1">IF(ISERROR(IF(MEDIAN($Z$88:$Z$98) = 0, "", MEDIAN($Z$88:$Z$98))), "", (IF(MEDIAN($Z$88:$Z$98) = 0, "", MEDIAN($Z$88:$Z$98))))</f>
        <v>70.06049999999999</v>
      </c>
      <c r="AA87">
        <f ca="1">IF(ISERROR(IF(MEDIAN($AA$88:$AA$98) = 0, "", MEDIAN($AA$88:$AA$98))), "", (IF(MEDIAN($AA$88:$AA$98) = 0, "", MEDIAN($AA$88:$AA$98))))</f>
        <v>66.167000000000002</v>
      </c>
      <c r="AB87">
        <f ca="1">IF(ISERROR(IF(MEDIAN($AB$88:$AB$98) = 0, "", MEDIAN($AB$88:$AB$98))), "", (IF(MEDIAN($AB$88:$AB$98) = 0, "", MEDIAN($AB$88:$AB$98))))</f>
        <v>59.180999999999997</v>
      </c>
      <c r="AC87">
        <f ca="1">IF(ISERROR(IF(MEDIAN($AC$88:$AC$98) = 0, "", MEDIAN($AC$88:$AC$98))), "", (IF(MEDIAN($AC$88:$AC$98) = 0, "", MEDIAN($AC$88:$AC$98))))</f>
        <v>62.141999999999996</v>
      </c>
      <c r="AD87">
        <f ca="1">IF(ISERROR(IF(MEDIAN($AD$88:$AD$98) = 0, "", MEDIAN($AD$88:$AD$98))), "", (IF(MEDIAN($AD$88:$AD$98) = 0, "", MEDIAN($AD$88:$AD$98))))</f>
        <v>53.945499999999996</v>
      </c>
      <c r="AE87">
        <f ca="1">IF(ISERROR(IF(MEDIAN($AE$88:$AE$98) = 0, "", MEDIAN($AE$88:$AE$98))), "", (IF(MEDIAN($AE$88:$AE$98) = 0, "", MEDIAN($AE$88:$AE$98))))</f>
        <v>57.045999999999999</v>
      </c>
      <c r="AF87">
        <f ca="1">IF(ISERROR(IF(MEDIAN($AF$88:$AF$98) = 0, "", MEDIAN($AF$88:$AF$98))), "", (IF(MEDIAN($AF$88:$AF$98) = 0, "", MEDIAN($AF$88:$AF$98))))</f>
        <v>52.176000000000002</v>
      </c>
      <c r="AG87">
        <f ca="1">IF(ISERROR(IF(MEDIAN($AG$88:$AG$98) = 0, "", MEDIAN($AG$88:$AG$98))), "", (IF(MEDIAN($AG$88:$AG$98) = 0, "", MEDIAN($AG$88:$AG$98))))</f>
        <v>49.616500000000002</v>
      </c>
      <c r="AH87">
        <f ca="1">IF(ISERROR(IF(MEDIAN($AH$88:$AH$98) = 0, "", MEDIAN($AH$88:$AH$98))), "", (IF(MEDIAN($AH$88:$AH$98) = 0, "", MEDIAN($AH$88:$AH$98))))</f>
        <v>48.707499999999996</v>
      </c>
      <c r="AI87">
        <f ca="1">IF(ISERROR(IF(MEDIAN($AI$88:$AI$98) = 0, "", MEDIAN($AI$88:$AI$98))), "", (IF(MEDIAN($AI$88:$AI$98) = 0, "", MEDIAN($AI$88:$AI$98))))</f>
        <v>58.473999999999997</v>
      </c>
      <c r="AJ87">
        <f ca="1">IF(ISERROR(IF(MEDIAN($AJ$88:$AJ$98) = 0, "", MEDIAN($AJ$88:$AJ$98))), "", (IF(MEDIAN($AJ$88:$AJ$98) = 0, "", MEDIAN($AJ$88:$AJ$98))))</f>
        <v>42.481999999999999</v>
      </c>
      <c r="AK87">
        <f ca="1">IF(ISERROR(IF(MEDIAN($AK$88:$AK$98) = 0, "", MEDIAN($AK$88:$AK$98))), "", (IF(MEDIAN($AK$88:$AK$98) = 0, "", MEDIAN($AK$88:$AK$98))))</f>
        <v>29.687999999999999</v>
      </c>
      <c r="AL87">
        <f ca="1">IF(ISERROR(IF(MEDIAN($AL$88:$AL$98) = 0, "", MEDIAN($AL$88:$AL$98))), "", (IF(MEDIAN($AL$88:$AL$98) = 0, "", MEDIAN($AL$88:$AL$98))))</f>
        <v>53.98</v>
      </c>
      <c r="AM87">
        <f ca="1">IF(ISERROR(IF(MEDIAN($AM$88:$AM$98) = 0, "", MEDIAN($AM$88:$AM$98))), "", (IF(MEDIAN($AM$88:$AM$98) = 0, "", MEDIAN($AM$88:$AM$98))))</f>
        <v>53.311499999999995</v>
      </c>
      <c r="AN87">
        <f ca="1">IF(ISERROR(IF(MEDIAN($AN$88:$AN$98) = 0, "", MEDIAN($AN$88:$AN$98))), "", (IF(MEDIAN($AN$88:$AN$98) = 0, "", MEDIAN($AN$88:$AN$98))))</f>
        <v>40.794499999999999</v>
      </c>
      <c r="AO87">
        <f ca="1">IF(ISERROR(IF(MEDIAN($AO$88:$AO$98) = 0, "", MEDIAN($AO$88:$AO$98))), "", (IF(MEDIAN($AO$88:$AO$98) = 0, "", MEDIAN($AO$88:$AO$98))))</f>
        <v>58.997500000000002</v>
      </c>
      <c r="AP87">
        <f ca="1">IF(ISERROR(IF(MEDIAN($AP$88:$AP$98) = 0, "", MEDIAN($AP$88:$AP$98))), "", (IF(MEDIAN($AP$88:$AP$98) = 0, "", MEDIAN($AP$88:$AP$98))))</f>
        <v>56.731499999999997</v>
      </c>
      <c r="AQ87">
        <f ca="1">IF(ISERROR(IF(MEDIAN($AQ$88:$AQ$98) = 0, "", MEDIAN($AQ$88:$AQ$98))), "", (IF(MEDIAN($AQ$88:$AQ$98) = 0, "", MEDIAN($AQ$88:$AQ$98))))</f>
        <v>38.994999999999997</v>
      </c>
      <c r="AR87">
        <f ca="1">IF(ISERROR(IF(MEDIAN($AR$88:$AR$98) = 0, "", MEDIAN($AR$88:$AR$98))), "", (IF(MEDIAN($AR$88:$AR$98) = 0, "", MEDIAN($AR$88:$AR$98))))</f>
        <v>46.656500000000001</v>
      </c>
      <c r="AS87">
        <f ca="1">IF(ISERROR(IF(MEDIAN($AS$88:$AS$98) = 0, "", MEDIAN($AS$88:$AS$98))), "", (IF(MEDIAN($AS$88:$AS$98) = 0, "", MEDIAN($AS$88:$AS$98))))</f>
        <v>43.512</v>
      </c>
      <c r="AT87">
        <f ca="1">IF(ISERROR(IF(MEDIAN($AT$88:$AT$98) = 0, "", MEDIAN($AT$88:$AT$98))), "", (IF(MEDIAN($AT$88:$AT$98) = 0, "", MEDIAN($AT$88:$AT$98))))</f>
        <v>38.277500000000003</v>
      </c>
      <c r="AU87">
        <f ca="1">IF(ISERROR(IF(MEDIAN($AU$88:$AU$98) = 0, "", MEDIAN($AU$88:$AU$98))), "", (IF(MEDIAN($AU$88:$AU$98) = 0, "", MEDIAN($AU$88:$AU$98))))</f>
        <v>40.772999999999996</v>
      </c>
      <c r="AV87">
        <f ca="1">IF(ISERROR(IF(MEDIAN($AV$88:$AV$98) = 0, "", MEDIAN($AV$88:$AV$98))), "", (IF(MEDIAN($AV$88:$AV$98) = 0, "", MEDIAN($AV$88:$AV$98))))</f>
        <v>38.4285</v>
      </c>
      <c r="AW87">
        <f ca="1">IF(ISERROR(IF(MEDIAN($AW$88:$AW$98) = 0, "", MEDIAN($AW$88:$AW$98))), "", (IF(MEDIAN($AW$88:$AW$98) = 0, "", MEDIAN($AW$88:$AW$98))))</f>
        <v>37.810500000000005</v>
      </c>
      <c r="AX87">
        <f ca="1">IF(ISERROR(IF(MEDIAN($AX$88:$AX$98) = 0, "", MEDIAN($AX$88:$AX$98))), "", (IF(MEDIAN($AX$88:$AX$98) = 0, "", MEDIAN($AX$88:$AX$98))))</f>
        <v>34.269500000000001</v>
      </c>
      <c r="AY87">
        <f ca="1">IF(ISERROR(IF(MEDIAN($AY$88:$AY$98) = 0, "", MEDIAN($AY$88:$AY$98))), "", (IF(MEDIAN($AY$88:$AY$98) = 0, "", MEDIAN($AY$88:$AY$98))))</f>
        <v>37.019500000000001</v>
      </c>
      <c r="AZ87">
        <f ca="1">IF(ISERROR(IF(MEDIAN($AZ$88:$AZ$98) = 0, "", MEDIAN($AZ$88:$AZ$98))), "", (IF(MEDIAN($AZ$88:$AZ$98) = 0, "", MEDIAN($AZ$88:$AZ$98))))</f>
        <v>31.451999999999998</v>
      </c>
      <c r="BA87">
        <f ca="1">IF(ISERROR(IF(MEDIAN($BA$88:$BA$98) = 0, "", MEDIAN($BA$88:$BA$98))), "", (IF(MEDIAN($BA$88:$BA$98) = 0, "", MEDIAN($BA$88:$BA$98))))</f>
        <v>28.526</v>
      </c>
      <c r="BB87">
        <f ca="1">IF(ISERROR(IF(MEDIAN($BB$88:$BB$98) = 0, "", MEDIAN($BB$88:$BB$98))), "", (IF(MEDIAN($BB$88:$BB$98) = 0, "", MEDIAN($BB$88:$BB$98))))</f>
        <v>26.5395</v>
      </c>
      <c r="BC87">
        <f ca="1">IF(ISERROR(IF(MEDIAN($BC$88:$BC$98) = 0, "", MEDIAN($BC$88:$BC$98))), "", (IF(MEDIAN($BC$88:$BC$98) = 0, "", MEDIAN($BC$88:$BC$98))))</f>
        <v>26.513500000000001</v>
      </c>
      <c r="BD87">
        <f ca="1">IF(ISERROR(IF(MEDIAN($BD$88:$BD$98) = 0, "", MEDIAN($BD$88:$BD$98))), "", (IF(MEDIAN($BD$88:$BD$98) = 0, "", MEDIAN($BD$88:$BD$98))))</f>
        <v>31.210000305000001</v>
      </c>
      <c r="BE87">
        <f ca="1">IF(ISERROR(IF(MEDIAN($BE$88:$BE$98) = 0, "", MEDIAN($BE$88:$BE$98))), "", (IF(MEDIAN($BE$88:$BE$98) = 0, "", MEDIAN($BE$88:$BE$98))))</f>
        <v>22.339500000000001</v>
      </c>
      <c r="BF87">
        <f ca="1">IF(ISERROR(IF(MEDIAN($BF$88:$BF$98) = 0, "", MEDIAN($BF$88:$BF$98))), "", (IF(MEDIAN($BF$88:$BF$98) = 0, "", MEDIAN($BF$88:$BF$98))))</f>
        <v>27.4175003</v>
      </c>
      <c r="BG87">
        <f ca="1">IF(ISERROR(IF(MEDIAN($BG$88:$BG$98) = 0, "", MEDIAN($BG$88:$BG$98))), "", (IF(MEDIAN($BG$88:$BG$98) = 0, "", MEDIAN($BG$88:$BG$98))))</f>
        <v>24.39</v>
      </c>
      <c r="BH87">
        <f ca="1">IF(ISERROR(IF(MEDIAN($BH$88:$BH$98) = 0, "", MEDIAN($BH$88:$BH$98))), "", (IF(MEDIAN($BH$88:$BH$98) = 0, "", MEDIAN($BH$88:$BH$98))))</f>
        <v>22.690500135000001</v>
      </c>
      <c r="BI87">
        <f ca="1">IF(ISERROR(IF(MEDIAN($BI$88:$BI$98) = 0, "", MEDIAN($BI$88:$BI$98))), "", (IF(MEDIAN($BI$88:$BI$98) = 0, "", MEDIAN($BI$88:$BI$98))))</f>
        <v>23.302999499999999</v>
      </c>
      <c r="BJ87">
        <f ca="1">IF(ISERROR(IF(MEDIAN($BJ$88:$BJ$98) = 0, "", MEDIAN($BJ$88:$BJ$98))), "", (IF(MEDIAN($BJ$88:$BJ$98) = 0, "", MEDIAN($BJ$88:$BJ$98))))</f>
        <v>24.87450012</v>
      </c>
      <c r="BK87">
        <f ca="1">IF(ISERROR(IF(MEDIAN($BK$88:$BK$98) = 0, "", MEDIAN($BK$88:$BK$98))), "", (IF(MEDIAN($BK$88:$BK$98) = 0, "", MEDIAN($BK$88:$BK$98))))</f>
        <v>21.03</v>
      </c>
      <c r="BL87">
        <f ca="1">IF(ISERROR(IF(MEDIAN($BL$88:$BL$98) = 0, "", MEDIAN($BL$88:$BL$98))), "", (IF(MEDIAN($BL$88:$BL$98) = 0, "", MEDIAN($BL$88:$BL$98))))</f>
        <v>34.264500614999996</v>
      </c>
      <c r="BM87">
        <f ca="1">IF(ISERROR(IF(MEDIAN($BM$88:$BM$98) = 0, "", MEDIAN($BM$88:$BM$98))), "", (IF(MEDIAN($BM$88:$BM$98) = 0, "", MEDIAN($BM$88:$BM$98))))</f>
        <v>28.18300056</v>
      </c>
      <c r="BN87" t="str">
        <f>""</f>
        <v/>
      </c>
      <c r="BO87">
        <f>107.25</f>
        <v>107.25</v>
      </c>
      <c r="BP87">
        <f>102.355</f>
        <v>102.355</v>
      </c>
      <c r="BQ87">
        <f>103.342</f>
        <v>103.342</v>
      </c>
      <c r="BR87">
        <f>104.874</f>
        <v>104.874</v>
      </c>
      <c r="BS87">
        <f>69.886</f>
        <v>69.885999999999996</v>
      </c>
      <c r="BT87">
        <f>86.784</f>
        <v>86.784000000000006</v>
      </c>
      <c r="BU87">
        <f>64.27</f>
        <v>64.27</v>
      </c>
      <c r="BV87">
        <f>79.215</f>
        <v>79.215000000000003</v>
      </c>
      <c r="BW87">
        <f>78.13</f>
        <v>78.13</v>
      </c>
      <c r="BX87">
        <f>100.359</f>
        <v>100.35899999999999</v>
      </c>
      <c r="BY87">
        <f>93.433</f>
        <v>93.433000000000007</v>
      </c>
      <c r="BZ87">
        <f>65.0155</f>
        <v>65.015500000000003</v>
      </c>
      <c r="CA87">
        <f>74.433</f>
        <v>74.433000000000007</v>
      </c>
      <c r="CB87">
        <f>86.2635</f>
        <v>86.263499999999993</v>
      </c>
      <c r="CC87">
        <f>80.6275</f>
        <v>80.627499999999998</v>
      </c>
      <c r="CD87">
        <f>80.285</f>
        <v>80.284999999999997</v>
      </c>
      <c r="CE87">
        <f>80.0495</f>
        <v>80.049499999999995</v>
      </c>
      <c r="CF87">
        <f>71.9665</f>
        <v>71.966499999999996</v>
      </c>
      <c r="CG87">
        <f>73.6915</f>
        <v>73.691500000000005</v>
      </c>
      <c r="CH87">
        <f>70.0605</f>
        <v>70.060500000000005</v>
      </c>
      <c r="CI87">
        <f>66.167</f>
        <v>66.167000000000002</v>
      </c>
      <c r="CJ87">
        <f>59.181</f>
        <v>59.180999999999997</v>
      </c>
      <c r="CK87">
        <f>62.142</f>
        <v>62.142000000000003</v>
      </c>
      <c r="CL87">
        <f>53.9455</f>
        <v>53.945500000000003</v>
      </c>
      <c r="CM87">
        <f>57.046</f>
        <v>57.045999999999999</v>
      </c>
      <c r="CN87">
        <f>52.176</f>
        <v>52.176000000000002</v>
      </c>
      <c r="CO87">
        <f>49.6165</f>
        <v>49.616500000000002</v>
      </c>
      <c r="CP87">
        <f>48.7075</f>
        <v>48.707500000000003</v>
      </c>
      <c r="CQ87">
        <f>58.474</f>
        <v>58.473999999999997</v>
      </c>
      <c r="CR87">
        <f>42.482</f>
        <v>42.481999999999999</v>
      </c>
      <c r="CS87">
        <f>29.688</f>
        <v>29.687999999999999</v>
      </c>
      <c r="CT87">
        <f>53.98</f>
        <v>53.98</v>
      </c>
      <c r="CU87">
        <f>53.3115</f>
        <v>53.311500000000002</v>
      </c>
      <c r="CV87">
        <f>40.7945</f>
        <v>40.794499999999999</v>
      </c>
      <c r="CW87">
        <f>58.9975</f>
        <v>58.997500000000002</v>
      </c>
      <c r="CX87">
        <f>56.7315</f>
        <v>56.731499999999997</v>
      </c>
      <c r="CY87">
        <f>38.995</f>
        <v>38.994999999999997</v>
      </c>
      <c r="CZ87">
        <f>46.6565</f>
        <v>46.656500000000001</v>
      </c>
      <c r="DA87">
        <f>43.512</f>
        <v>43.512</v>
      </c>
      <c r="DB87">
        <f>38.2775</f>
        <v>38.277500000000003</v>
      </c>
      <c r="DC87">
        <f>40.773</f>
        <v>40.773000000000003</v>
      </c>
      <c r="DD87">
        <f>38.4285</f>
        <v>38.4285</v>
      </c>
      <c r="DE87">
        <f>37.8105</f>
        <v>37.810499999999998</v>
      </c>
      <c r="DF87">
        <f>34.2695</f>
        <v>34.269500000000001</v>
      </c>
      <c r="DG87">
        <f>37.0195</f>
        <v>37.019500000000001</v>
      </c>
      <c r="DH87">
        <f>31.452</f>
        <v>31.452000000000002</v>
      </c>
      <c r="DI87">
        <f>28.526</f>
        <v>28.526</v>
      </c>
      <c r="DJ87">
        <f>26.5395</f>
        <v>26.5395</v>
      </c>
      <c r="DK87">
        <f>26.5135</f>
        <v>26.513500000000001</v>
      </c>
      <c r="DL87">
        <f>31.21000031</f>
        <v>31.210000310000002</v>
      </c>
      <c r="DM87">
        <f>22.3395</f>
        <v>22.339500000000001</v>
      </c>
      <c r="DN87">
        <f>27.4175003</f>
        <v>27.4175003</v>
      </c>
      <c r="DO87">
        <f>24.39</f>
        <v>24.39</v>
      </c>
      <c r="DP87">
        <f>22.69050014</f>
        <v>22.690500140000001</v>
      </c>
      <c r="DQ87">
        <f>23.3029995</f>
        <v>23.302999499999999</v>
      </c>
      <c r="DR87">
        <f>24.87450012</f>
        <v>24.87450012</v>
      </c>
      <c r="DS87">
        <f>21.03</f>
        <v>21.03</v>
      </c>
      <c r="DT87">
        <f>34.26450062</f>
        <v>34.26450062</v>
      </c>
      <c r="DU87">
        <f>28.18300056</f>
        <v>28.18300056</v>
      </c>
    </row>
    <row r="88" spans="1:125">
      <c r="A88" t="str">
        <f>"    Alexandria Real Estate Equitie"</f>
        <v xml:space="preserve">    Alexandria Real Estate Equitie</v>
      </c>
      <c r="B88" t="str">
        <f>"ARE US Equity"</f>
        <v>ARE US Equity</v>
      </c>
      <c r="C88" t="str">
        <f t="shared" ref="C88:C98" si="21">"CF039"</f>
        <v>CF039</v>
      </c>
      <c r="D88" t="str">
        <f t="shared" ref="D88:D98" si="22">"CF_FFO"</f>
        <v>CF_FFO</v>
      </c>
      <c r="E88" t="str">
        <f t="shared" ref="E88:E98" si="23">"动态"</f>
        <v>动态</v>
      </c>
      <c r="F88" t="str">
        <f ca="1">IF(AND(ISNUMBER($F$337),$B$258=1),$F$337,HLOOKUP(INDIRECT(ADDRESS(2,COLUMN())),OFFSET($BN$2,0,0,ROW()-1,60),ROW()-1,FALSE))</f>
        <v/>
      </c>
      <c r="G88">
        <f ca="1">IF(AND(ISNUMBER($G$337),$B$258=1),$G$337,HLOOKUP(INDIRECT(ADDRESS(2,COLUMN())),OFFSET($BN$2,0,0,ROW()-1,60),ROW()-1,FALSE))</f>
        <v>140.46600000000001</v>
      </c>
      <c r="H88">
        <f ca="1">IF(AND(ISNUMBER($H$337),$B$258=1),$H$337,HLOOKUP(INDIRECT(ADDRESS(2,COLUMN())),OFFSET($BN$2,0,0,ROW()-1,60),ROW()-1,FALSE))</f>
        <v>140.773</v>
      </c>
      <c r="I88">
        <f ca="1">IF(AND(ISNUMBER($I$337),$B$258=1),$I$337,HLOOKUP(INDIRECT(ADDRESS(2,COLUMN())),OFFSET($BN$2,0,0,ROW()-1,60),ROW()-1,FALSE))</f>
        <v>131.72499999999999</v>
      </c>
      <c r="J88">
        <f ca="1">IF(AND(ISNUMBER($J$337),$B$258=1),$J$337,HLOOKUP(INDIRECT(ADDRESS(2,COLUMN())),OFFSET($BN$2,0,0,ROW()-1,60),ROW()-1,FALSE))</f>
        <v>118.783</v>
      </c>
      <c r="K88">
        <f ca="1">IF(AND(ISNUMBER($K$337),$B$258=1),$K$337,HLOOKUP(INDIRECT(ADDRESS(2,COLUMN())),OFFSET($BN$2,0,0,ROW()-1,60),ROW()-1,FALSE))</f>
        <v>67.942999999999998</v>
      </c>
      <c r="L88">
        <f ca="1">IF(AND(ISNUMBER($L$337),$B$258=1),$L$337,HLOOKUP(INDIRECT(ADDRESS(2,COLUMN())),OFFSET($BN$2,0,0,ROW()-1,60),ROW()-1,FALSE))</f>
        <v>86.784000000000006</v>
      </c>
      <c r="M88">
        <f ca="1">IF(AND(ISNUMBER($M$337),$B$258=1),$M$337,HLOOKUP(INDIRECT(ADDRESS(2,COLUMN())),OFFSET($BN$2,0,0,ROW()-1,60),ROW()-1,FALSE))</f>
        <v>29.341000000000001</v>
      </c>
      <c r="N88">
        <f ca="1">IF(AND(ISNUMBER($N$337),$B$258=1),$N$337,HLOOKUP(INDIRECT(ADDRESS(2,COLUMN())),OFFSET($BN$2,0,0,ROW()-1,60),ROW()-1,FALSE))</f>
        <v>65.41</v>
      </c>
      <c r="O88">
        <f ca="1">IF(AND(ISNUMBER($O$337),$B$258=1),$O$337,HLOOKUP(INDIRECT(ADDRESS(2,COLUMN())),OFFSET($BN$2,0,0,ROW()-1,60),ROW()-1,FALSE))</f>
        <v>103.45099999999999</v>
      </c>
      <c r="P88">
        <f ca="1">IF(AND(ISNUMBER($P$337),$B$258=1),$P$337,HLOOKUP(INDIRECT(ADDRESS(2,COLUMN())),OFFSET($BN$2,0,0,ROW()-1,60),ROW()-1,FALSE))</f>
        <v>100.35899999999999</v>
      </c>
      <c r="Q88">
        <f ca="1">IF(AND(ISNUMBER($Q$337),$B$258=1),$Q$337,HLOOKUP(INDIRECT(ADDRESS(2,COLUMN())),OFFSET($BN$2,0,0,ROW()-1,60),ROW()-1,FALSE))</f>
        <v>93.433000000000007</v>
      </c>
      <c r="R88">
        <f ca="1">IF(AND(ISNUMBER($R$337),$B$258=1),$R$337,HLOOKUP(INDIRECT(ADDRESS(2,COLUMN())),OFFSET($BN$2,0,0,ROW()-1,60),ROW()-1,FALSE))</f>
        <v>91.331999999999994</v>
      </c>
      <c r="S88">
        <f ca="1">IF(AND(ISNUMBER($S$337),$B$258=1),$S$337,HLOOKUP(INDIRECT(ADDRESS(2,COLUMN())),OFFSET($BN$2,0,0,ROW()-1,60),ROW()-1,FALSE))</f>
        <v>61.475000000000001</v>
      </c>
      <c r="T88">
        <f ca="1">IF(AND(ISNUMBER($T$337),$B$258=1),$T$337,HLOOKUP(INDIRECT(ADDRESS(2,COLUMN())),OFFSET($BN$2,0,0,ROW()-1,60),ROW()-1,FALSE))</f>
        <v>85.558999999999997</v>
      </c>
      <c r="U88">
        <f ca="1">IF(AND(ISNUMBER($U$337),$B$258=1),$U$337,HLOOKUP(INDIRECT(ADDRESS(2,COLUMN())),OFFSET($BN$2,0,0,ROW()-1,60),ROW()-1,FALSE))</f>
        <v>84.513000000000005</v>
      </c>
      <c r="V88">
        <f ca="1">IF(AND(ISNUMBER($V$337),$B$258=1),$V$337,HLOOKUP(INDIRECT(ADDRESS(2,COLUMN())),OFFSET($BN$2,0,0,ROW()-1,60),ROW()-1,FALSE))</f>
        <v>83.07</v>
      </c>
      <c r="W88">
        <f ca="1">IF(AND(ISNUMBER($W$337),$B$258=1),$W$337,HLOOKUP(INDIRECT(ADDRESS(2,COLUMN())),OFFSET($BN$2,0,0,ROW()-1,60),ROW()-1,FALSE))</f>
        <v>80.218000000000004</v>
      </c>
      <c r="X88">
        <f ca="1">IF(AND(ISNUMBER($X$337),$B$258=1),$X$337,HLOOKUP(INDIRECT(ADDRESS(2,COLUMN())),OFFSET($BN$2,0,0,ROW()-1,60),ROW()-1,FALSE))</f>
        <v>73.593999999999994</v>
      </c>
      <c r="Y88">
        <f ca="1">IF(AND(ISNUMBER($Y$337),$B$258=1),$Y$337,HLOOKUP(INDIRECT(ADDRESS(2,COLUMN())),OFFSET($BN$2,0,0,ROW()-1,60),ROW()-1,FALSE))</f>
        <v>71.022999999999996</v>
      </c>
      <c r="Z88">
        <f ca="1">IF(AND(ISNUMBER($Z$337),$B$258=1),$Z$337,HLOOKUP(INDIRECT(ADDRESS(2,COLUMN())),OFFSET($BN$2,0,0,ROW()-1,60),ROW()-1,FALSE))</f>
        <v>70.042000000000002</v>
      </c>
      <c r="AA88">
        <f ca="1">IF(AND(ISNUMBER($AA$337),$B$258=1),$AA$337,HLOOKUP(INDIRECT(ADDRESS(2,COLUMN())),OFFSET($BN$2,0,0,ROW()-1,60),ROW()-1,FALSE))</f>
        <v>70.905000000000001</v>
      </c>
      <c r="AB88">
        <f ca="1">IF(AND(ISNUMBER($AB$337),$B$258=1),$AB$337,HLOOKUP(INDIRECT(ADDRESS(2,COLUMN())),OFFSET($BN$2,0,0,ROW()-1,60),ROW()-1,FALSE))</f>
        <v>67.102000000000004</v>
      </c>
      <c r="AC88">
        <f ca="1">IF(AND(ISNUMBER($AC$337),$B$258=1),$AC$337,HLOOKUP(INDIRECT(ADDRESS(2,COLUMN())),OFFSET($BN$2,0,0,ROW()-1,60),ROW()-1,FALSE))</f>
        <v>69.947999999999993</v>
      </c>
      <c r="AD88">
        <f ca="1">IF(AND(ISNUMBER($AD$337),$B$258=1),$AD$337,HLOOKUP(INDIRECT(ADDRESS(2,COLUMN())),OFFSET($BN$2,0,0,ROW()-1,60),ROW()-1,FALSE))</f>
        <v>59.704000000000001</v>
      </c>
      <c r="AE88">
        <f ca="1">IF(AND(ISNUMBER($AE$337),$B$258=1),$AE$337,HLOOKUP(INDIRECT(ADDRESS(2,COLUMN())),OFFSET($BN$2,0,0,ROW()-1,60),ROW()-1,FALSE))</f>
        <v>67.804000000000002</v>
      </c>
      <c r="AF88">
        <f ca="1">IF(AND(ISNUMBER($AF$337),$B$258=1),$AF$337,HLOOKUP(INDIRECT(ADDRESS(2,COLUMN())),OFFSET($BN$2,0,0,ROW()-1,60),ROW()-1,FALSE))</f>
        <v>65.254000000000005</v>
      </c>
      <c r="AG88">
        <f ca="1">IF(AND(ISNUMBER($AG$337),$B$258=1),$AG$337,HLOOKUP(INDIRECT(ADDRESS(2,COLUMN())),OFFSET($BN$2,0,0,ROW()-1,60),ROW()-1,FALSE))</f>
        <v>65.921000000000006</v>
      </c>
      <c r="AH88">
        <f ca="1">IF(AND(ISNUMBER($AH$337),$B$258=1),$AH$337,HLOOKUP(INDIRECT(ADDRESS(2,COLUMN())),OFFSET($BN$2,0,0,ROW()-1,60),ROW()-1,FALSE))</f>
        <v>60.636000000000003</v>
      </c>
      <c r="AI88">
        <f ca="1">IF(AND(ISNUMBER($AI$337),$B$258=1),$AI$337,HLOOKUP(INDIRECT(ADDRESS(2,COLUMN())),OFFSET($BN$2,0,0,ROW()-1,60),ROW()-1,FALSE))</f>
        <v>58.473999999999997</v>
      </c>
      <c r="AJ88">
        <f ca="1">IF(AND(ISNUMBER($AJ$337),$B$258=1),$AJ$337,HLOOKUP(INDIRECT(ADDRESS(2,COLUMN())),OFFSET($BN$2,0,0,ROW()-1,60),ROW()-1,FALSE))</f>
        <v>53.862000000000002</v>
      </c>
      <c r="AK88">
        <f ca="1">IF(AND(ISNUMBER($AK$337),$B$258=1),$AK$337,HLOOKUP(INDIRECT(ADDRESS(2,COLUMN())),OFFSET($BN$2,0,0,ROW()-1,60),ROW()-1,FALSE))</f>
        <v>9.84</v>
      </c>
      <c r="AL88">
        <f ca="1">IF(AND(ISNUMBER($AL$337),$B$258=1),$AL$337,HLOOKUP(INDIRECT(ADDRESS(2,COLUMN())),OFFSET($BN$2,0,0,ROW()-1,60),ROW()-1,FALSE))</f>
        <v>53.98</v>
      </c>
      <c r="AM88">
        <f ca="1">IF(AND(ISNUMBER($AM$337),$B$258=1),$AM$337,HLOOKUP(INDIRECT(ADDRESS(2,COLUMN())),OFFSET($BN$2,0,0,ROW()-1,60),ROW()-1,FALSE))</f>
        <v>54.247</v>
      </c>
      <c r="AN88">
        <f ca="1">IF(AND(ISNUMBER($AN$337),$B$258=1),$AN$337,HLOOKUP(INDIRECT(ADDRESS(2,COLUMN())),OFFSET($BN$2,0,0,ROW()-1,60),ROW()-1,FALSE))</f>
        <v>50.609000000000002</v>
      </c>
      <c r="AO88">
        <f ca="1">IF(AND(ISNUMBER($AO$337),$B$258=1),$AO$337,HLOOKUP(INDIRECT(ADDRESS(2,COLUMN())),OFFSET($BN$2,0,0,ROW()-1,60),ROW()-1,FALSE))</f>
        <v>65.167000000000002</v>
      </c>
      <c r="AP88">
        <f ca="1">IF(AND(ISNUMBER($AP$337),$B$258=1),$AP$337,HLOOKUP(INDIRECT(ADDRESS(2,COLUMN())),OFFSET($BN$2,0,0,ROW()-1,60),ROW()-1,FALSE))</f>
        <v>61.329000000000001</v>
      </c>
      <c r="AQ88">
        <f ca="1">IF(AND(ISNUMBER($AQ$337),$B$258=1),$AQ$337,HLOOKUP(INDIRECT(ADDRESS(2,COLUMN())),OFFSET($BN$2,0,0,ROW()-1,60),ROW()-1,FALSE))</f>
        <v>47.19</v>
      </c>
      <c r="AR88">
        <f ca="1">IF(AND(ISNUMBER($AR$337),$B$258=1),$AR$337,HLOOKUP(INDIRECT(ADDRESS(2,COLUMN())),OFFSET($BN$2,0,0,ROW()-1,60),ROW()-1,FALSE))</f>
        <v>46.273000000000003</v>
      </c>
      <c r="AS88">
        <f ca="1">IF(AND(ISNUMBER($AS$337),$B$258=1),$AS$337,HLOOKUP(INDIRECT(ADDRESS(2,COLUMN())),OFFSET($BN$2,0,0,ROW()-1,60),ROW()-1,FALSE))</f>
        <v>45.777000000000001</v>
      </c>
      <c r="AT88">
        <f ca="1">IF(AND(ISNUMBER($AT$337),$B$258=1),$AT$337,HLOOKUP(INDIRECT(ADDRESS(2,COLUMN())),OFFSET($BN$2,0,0,ROW()-1,60),ROW()-1,FALSE))</f>
        <v>38.265999999999998</v>
      </c>
      <c r="AU88">
        <f ca="1">IF(AND(ISNUMBER($AU$337),$B$258=1),$AU$337,HLOOKUP(INDIRECT(ADDRESS(2,COLUMN())),OFFSET($BN$2,0,0,ROW()-1,60),ROW()-1,FALSE))</f>
        <v>46.323999999999998</v>
      </c>
      <c r="AV88">
        <f ca="1">IF(AND(ISNUMBER($AV$337),$B$258=1),$AV$337,HLOOKUP(INDIRECT(ADDRESS(2,COLUMN())),OFFSET($BN$2,0,0,ROW()-1,60),ROW()-1,FALSE))</f>
        <v>42.722999999999999</v>
      </c>
      <c r="AW88">
        <f ca="1">IF(AND(ISNUMBER($AW$337),$B$258=1),$AW$337,HLOOKUP(INDIRECT(ADDRESS(2,COLUMN())),OFFSET($BN$2,0,0,ROW()-1,60),ROW()-1,FALSE))</f>
        <v>41.606999999999999</v>
      </c>
      <c r="AX88">
        <f ca="1">IF(AND(ISNUMBER($AX$337),$B$258=1),$AX$337,HLOOKUP(INDIRECT(ADDRESS(2,COLUMN())),OFFSET($BN$2,0,0,ROW()-1,60),ROW()-1,FALSE))</f>
        <v>37.545999999999999</v>
      </c>
      <c r="AY88">
        <f ca="1">IF(AND(ISNUMBER($AY$337),$B$258=1),$AY$337,HLOOKUP(INDIRECT(ADDRESS(2,COLUMN())),OFFSET($BN$2,0,0,ROW()-1,60),ROW()-1,FALSE))</f>
        <v>39.054000000000002</v>
      </c>
      <c r="AZ88">
        <f ca="1">IF(AND(ISNUMBER($AZ$337),$B$258=1),$AZ$337,HLOOKUP(INDIRECT(ADDRESS(2,COLUMN())),OFFSET($BN$2,0,0,ROW()-1,60),ROW()-1,FALSE))</f>
        <v>35.229999999999997</v>
      </c>
      <c r="BA88">
        <f ca="1">IF(AND(ISNUMBER($BA$337),$B$258=1),$BA$337,HLOOKUP(INDIRECT(ADDRESS(2,COLUMN())),OFFSET($BN$2,0,0,ROW()-1,60),ROW()-1,FALSE))</f>
        <v>29.227</v>
      </c>
      <c r="BB88">
        <f ca="1">IF(AND(ISNUMBER($BB$337),$B$258=1),$BB$337,HLOOKUP(INDIRECT(ADDRESS(2,COLUMN())),OFFSET($BN$2,0,0,ROW()-1,60),ROW()-1,FALSE))</f>
        <v>28.154</v>
      </c>
      <c r="BC88">
        <f ca="1">IF(AND(ISNUMBER($BC$337),$B$258=1),$BC$337,HLOOKUP(INDIRECT(ADDRESS(2,COLUMN())),OFFSET($BN$2,0,0,ROW()-1,60),ROW()-1,FALSE))</f>
        <v>27.591999999999999</v>
      </c>
      <c r="BD88">
        <f ca="1">IF(AND(ISNUMBER($BD$337),$B$258=1),$BD$337,HLOOKUP(INDIRECT(ADDRESS(2,COLUMN())),OFFSET($BN$2,0,0,ROW()-1,60),ROW()-1,FALSE))</f>
        <v>25.969000000000001</v>
      </c>
      <c r="BE88">
        <f ca="1">IF(AND(ISNUMBER($BE$337),$B$258=1),$BE$337,HLOOKUP(INDIRECT(ADDRESS(2,COLUMN())),OFFSET($BN$2,0,0,ROW()-1,60),ROW()-1,FALSE))</f>
        <v>25.501000000000001</v>
      </c>
      <c r="BF88">
        <f ca="1">IF(AND(ISNUMBER($BF$337),$B$258=1),$BF$337,HLOOKUP(INDIRECT(ADDRESS(2,COLUMN())),OFFSET($BN$2,0,0,ROW()-1,60),ROW()-1,FALSE))</f>
        <v>23.608000000000001</v>
      </c>
      <c r="BG88">
        <f ca="1">IF(AND(ISNUMBER($BG$337),$B$258=1),$BG$337,HLOOKUP(INDIRECT(ADDRESS(2,COLUMN())),OFFSET($BN$2,0,0,ROW()-1,60),ROW()-1,FALSE))</f>
        <v>23.391999999999999</v>
      </c>
      <c r="BH88">
        <f ca="1">IF(AND(ISNUMBER($BH$337),$B$258=1),$BH$337,HLOOKUP(INDIRECT(ADDRESS(2,COLUMN())),OFFSET($BN$2,0,0,ROW()-1,60),ROW()-1,FALSE))</f>
        <v>21.943999999999999</v>
      </c>
      <c r="BI88">
        <f ca="1">IF(AND(ISNUMBER($BI$337),$B$258=1),$BI$337,HLOOKUP(INDIRECT(ADDRESS(2,COLUMN())),OFFSET($BN$2,0,0,ROW()-1,60),ROW()-1,FALSE))</f>
        <v>19.815000000000001</v>
      </c>
      <c r="BJ88">
        <f ca="1">IF(AND(ISNUMBER($BJ$337),$B$258=1),$BJ$337,HLOOKUP(INDIRECT(ADDRESS(2,COLUMN())),OFFSET($BN$2,0,0,ROW()-1,60),ROW()-1,FALSE))</f>
        <v>21.469000000000001</v>
      </c>
      <c r="BK88">
        <f ca="1">IF(AND(ISNUMBER($BK$337),$B$258=1),$BK$337,HLOOKUP(INDIRECT(ADDRESS(2,COLUMN())),OFFSET($BN$2,0,0,ROW()-1,60),ROW()-1,FALSE))</f>
        <v>21.03</v>
      </c>
      <c r="BL88">
        <f ca="1">IF(AND(ISNUMBER($BL$337),$B$258=1),$BL$337,HLOOKUP(INDIRECT(ADDRESS(2,COLUMN())),OFFSET($BN$2,0,0,ROW()-1,60),ROW()-1,FALSE))</f>
        <v>60.33</v>
      </c>
      <c r="BM88">
        <f ca="1">IF(AND(ISNUMBER($BM$337),$B$258=1),$BM$337,HLOOKUP(INDIRECT(ADDRESS(2,COLUMN())),OFFSET($BN$2,0,0,ROW()-1,60),ROW()-1,FALSE))</f>
        <v>20.084</v>
      </c>
      <c r="BN88" t="str">
        <f>""</f>
        <v/>
      </c>
      <c r="BO88">
        <f>140.466</f>
        <v>140.46600000000001</v>
      </c>
      <c r="BP88">
        <f>140.773</f>
        <v>140.773</v>
      </c>
      <c r="BQ88">
        <f>131.725</f>
        <v>131.72499999999999</v>
      </c>
      <c r="BR88">
        <f>118.783</f>
        <v>118.783</v>
      </c>
      <c r="BS88">
        <f>67.943</f>
        <v>67.942999999999998</v>
      </c>
      <c r="BT88">
        <f>86.784</f>
        <v>86.784000000000006</v>
      </c>
      <c r="BU88">
        <f>29.341</f>
        <v>29.341000000000001</v>
      </c>
      <c r="BV88">
        <f>65.41</f>
        <v>65.41</v>
      </c>
      <c r="BW88">
        <f>103.451</f>
        <v>103.45099999999999</v>
      </c>
      <c r="BX88">
        <f>100.359</f>
        <v>100.35899999999999</v>
      </c>
      <c r="BY88">
        <f>93.433</f>
        <v>93.433000000000007</v>
      </c>
      <c r="BZ88">
        <f>91.332</f>
        <v>91.331999999999994</v>
      </c>
      <c r="CA88">
        <f>61.475</f>
        <v>61.475000000000001</v>
      </c>
      <c r="CB88">
        <f>85.559</f>
        <v>85.558999999999997</v>
      </c>
      <c r="CC88">
        <f>84.513</f>
        <v>84.513000000000005</v>
      </c>
      <c r="CD88">
        <f>83.07</f>
        <v>83.07</v>
      </c>
      <c r="CE88">
        <f>80.218</f>
        <v>80.218000000000004</v>
      </c>
      <c r="CF88">
        <f>73.594</f>
        <v>73.593999999999994</v>
      </c>
      <c r="CG88">
        <f>71.023</f>
        <v>71.022999999999996</v>
      </c>
      <c r="CH88">
        <f>70.042</f>
        <v>70.042000000000002</v>
      </c>
      <c r="CI88">
        <f>70.905</f>
        <v>70.905000000000001</v>
      </c>
      <c r="CJ88">
        <f>67.102</f>
        <v>67.102000000000004</v>
      </c>
      <c r="CK88">
        <f>69.948</f>
        <v>69.947999999999993</v>
      </c>
      <c r="CL88">
        <f>59.704</f>
        <v>59.704000000000001</v>
      </c>
      <c r="CM88">
        <f>67.804</f>
        <v>67.804000000000002</v>
      </c>
      <c r="CN88">
        <f>65.254</f>
        <v>65.254000000000005</v>
      </c>
      <c r="CO88">
        <f>65.921</f>
        <v>65.921000000000006</v>
      </c>
      <c r="CP88">
        <f>60.636</f>
        <v>60.636000000000003</v>
      </c>
      <c r="CQ88">
        <f>58.474</f>
        <v>58.473999999999997</v>
      </c>
      <c r="CR88">
        <f>53.862</f>
        <v>53.862000000000002</v>
      </c>
      <c r="CS88">
        <f>9.84</f>
        <v>9.84</v>
      </c>
      <c r="CT88">
        <f>53.98</f>
        <v>53.98</v>
      </c>
      <c r="CU88">
        <f>54.247</f>
        <v>54.247</v>
      </c>
      <c r="CV88">
        <f>50.609</f>
        <v>50.609000000000002</v>
      </c>
      <c r="CW88">
        <f>65.167</f>
        <v>65.167000000000002</v>
      </c>
      <c r="CX88">
        <f>61.329</f>
        <v>61.329000000000001</v>
      </c>
      <c r="CY88">
        <f>47.19</f>
        <v>47.19</v>
      </c>
      <c r="CZ88">
        <f>46.273</f>
        <v>46.273000000000003</v>
      </c>
      <c r="DA88">
        <f>45.777</f>
        <v>45.777000000000001</v>
      </c>
      <c r="DB88">
        <f>38.266</f>
        <v>38.265999999999998</v>
      </c>
      <c r="DC88">
        <f>46.324</f>
        <v>46.323999999999998</v>
      </c>
      <c r="DD88">
        <f>42.723</f>
        <v>42.722999999999999</v>
      </c>
      <c r="DE88">
        <f>41.607</f>
        <v>41.606999999999999</v>
      </c>
      <c r="DF88">
        <f>37.546</f>
        <v>37.545999999999999</v>
      </c>
      <c r="DG88">
        <f>39.054</f>
        <v>39.054000000000002</v>
      </c>
      <c r="DH88">
        <f>35.23</f>
        <v>35.229999999999997</v>
      </c>
      <c r="DI88">
        <f>29.227</f>
        <v>29.227</v>
      </c>
      <c r="DJ88">
        <f>28.154</f>
        <v>28.154</v>
      </c>
      <c r="DK88">
        <f>27.592</f>
        <v>27.591999999999999</v>
      </c>
      <c r="DL88">
        <f>25.969</f>
        <v>25.969000000000001</v>
      </c>
      <c r="DM88">
        <f>25.501</f>
        <v>25.501000000000001</v>
      </c>
      <c r="DN88">
        <f>23.608</f>
        <v>23.608000000000001</v>
      </c>
      <c r="DO88">
        <f>23.392</f>
        <v>23.391999999999999</v>
      </c>
      <c r="DP88">
        <f>21.944</f>
        <v>21.943999999999999</v>
      </c>
      <c r="DQ88">
        <f>19.815</f>
        <v>19.815000000000001</v>
      </c>
      <c r="DR88">
        <f>21.469</f>
        <v>21.469000000000001</v>
      </c>
      <c r="DS88">
        <f>21.03</f>
        <v>21.03</v>
      </c>
      <c r="DT88">
        <f>60.33</f>
        <v>60.33</v>
      </c>
      <c r="DU88">
        <f>20.084</f>
        <v>20.084</v>
      </c>
    </row>
    <row r="89" spans="1:125">
      <c r="A89" t="str">
        <f>"    Care Capital Properties Inc"</f>
        <v xml:space="preserve">    Care Capital Properties Inc</v>
      </c>
      <c r="B89" t="str">
        <f>"CCP US Equity"</f>
        <v>CCP US Equity</v>
      </c>
      <c r="C89" t="str">
        <f t="shared" si="21"/>
        <v>CF039</v>
      </c>
      <c r="D89" t="str">
        <f t="shared" si="22"/>
        <v>CF_FFO</v>
      </c>
      <c r="E89" t="str">
        <f t="shared" si="23"/>
        <v>动态</v>
      </c>
      <c r="F89" t="str">
        <f ca="1">IF(AND(ISNUMBER($F$338),$B$258=1),$F$338,HLOOKUP(INDIRECT(ADDRESS(2,COLUMN())),OFFSET($BN$2,0,0,ROW()-1,60),ROW()-1,FALSE))</f>
        <v/>
      </c>
      <c r="G89" t="str">
        <f ca="1">IF(AND(ISNUMBER($G$338),$B$258=1),$G$338,HLOOKUP(INDIRECT(ADDRESS(2,COLUMN())),OFFSET($BN$2,0,0,ROW()-1,60),ROW()-1,FALSE))</f>
        <v/>
      </c>
      <c r="H89" t="str">
        <f ca="1">IF(AND(ISNUMBER($H$338),$B$258=1),$H$338,HLOOKUP(INDIRECT(ADDRESS(2,COLUMN())),OFFSET($BN$2,0,0,ROW()-1,60),ROW()-1,FALSE))</f>
        <v/>
      </c>
      <c r="I89">
        <f ca="1">IF(AND(ISNUMBER($I$338),$B$258=1),$I$338,HLOOKUP(INDIRECT(ADDRESS(2,COLUMN())),OFFSET($BN$2,0,0,ROW()-1,60),ROW()-1,FALSE))</f>
        <v>78.474000000000004</v>
      </c>
      <c r="J89">
        <f ca="1">IF(AND(ISNUMBER($J$338),$B$258=1),$J$338,HLOOKUP(INDIRECT(ADDRESS(2,COLUMN())),OFFSET($BN$2,0,0,ROW()-1,60),ROW()-1,FALSE))</f>
        <v>57.332999999999998</v>
      </c>
      <c r="K89">
        <f ca="1">IF(AND(ISNUMBER($K$338),$B$258=1),$K$338,HLOOKUP(INDIRECT(ADDRESS(2,COLUMN())),OFFSET($BN$2,0,0,ROW()-1,60),ROW()-1,FALSE))</f>
        <v>62.061999999999998</v>
      </c>
      <c r="L89">
        <f ca="1">IF(AND(ISNUMBER($L$338),$B$258=1),$L$338,HLOOKUP(INDIRECT(ADDRESS(2,COLUMN())),OFFSET($BN$2,0,0,ROW()-1,60),ROW()-1,FALSE))</f>
        <v>54.533999999999999</v>
      </c>
      <c r="M89">
        <f ca="1">IF(AND(ISNUMBER($M$338),$B$258=1),$M$338,HLOOKUP(INDIRECT(ADDRESS(2,COLUMN())),OFFSET($BN$2,0,0,ROW()-1,60),ROW()-1,FALSE))</f>
        <v>64.27</v>
      </c>
      <c r="N89">
        <f ca="1">IF(AND(ISNUMBER($N$338),$B$258=1),$N$338,HLOOKUP(INDIRECT(ADDRESS(2,COLUMN())),OFFSET($BN$2,0,0,ROW()-1,60),ROW()-1,FALSE))</f>
        <v>63.804000000000002</v>
      </c>
      <c r="O89">
        <f ca="1">IF(AND(ISNUMBER($O$338),$B$258=1),$O$338,HLOOKUP(INDIRECT(ADDRESS(2,COLUMN())),OFFSET($BN$2,0,0,ROW()-1,60),ROW()-1,FALSE))</f>
        <v>69.317999999999998</v>
      </c>
      <c r="P89">
        <f ca="1">IF(AND(ISNUMBER($P$338),$B$258=1),$P$338,HLOOKUP(INDIRECT(ADDRESS(2,COLUMN())),OFFSET($BN$2,0,0,ROW()-1,60),ROW()-1,FALSE))</f>
        <v>66.608999999999995</v>
      </c>
      <c r="Q89">
        <f ca="1">IF(AND(ISNUMBER($Q$338),$B$258=1),$Q$338,HLOOKUP(INDIRECT(ADDRESS(2,COLUMN())),OFFSET($BN$2,0,0,ROW()-1,60),ROW()-1,FALSE))</f>
        <v>72.415000000000006</v>
      </c>
      <c r="R89" t="str">
        <f ca="1">IF(AND(ISNUMBER($R$338),$B$258=1),$R$338,HLOOKUP(INDIRECT(ADDRESS(2,COLUMN())),OFFSET($BN$2,0,0,ROW()-1,60),ROW()-1,FALSE))</f>
        <v/>
      </c>
      <c r="S89" t="str">
        <f ca="1">IF(AND(ISNUMBER($S$338),$B$258=1),$S$338,HLOOKUP(INDIRECT(ADDRESS(2,COLUMN())),OFFSET($BN$2,0,0,ROW()-1,60),ROW()-1,FALSE))</f>
        <v/>
      </c>
      <c r="T89" t="str">
        <f ca="1">IF(AND(ISNUMBER($T$338),$B$258=1),$T$338,HLOOKUP(INDIRECT(ADDRESS(2,COLUMN())),OFFSET($BN$2,0,0,ROW()-1,60),ROW()-1,FALSE))</f>
        <v/>
      </c>
      <c r="U89" t="str">
        <f ca="1">IF(AND(ISNUMBER($U$338),$B$258=1),$U$338,HLOOKUP(INDIRECT(ADDRESS(2,COLUMN())),OFFSET($BN$2,0,0,ROW()-1,60),ROW()-1,FALSE))</f>
        <v/>
      </c>
      <c r="V89" t="str">
        <f ca="1">IF(AND(ISNUMBER($V$338),$B$258=1),$V$338,HLOOKUP(INDIRECT(ADDRESS(2,COLUMN())),OFFSET($BN$2,0,0,ROW()-1,60),ROW()-1,FALSE))</f>
        <v/>
      </c>
      <c r="W89" t="str">
        <f ca="1">IF(AND(ISNUMBER($W$338),$B$258=1),$W$338,HLOOKUP(INDIRECT(ADDRESS(2,COLUMN())),OFFSET($BN$2,0,0,ROW()-1,60),ROW()-1,FALSE))</f>
        <v/>
      </c>
      <c r="X89" t="str">
        <f ca="1">IF(AND(ISNUMBER($X$338),$B$258=1),$X$338,HLOOKUP(INDIRECT(ADDRESS(2,COLUMN())),OFFSET($BN$2,0,0,ROW()-1,60),ROW()-1,FALSE))</f>
        <v/>
      </c>
      <c r="Y89" t="str">
        <f ca="1">IF(AND(ISNUMBER($Y$338),$B$258=1),$Y$338,HLOOKUP(INDIRECT(ADDRESS(2,COLUMN())),OFFSET($BN$2,0,0,ROW()-1,60),ROW()-1,FALSE))</f>
        <v/>
      </c>
      <c r="Z89" t="str">
        <f ca="1">IF(AND(ISNUMBER($Z$338),$B$258=1),$Z$338,HLOOKUP(INDIRECT(ADDRESS(2,COLUMN())),OFFSET($BN$2,0,0,ROW()-1,60),ROW()-1,FALSE))</f>
        <v/>
      </c>
      <c r="AA89" t="str">
        <f ca="1">IF(AND(ISNUMBER($AA$338),$B$258=1),$AA$338,HLOOKUP(INDIRECT(ADDRESS(2,COLUMN())),OFFSET($BN$2,0,0,ROW()-1,60),ROW()-1,FALSE))</f>
        <v/>
      </c>
      <c r="AB89" t="str">
        <f ca="1">IF(AND(ISNUMBER($AB$338),$B$258=1),$AB$338,HLOOKUP(INDIRECT(ADDRESS(2,COLUMN())),OFFSET($BN$2,0,0,ROW()-1,60),ROW()-1,FALSE))</f>
        <v/>
      </c>
      <c r="AC89" t="str">
        <f ca="1">IF(AND(ISNUMBER($AC$338),$B$258=1),$AC$338,HLOOKUP(INDIRECT(ADDRESS(2,COLUMN())),OFFSET($BN$2,0,0,ROW()-1,60),ROW()-1,FALSE))</f>
        <v/>
      </c>
      <c r="AD89" t="str">
        <f ca="1">IF(AND(ISNUMBER($AD$338),$B$258=1),$AD$338,HLOOKUP(INDIRECT(ADDRESS(2,COLUMN())),OFFSET($BN$2,0,0,ROW()-1,60),ROW()-1,FALSE))</f>
        <v/>
      </c>
      <c r="AE89" t="str">
        <f ca="1">IF(AND(ISNUMBER($AE$338),$B$258=1),$AE$338,HLOOKUP(INDIRECT(ADDRESS(2,COLUMN())),OFFSET($BN$2,0,0,ROW()-1,60),ROW()-1,FALSE))</f>
        <v/>
      </c>
      <c r="AF89" t="str">
        <f ca="1">IF(AND(ISNUMBER($AF$338),$B$258=1),$AF$338,HLOOKUP(INDIRECT(ADDRESS(2,COLUMN())),OFFSET($BN$2,0,0,ROW()-1,60),ROW()-1,FALSE))</f>
        <v/>
      </c>
      <c r="AG89" t="str">
        <f ca="1">IF(AND(ISNUMBER($AG$338),$B$258=1),$AG$338,HLOOKUP(INDIRECT(ADDRESS(2,COLUMN())),OFFSET($BN$2,0,0,ROW()-1,60),ROW()-1,FALSE))</f>
        <v/>
      </c>
      <c r="AH89" t="str">
        <f ca="1">IF(AND(ISNUMBER($AH$338),$B$258=1),$AH$338,HLOOKUP(INDIRECT(ADDRESS(2,COLUMN())),OFFSET($BN$2,0,0,ROW()-1,60),ROW()-1,FALSE))</f>
        <v/>
      </c>
      <c r="AI89" t="str">
        <f ca="1">IF(AND(ISNUMBER($AI$338),$B$258=1),$AI$338,HLOOKUP(INDIRECT(ADDRESS(2,COLUMN())),OFFSET($BN$2,0,0,ROW()-1,60),ROW()-1,FALSE))</f>
        <v/>
      </c>
      <c r="AJ89" t="str">
        <f ca="1">IF(AND(ISNUMBER($AJ$338),$B$258=1),$AJ$338,HLOOKUP(INDIRECT(ADDRESS(2,COLUMN())),OFFSET($BN$2,0,0,ROW()-1,60),ROW()-1,FALSE))</f>
        <v/>
      </c>
      <c r="AK89" t="str">
        <f ca="1">IF(AND(ISNUMBER($AK$338),$B$258=1),$AK$338,HLOOKUP(INDIRECT(ADDRESS(2,COLUMN())),OFFSET($BN$2,0,0,ROW()-1,60),ROW()-1,FALSE))</f>
        <v/>
      </c>
      <c r="AL89" t="str">
        <f ca="1">IF(AND(ISNUMBER($AL$338),$B$258=1),$AL$338,HLOOKUP(INDIRECT(ADDRESS(2,COLUMN())),OFFSET($BN$2,0,0,ROW()-1,60),ROW()-1,FALSE))</f>
        <v/>
      </c>
      <c r="AM89" t="str">
        <f ca="1">IF(AND(ISNUMBER($AM$338),$B$258=1),$AM$338,HLOOKUP(INDIRECT(ADDRESS(2,COLUMN())),OFFSET($BN$2,0,0,ROW()-1,60),ROW()-1,FALSE))</f>
        <v/>
      </c>
      <c r="AN89" t="str">
        <f ca="1">IF(AND(ISNUMBER($AN$338),$B$258=1),$AN$338,HLOOKUP(INDIRECT(ADDRESS(2,COLUMN())),OFFSET($BN$2,0,0,ROW()-1,60),ROW()-1,FALSE))</f>
        <v/>
      </c>
      <c r="AO89" t="str">
        <f ca="1">IF(AND(ISNUMBER($AO$338),$B$258=1),$AO$338,HLOOKUP(INDIRECT(ADDRESS(2,COLUMN())),OFFSET($BN$2,0,0,ROW()-1,60),ROW()-1,FALSE))</f>
        <v/>
      </c>
      <c r="AP89" t="str">
        <f ca="1">IF(AND(ISNUMBER($AP$338),$B$258=1),$AP$338,HLOOKUP(INDIRECT(ADDRESS(2,COLUMN())),OFFSET($BN$2,0,0,ROW()-1,60),ROW()-1,FALSE))</f>
        <v/>
      </c>
      <c r="AQ89" t="str">
        <f ca="1">IF(AND(ISNUMBER($AQ$338),$B$258=1),$AQ$338,HLOOKUP(INDIRECT(ADDRESS(2,COLUMN())),OFFSET($BN$2,0,0,ROW()-1,60),ROW()-1,FALSE))</f>
        <v/>
      </c>
      <c r="AR89" t="str">
        <f ca="1">IF(AND(ISNUMBER($AR$338),$B$258=1),$AR$338,HLOOKUP(INDIRECT(ADDRESS(2,COLUMN())),OFFSET($BN$2,0,0,ROW()-1,60),ROW()-1,FALSE))</f>
        <v/>
      </c>
      <c r="AS89" t="str">
        <f ca="1">IF(AND(ISNUMBER($AS$338),$B$258=1),$AS$338,HLOOKUP(INDIRECT(ADDRESS(2,COLUMN())),OFFSET($BN$2,0,0,ROW()-1,60),ROW()-1,FALSE))</f>
        <v/>
      </c>
      <c r="AT89" t="str">
        <f ca="1">IF(AND(ISNUMBER($AT$338),$B$258=1),$AT$338,HLOOKUP(INDIRECT(ADDRESS(2,COLUMN())),OFFSET($BN$2,0,0,ROW()-1,60),ROW()-1,FALSE))</f>
        <v/>
      </c>
      <c r="AU89" t="str">
        <f ca="1">IF(AND(ISNUMBER($AU$338),$B$258=1),$AU$338,HLOOKUP(INDIRECT(ADDRESS(2,COLUMN())),OFFSET($BN$2,0,0,ROW()-1,60),ROW()-1,FALSE))</f>
        <v/>
      </c>
      <c r="AV89" t="str">
        <f ca="1">IF(AND(ISNUMBER($AV$338),$B$258=1),$AV$338,HLOOKUP(INDIRECT(ADDRESS(2,COLUMN())),OFFSET($BN$2,0,0,ROW()-1,60),ROW()-1,FALSE))</f>
        <v/>
      </c>
      <c r="AW89" t="str">
        <f ca="1">IF(AND(ISNUMBER($AW$338),$B$258=1),$AW$338,HLOOKUP(INDIRECT(ADDRESS(2,COLUMN())),OFFSET($BN$2,0,0,ROW()-1,60),ROW()-1,FALSE))</f>
        <v/>
      </c>
      <c r="AX89" t="str">
        <f ca="1">IF(AND(ISNUMBER($AX$338),$B$258=1),$AX$338,HLOOKUP(INDIRECT(ADDRESS(2,COLUMN())),OFFSET($BN$2,0,0,ROW()-1,60),ROW()-1,FALSE))</f>
        <v/>
      </c>
      <c r="AY89" t="str">
        <f ca="1">IF(AND(ISNUMBER($AY$338),$B$258=1),$AY$338,HLOOKUP(INDIRECT(ADDRESS(2,COLUMN())),OFFSET($BN$2,0,0,ROW()-1,60),ROW()-1,FALSE))</f>
        <v/>
      </c>
      <c r="AZ89" t="str">
        <f ca="1">IF(AND(ISNUMBER($AZ$338),$B$258=1),$AZ$338,HLOOKUP(INDIRECT(ADDRESS(2,COLUMN())),OFFSET($BN$2,0,0,ROW()-1,60),ROW()-1,FALSE))</f>
        <v/>
      </c>
      <c r="BA89" t="str">
        <f ca="1">IF(AND(ISNUMBER($BA$338),$B$258=1),$BA$338,HLOOKUP(INDIRECT(ADDRESS(2,COLUMN())),OFFSET($BN$2,0,0,ROW()-1,60),ROW()-1,FALSE))</f>
        <v/>
      </c>
      <c r="BB89" t="str">
        <f ca="1">IF(AND(ISNUMBER($BB$338),$B$258=1),$BB$338,HLOOKUP(INDIRECT(ADDRESS(2,COLUMN())),OFFSET($BN$2,0,0,ROW()-1,60),ROW()-1,FALSE))</f>
        <v/>
      </c>
      <c r="BC89" t="str">
        <f ca="1">IF(AND(ISNUMBER($BC$338),$B$258=1),$BC$338,HLOOKUP(INDIRECT(ADDRESS(2,COLUMN())),OFFSET($BN$2,0,0,ROW()-1,60),ROW()-1,FALSE))</f>
        <v/>
      </c>
      <c r="BD89" t="str">
        <f ca="1">IF(AND(ISNUMBER($BD$338),$B$258=1),$BD$338,HLOOKUP(INDIRECT(ADDRESS(2,COLUMN())),OFFSET($BN$2,0,0,ROW()-1,60),ROW()-1,FALSE))</f>
        <v/>
      </c>
      <c r="BE89" t="str">
        <f ca="1">IF(AND(ISNUMBER($BE$338),$B$258=1),$BE$338,HLOOKUP(INDIRECT(ADDRESS(2,COLUMN())),OFFSET($BN$2,0,0,ROW()-1,60),ROW()-1,FALSE))</f>
        <v/>
      </c>
      <c r="BF89" t="str">
        <f ca="1">IF(AND(ISNUMBER($BF$338),$B$258=1),$BF$338,HLOOKUP(INDIRECT(ADDRESS(2,COLUMN())),OFFSET($BN$2,0,0,ROW()-1,60),ROW()-1,FALSE))</f>
        <v/>
      </c>
      <c r="BG89" t="str">
        <f ca="1">IF(AND(ISNUMBER($BG$338),$B$258=1),$BG$338,HLOOKUP(INDIRECT(ADDRESS(2,COLUMN())),OFFSET($BN$2,0,0,ROW()-1,60),ROW()-1,FALSE))</f>
        <v/>
      </c>
      <c r="BH89" t="str">
        <f ca="1">IF(AND(ISNUMBER($BH$338),$B$258=1),$BH$338,HLOOKUP(INDIRECT(ADDRESS(2,COLUMN())),OFFSET($BN$2,0,0,ROW()-1,60),ROW()-1,FALSE))</f>
        <v/>
      </c>
      <c r="BI89" t="str">
        <f ca="1">IF(AND(ISNUMBER($BI$338),$B$258=1),$BI$338,HLOOKUP(INDIRECT(ADDRESS(2,COLUMN())),OFFSET($BN$2,0,0,ROW()-1,60),ROW()-1,FALSE))</f>
        <v/>
      </c>
      <c r="BJ89" t="str">
        <f ca="1">IF(AND(ISNUMBER($BJ$338),$B$258=1),$BJ$338,HLOOKUP(INDIRECT(ADDRESS(2,COLUMN())),OFFSET($BN$2,0,0,ROW()-1,60),ROW()-1,FALSE))</f>
        <v/>
      </c>
      <c r="BK89" t="str">
        <f ca="1">IF(AND(ISNUMBER($BK$338),$B$258=1),$BK$338,HLOOKUP(INDIRECT(ADDRESS(2,COLUMN())),OFFSET($BN$2,0,0,ROW()-1,60),ROW()-1,FALSE))</f>
        <v/>
      </c>
      <c r="BL89" t="str">
        <f ca="1">IF(AND(ISNUMBER($BL$338),$B$258=1),$BL$338,HLOOKUP(INDIRECT(ADDRESS(2,COLUMN())),OFFSET($BN$2,0,0,ROW()-1,60),ROW()-1,FALSE))</f>
        <v/>
      </c>
      <c r="BM89" t="str">
        <f ca="1">IF(AND(ISNUMBER($BM$338),$B$258=1),$BM$338,HLOOKUP(INDIRECT(ADDRESS(2,COLUMN())),OFFSET($BN$2,0,0,ROW()-1,60),ROW()-1,FALSE))</f>
        <v/>
      </c>
      <c r="BN89" t="str">
        <f>""</f>
        <v/>
      </c>
      <c r="BO89" t="str">
        <f>""</f>
        <v/>
      </c>
      <c r="BP89" t="str">
        <f>""</f>
        <v/>
      </c>
      <c r="BQ89">
        <f>78.474</f>
        <v>78.474000000000004</v>
      </c>
      <c r="BR89">
        <f>57.333</f>
        <v>57.332999999999998</v>
      </c>
      <c r="BS89">
        <f>62.062</f>
        <v>62.061999999999998</v>
      </c>
      <c r="BT89">
        <f>54.534</f>
        <v>54.533999999999999</v>
      </c>
      <c r="BU89">
        <f>64.27</f>
        <v>64.27</v>
      </c>
      <c r="BV89">
        <f>63.804</f>
        <v>63.804000000000002</v>
      </c>
      <c r="BW89">
        <f>69.318</f>
        <v>69.317999999999998</v>
      </c>
      <c r="BX89">
        <f>66.609</f>
        <v>66.608999999999995</v>
      </c>
      <c r="BY89">
        <f>72.415</f>
        <v>72.415000000000006</v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  <c r="CH89" t="str">
        <f>""</f>
        <v/>
      </c>
      <c r="CI89" t="str">
        <f>""</f>
        <v/>
      </c>
      <c r="CJ89" t="str">
        <f>""</f>
        <v/>
      </c>
      <c r="CK89" t="str">
        <f>""</f>
        <v/>
      </c>
      <c r="CL89" t="str">
        <f>""</f>
        <v/>
      </c>
      <c r="CM89" t="str">
        <f>""</f>
        <v/>
      </c>
      <c r="CN89" t="str">
        <f>""</f>
        <v/>
      </c>
      <c r="CO89" t="str">
        <f>""</f>
        <v/>
      </c>
      <c r="CP89" t="str">
        <f>""</f>
        <v/>
      </c>
      <c r="CQ89" t="str">
        <f>""</f>
        <v/>
      </c>
      <c r="CR89" t="str">
        <f>""</f>
        <v/>
      </c>
      <c r="CS89" t="str">
        <f>""</f>
        <v/>
      </c>
      <c r="CT89" t="str">
        <f>""</f>
        <v/>
      </c>
      <c r="CU89" t="str">
        <f>""</f>
        <v/>
      </c>
      <c r="CV89" t="str">
        <f>""</f>
        <v/>
      </c>
      <c r="CW89" t="str">
        <f>""</f>
        <v/>
      </c>
      <c r="CX89" t="str">
        <f>""</f>
        <v/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 t="str">
        <f>""</f>
        <v/>
      </c>
      <c r="DD89" t="str">
        <f>""</f>
        <v/>
      </c>
      <c r="DE89" t="str">
        <f>""</f>
        <v/>
      </c>
      <c r="DF89" t="str">
        <f>""</f>
        <v/>
      </c>
      <c r="DG89" t="str">
        <f>""</f>
        <v/>
      </c>
      <c r="DH89" t="str">
        <f>""</f>
        <v/>
      </c>
      <c r="DI89" t="str">
        <f>""</f>
        <v/>
      </c>
      <c r="DJ89" t="str">
        <f>""</f>
        <v/>
      </c>
      <c r="DK89" t="str">
        <f>""</f>
        <v/>
      </c>
      <c r="DL89" t="str">
        <f>""</f>
        <v/>
      </c>
      <c r="DM89" t="str">
        <f>""</f>
        <v/>
      </c>
      <c r="DN89" t="str">
        <f>""</f>
        <v/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  <c r="DT89" t="str">
        <f>""</f>
        <v/>
      </c>
      <c r="DU89" t="str">
        <f>""</f>
        <v/>
      </c>
    </row>
    <row r="90" spans="1:125">
      <c r="A90" t="str">
        <f>"    HCP Inc"</f>
        <v xml:space="preserve">    HCP Inc</v>
      </c>
      <c r="B90" t="str">
        <f>"HCP US Equity"</f>
        <v>HCP US Equity</v>
      </c>
      <c r="C90" t="str">
        <f t="shared" si="21"/>
        <v>CF039</v>
      </c>
      <c r="D90" t="str">
        <f t="shared" si="22"/>
        <v>CF_FFO</v>
      </c>
      <c r="E90" t="str">
        <f t="shared" si="23"/>
        <v>动态</v>
      </c>
      <c r="F90" t="str">
        <f ca="1">IF(AND(ISNUMBER($F$339),$B$258=1),$F$339,HLOOKUP(INDIRECT(ADDRESS(2,COLUMN())),OFFSET($BN$2,0,0,ROW()-1,60),ROW()-1,FALSE))</f>
        <v/>
      </c>
      <c r="G90">
        <f ca="1">IF(AND(ISNUMBER($G$339),$B$258=1),$G$339,HLOOKUP(INDIRECT(ADDRESS(2,COLUMN())),OFFSET($BN$2,0,0,ROW()-1,60),ROW()-1,FALSE))</f>
        <v>52.884</v>
      </c>
      <c r="H90">
        <f ca="1">IF(AND(ISNUMBER($H$339),$B$258=1),$H$339,HLOOKUP(INDIRECT(ADDRESS(2,COLUMN())),OFFSET($BN$2,0,0,ROW()-1,60),ROW()-1,FALSE))</f>
        <v>155.24799999999999</v>
      </c>
      <c r="I90">
        <f ca="1">IF(AND(ISNUMBER($I$339),$B$258=1),$I$339,HLOOKUP(INDIRECT(ADDRESS(2,COLUMN())),OFFSET($BN$2,0,0,ROW()-1,60),ROW()-1,FALSE))</f>
        <v>164.65</v>
      </c>
      <c r="J90">
        <f ca="1">IF(AND(ISNUMBER($J$339),$B$258=1),$J$339,HLOOKUP(INDIRECT(ADDRESS(2,COLUMN())),OFFSET($BN$2,0,0,ROW()-1,60),ROW()-1,FALSE))</f>
        <v>291.05200000000002</v>
      </c>
      <c r="K90">
        <f ca="1">IF(AND(ISNUMBER($K$339),$B$258=1),$K$339,HLOOKUP(INDIRECT(ADDRESS(2,COLUMN())),OFFSET($BN$2,0,0,ROW()-1,60),ROW()-1,FALSE))</f>
        <v>162.26499999999999</v>
      </c>
      <c r="L90">
        <f ca="1">IF(AND(ISNUMBER($L$339),$B$258=1),$L$339,HLOOKUP(INDIRECT(ADDRESS(2,COLUMN())),OFFSET($BN$2,0,0,ROW()-1,60),ROW()-1,FALSE))</f>
        <v>306.76299999999998</v>
      </c>
      <c r="M90">
        <f ca="1">IF(AND(ISNUMBER($M$339),$B$258=1),$M$339,HLOOKUP(INDIRECT(ADDRESS(2,COLUMN())),OFFSET($BN$2,0,0,ROW()-1,60),ROW()-1,FALSE))</f>
        <v>336.74299999999999</v>
      </c>
      <c r="N90">
        <f ca="1">IF(AND(ISNUMBER($N$339),$B$258=1),$N$339,HLOOKUP(INDIRECT(ADDRESS(2,COLUMN())),OFFSET($BN$2,0,0,ROW()-1,60),ROW()-1,FALSE))</f>
        <v>322.84899999999999</v>
      </c>
      <c r="O90">
        <f ca="1">IF(AND(ISNUMBER($O$339),$B$258=1),$O$339,HLOOKUP(INDIRECT(ADDRESS(2,COLUMN())),OFFSET($BN$2,0,0,ROW()-1,60),ROW()-1,FALSE))</f>
        <v>-458.678</v>
      </c>
      <c r="P90">
        <f ca="1">IF(AND(ISNUMBER($P$339),$B$258=1),$P$339,HLOOKUP(INDIRECT(ADDRESS(2,COLUMN())),OFFSET($BN$2,0,0,ROW()-1,60),ROW()-1,FALSE))</f>
        <v>265.73500000000001</v>
      </c>
      <c r="Q90">
        <f ca="1">IF(AND(ISNUMBER($Q$339),$B$258=1),$Q$339,HLOOKUP(INDIRECT(ADDRESS(2,COLUMN())),OFFSET($BN$2,0,0,ROW()-1,60),ROW()-1,FALSE))</f>
        <v>301.93400000000003</v>
      </c>
      <c r="R90">
        <f ca="1">IF(AND(ISNUMBER($R$339),$B$258=1),$R$339,HLOOKUP(INDIRECT(ADDRESS(2,COLUMN())),OFFSET($BN$2,0,0,ROW()-1,60),ROW()-1,FALSE))</f>
        <v>-117.572</v>
      </c>
      <c r="S90">
        <f ca="1">IF(AND(ISNUMBER($S$339),$B$258=1),$S$339,HLOOKUP(INDIRECT(ADDRESS(2,COLUMN())),OFFSET($BN$2,0,0,ROW()-1,60),ROW()-1,FALSE))</f>
        <v>324.73399999999998</v>
      </c>
      <c r="T90">
        <f ca="1">IF(AND(ISNUMBER($T$339),$B$258=1),$T$339,HLOOKUP(INDIRECT(ADDRESS(2,COLUMN())),OFFSET($BN$2,0,0,ROW()-1,60),ROW()-1,FALSE))</f>
        <v>377.29199999999997</v>
      </c>
      <c r="U90">
        <f ca="1">IF(AND(ISNUMBER($U$339),$B$258=1),$U$339,HLOOKUP(INDIRECT(ADDRESS(2,COLUMN())),OFFSET($BN$2,0,0,ROW()-1,60),ROW()-1,FALSE))</f>
        <v>336.45699999999999</v>
      </c>
      <c r="V90">
        <f ca="1">IF(AND(ISNUMBER($V$339),$B$258=1),$V$339,HLOOKUP(INDIRECT(ADDRESS(2,COLUMN())),OFFSET($BN$2,0,0,ROW()-1,60),ROW()-1,FALSE))</f>
        <v>343.13900000000001</v>
      </c>
      <c r="W90">
        <f ca="1">IF(AND(ISNUMBER($W$339),$B$258=1),$W$339,HLOOKUP(INDIRECT(ADDRESS(2,COLUMN())),OFFSET($BN$2,0,0,ROW()-1,60),ROW()-1,FALSE))</f>
        <v>346.01799999999997</v>
      </c>
      <c r="X90">
        <f ca="1">IF(AND(ISNUMBER($X$339),$B$258=1),$X$339,HLOOKUP(INDIRECT(ADDRESS(2,COLUMN())),OFFSET($BN$2,0,0,ROW()-1,60),ROW()-1,FALSE))</f>
        <v>336.06099999999998</v>
      </c>
      <c r="Y90">
        <f ca="1">IF(AND(ISNUMBER($Y$339),$B$258=1),$Y$339,HLOOKUP(INDIRECT(ADDRESS(2,COLUMN())),OFFSET($BN$2,0,0,ROW()-1,60),ROW()-1,FALSE))</f>
        <v>327.64999999999998</v>
      </c>
      <c r="Z90">
        <f ca="1">IF(AND(ISNUMBER($Z$339),$B$258=1),$Z$339,HLOOKUP(INDIRECT(ADDRESS(2,COLUMN())),OFFSET($BN$2,0,0,ROW()-1,60),ROW()-1,FALSE))</f>
        <v>339.529</v>
      </c>
      <c r="AA90">
        <f ca="1">IF(AND(ISNUMBER($AA$339),$B$258=1),$AA$339,HLOOKUP(INDIRECT(ADDRESS(2,COLUMN())),OFFSET($BN$2,0,0,ROW()-1,60),ROW()-1,FALSE))</f>
        <v>317.839</v>
      </c>
      <c r="AB90">
        <f ca="1">IF(AND(ISNUMBER($AB$339),$B$258=1),$AB$339,HLOOKUP(INDIRECT(ADDRESS(2,COLUMN())),OFFSET($BN$2,0,0,ROW()-1,60),ROW()-1,FALSE))</f>
        <v>290.24200000000002</v>
      </c>
      <c r="AC90">
        <f ca="1">IF(AND(ISNUMBER($AC$339),$B$258=1),$AC$339,HLOOKUP(INDIRECT(ADDRESS(2,COLUMN())),OFFSET($BN$2,0,0,ROW()-1,60),ROW()-1,FALSE))</f>
        <v>293.61700000000002</v>
      </c>
      <c r="AD90">
        <f ca="1">IF(AND(ISNUMBER($AD$339),$B$258=1),$AD$339,HLOOKUP(INDIRECT(ADDRESS(2,COLUMN())),OFFSET($BN$2,0,0,ROW()-1,60),ROW()-1,FALSE))</f>
        <v>264.80599999999998</v>
      </c>
      <c r="AE90">
        <f ca="1">IF(AND(ISNUMBER($AE$339),$B$258=1),$AE$339,HLOOKUP(INDIRECT(ADDRESS(2,COLUMN())),OFFSET($BN$2,0,0,ROW()-1,60),ROW()-1,FALSE))</f>
        <v>150.578</v>
      </c>
      <c r="AF90">
        <f ca="1">IF(AND(ISNUMBER($AF$339),$B$258=1),$AF$339,HLOOKUP(INDIRECT(ADDRESS(2,COLUMN())),OFFSET($BN$2,0,0,ROW()-1,60),ROW()-1,FALSE))</f>
        <v>259.57100000000003</v>
      </c>
      <c r="AG90">
        <f ca="1">IF(AND(ISNUMBER($AG$339),$B$258=1),$AG$339,HLOOKUP(INDIRECT(ADDRESS(2,COLUMN())),OFFSET($BN$2,0,0,ROW()-1,60),ROW()-1,FALSE))</f>
        <v>317.911</v>
      </c>
      <c r="AH90">
        <f ca="1">IF(AND(ISNUMBER($AH$339),$B$258=1),$AH$339,HLOOKUP(INDIRECT(ADDRESS(2,COLUMN())),OFFSET($BN$2,0,0,ROW()-1,60),ROW()-1,FALSE))</f>
        <v>149.68899999999999</v>
      </c>
      <c r="AI90">
        <f ca="1">IF(AND(ISNUMBER($AI$339),$B$258=1),$AI$339,HLOOKUP(INDIRECT(ADDRESS(2,COLUMN())),OFFSET($BN$2,0,0,ROW()-1,60),ROW()-1,FALSE))</f>
        <v>202.61099999999999</v>
      </c>
      <c r="AJ90">
        <f ca="1">IF(AND(ISNUMBER($AJ$339),$B$258=1),$AJ$339,HLOOKUP(INDIRECT(ADDRESS(2,COLUMN())),OFFSET($BN$2,0,0,ROW()-1,60),ROW()-1,FALSE))</f>
        <v>96.081000000000003</v>
      </c>
      <c r="AK90">
        <f ca="1">IF(AND(ISNUMBER($AK$339),$B$258=1),$AK$339,HLOOKUP(INDIRECT(ADDRESS(2,COLUMN())),OFFSET($BN$2,0,0,ROW()-1,60),ROW()-1,FALSE))</f>
        <v>161.875</v>
      </c>
      <c r="AL90">
        <f ca="1">IF(AND(ISNUMBER($AL$339),$B$258=1),$AL$339,HLOOKUP(INDIRECT(ADDRESS(2,COLUMN())),OFFSET($BN$2,0,0,ROW()-1,60),ROW()-1,FALSE))</f>
        <v>158.678</v>
      </c>
      <c r="AM90">
        <f ca="1">IF(AND(ISNUMBER($AM$339),$B$258=1),$AM$339,HLOOKUP(INDIRECT(ADDRESS(2,COLUMN())),OFFSET($BN$2,0,0,ROW()-1,60),ROW()-1,FALSE))</f>
        <v>106.04</v>
      </c>
      <c r="AN90">
        <f ca="1">IF(AND(ISNUMBER($AN$339),$B$258=1),$AN$339,HLOOKUP(INDIRECT(ADDRESS(2,COLUMN())),OFFSET($BN$2,0,0,ROW()-1,60),ROW()-1,FALSE))</f>
        <v>32.168999999999997</v>
      </c>
      <c r="AO90">
        <f ca="1">IF(AND(ISNUMBER($AO$339),$B$258=1),$AO$339,HLOOKUP(INDIRECT(ADDRESS(2,COLUMN())),OFFSET($BN$2,0,0,ROW()-1,60),ROW()-1,FALSE))</f>
        <v>146.041</v>
      </c>
      <c r="AP90">
        <f ca="1">IF(AND(ISNUMBER($AP$339),$B$258=1),$AP$339,HLOOKUP(INDIRECT(ADDRESS(2,COLUMN())),OFFSET($BN$2,0,0,ROW()-1,60),ROW()-1,FALSE))</f>
        <v>128.01900000000001</v>
      </c>
      <c r="AQ90">
        <f ca="1">IF(AND(ISNUMBER($AQ$339),$B$258=1),$AQ$339,HLOOKUP(INDIRECT(ADDRESS(2,COLUMN())),OFFSET($BN$2,0,0,ROW()-1,60),ROW()-1,FALSE))</f>
        <v>120.908</v>
      </c>
      <c r="AR90">
        <f ca="1">IF(AND(ISNUMBER($AR$339),$B$258=1),$AR$339,HLOOKUP(INDIRECT(ADDRESS(2,COLUMN())),OFFSET($BN$2,0,0,ROW()-1,60),ROW()-1,FALSE))</f>
        <v>174.26499999999999</v>
      </c>
      <c r="AS90">
        <f ca="1">IF(AND(ISNUMBER($AS$339),$B$258=1),$AS$339,HLOOKUP(INDIRECT(ADDRESS(2,COLUMN())),OFFSET($BN$2,0,0,ROW()-1,60),ROW()-1,FALSE))</f>
        <v>118.992</v>
      </c>
      <c r="AT90">
        <f ca="1">IF(AND(ISNUMBER($AT$339),$B$258=1),$AT$339,HLOOKUP(INDIRECT(ADDRESS(2,COLUMN())),OFFSET($BN$2,0,0,ROW()-1,60),ROW()-1,FALSE))</f>
        <v>121.483</v>
      </c>
      <c r="AU90">
        <f ca="1">IF(AND(ISNUMBER($AU$339),$B$258=1),$AU$339,HLOOKUP(INDIRECT(ADDRESS(2,COLUMN())),OFFSET($BN$2,0,0,ROW()-1,60),ROW()-1,FALSE))</f>
        <v>117.241</v>
      </c>
      <c r="AV90">
        <f ca="1">IF(AND(ISNUMBER($AV$339),$B$258=1),$AV$339,HLOOKUP(INDIRECT(ADDRESS(2,COLUMN())),OFFSET($BN$2,0,0,ROW()-1,60),ROW()-1,FALSE))</f>
        <v>109.00700000000001</v>
      </c>
      <c r="AW90">
        <f ca="1">IF(AND(ISNUMBER($AW$339),$B$258=1),$AW$339,HLOOKUP(INDIRECT(ADDRESS(2,COLUMN())),OFFSET($BN$2,0,0,ROW()-1,60),ROW()-1,FALSE))</f>
        <v>120.405</v>
      </c>
      <c r="AX90">
        <f ca="1">IF(AND(ISNUMBER($AX$339),$B$258=1),$AX$339,HLOOKUP(INDIRECT(ADDRESS(2,COLUMN())),OFFSET($BN$2,0,0,ROW()-1,60),ROW()-1,FALSE))</f>
        <v>102.438</v>
      </c>
      <c r="AY90">
        <f ca="1">IF(AND(ISNUMBER($AY$339),$B$258=1),$AY$339,HLOOKUP(INDIRECT(ADDRESS(2,COLUMN())),OFFSET($BN$2,0,0,ROW()-1,60),ROW()-1,FALSE))</f>
        <v>65.629000000000005</v>
      </c>
      <c r="AZ90">
        <f ca="1">IF(AND(ISNUMBER($AZ$339),$B$258=1),$AZ$339,HLOOKUP(INDIRECT(ADDRESS(2,COLUMN())),OFFSET($BN$2,0,0,ROW()-1,60),ROW()-1,FALSE))</f>
        <v>69.42</v>
      </c>
      <c r="BA90">
        <f ca="1">IF(AND(ISNUMBER($BA$339),$B$258=1),$BA$339,HLOOKUP(INDIRECT(ADDRESS(2,COLUMN())),OFFSET($BN$2,0,0,ROW()-1,60),ROW()-1,FALSE))</f>
        <v>64.738</v>
      </c>
      <c r="BB90">
        <f ca="1">IF(AND(ISNUMBER($BB$339),$B$258=1),$BB$339,HLOOKUP(INDIRECT(ADDRESS(2,COLUMN())),OFFSET($BN$2,0,0,ROW()-1,60),ROW()-1,FALSE))</f>
        <v>72.965999999999994</v>
      </c>
      <c r="BC90">
        <f ca="1">IF(AND(ISNUMBER($BC$339),$B$258=1),$BC$339,HLOOKUP(INDIRECT(ADDRESS(2,COLUMN())),OFFSET($BN$2,0,0,ROW()-1,60),ROW()-1,FALSE))</f>
        <v>68.177000000000007</v>
      </c>
      <c r="BD90">
        <f ca="1">IF(AND(ISNUMBER($BD$339),$B$258=1),$BD$339,HLOOKUP(INDIRECT(ADDRESS(2,COLUMN())),OFFSET($BN$2,0,0,ROW()-1,60),ROW()-1,FALSE))</f>
        <v>68.766999999999996</v>
      </c>
      <c r="BE90">
        <f ca="1">IF(AND(ISNUMBER($BE$339),$B$258=1),$BE$339,HLOOKUP(INDIRECT(ADDRESS(2,COLUMN())),OFFSET($BN$2,0,0,ROW()-1,60),ROW()-1,FALSE))</f>
        <v>5.38</v>
      </c>
      <c r="BF90">
        <f ca="1">IF(AND(ISNUMBER($BF$339),$B$258=1),$BF$339,HLOOKUP(INDIRECT(ADDRESS(2,COLUMN())),OFFSET($BN$2,0,0,ROW()-1,60),ROW()-1,FALSE))</f>
        <v>61.033999999999999</v>
      </c>
      <c r="BG90">
        <f ca="1">IF(AND(ISNUMBER($BG$339),$B$258=1),$BG$339,HLOOKUP(INDIRECT(ADDRESS(2,COLUMN())),OFFSET($BN$2,0,0,ROW()-1,60),ROW()-1,FALSE))</f>
        <v>62.793999999999997</v>
      </c>
      <c r="BH90">
        <f ca="1">IF(AND(ISNUMBER($BH$339),$B$258=1),$BH$339,HLOOKUP(INDIRECT(ADDRESS(2,COLUMN())),OFFSET($BN$2,0,0,ROW()-1,60),ROW()-1,FALSE))</f>
        <v>-111.976</v>
      </c>
      <c r="BI90" t="str">
        <f ca="1">IF(AND(ISNUMBER($BI$339),$B$258=1),$BI$339,HLOOKUP(INDIRECT(ADDRESS(2,COLUMN())),OFFSET($BN$2,0,0,ROW()-1,60),ROW()-1,FALSE))</f>
        <v/>
      </c>
      <c r="BJ90" t="str">
        <f ca="1">IF(AND(ISNUMBER($BJ$339),$B$258=1),$BJ$339,HLOOKUP(INDIRECT(ADDRESS(2,COLUMN())),OFFSET($BN$2,0,0,ROW()-1,60),ROW()-1,FALSE))</f>
        <v/>
      </c>
      <c r="BK90">
        <f ca="1">IF(AND(ISNUMBER($BK$339),$B$258=1),$BK$339,HLOOKUP(INDIRECT(ADDRESS(2,COLUMN())),OFFSET($BN$2,0,0,ROW()-1,60),ROW()-1,FALSE))</f>
        <v>64.463997000000006</v>
      </c>
      <c r="BL90">
        <f ca="1">IF(AND(ISNUMBER($BL$339),$B$258=1),$BL$339,HLOOKUP(INDIRECT(ADDRESS(2,COLUMN())),OFFSET($BN$2,0,0,ROW()-1,60),ROW()-1,FALSE))</f>
        <v>-93.093999999999994</v>
      </c>
      <c r="BM90">
        <f ca="1">IF(AND(ISNUMBER($BM$339),$B$258=1),$BM$339,HLOOKUP(INDIRECT(ADDRESS(2,COLUMN())),OFFSET($BN$2,0,0,ROW()-1,60),ROW()-1,FALSE))</f>
        <v>44.088000000000001</v>
      </c>
      <c r="BN90" t="str">
        <f>""</f>
        <v/>
      </c>
      <c r="BO90">
        <f>52.884</f>
        <v>52.884</v>
      </c>
      <c r="BP90">
        <f>155.248</f>
        <v>155.24799999999999</v>
      </c>
      <c r="BQ90">
        <f>164.65</f>
        <v>164.65</v>
      </c>
      <c r="BR90">
        <f>291.052</f>
        <v>291.05200000000002</v>
      </c>
      <c r="BS90">
        <f>162.265</f>
        <v>162.26499999999999</v>
      </c>
      <c r="BT90">
        <f>306.763</f>
        <v>306.76299999999998</v>
      </c>
      <c r="BU90">
        <f>336.743</f>
        <v>336.74299999999999</v>
      </c>
      <c r="BV90">
        <f>322.849</f>
        <v>322.84899999999999</v>
      </c>
      <c r="BW90">
        <f>-458.678</f>
        <v>-458.678</v>
      </c>
      <c r="BX90">
        <f>265.735</f>
        <v>265.73500000000001</v>
      </c>
      <c r="BY90">
        <f>301.934</f>
        <v>301.93400000000003</v>
      </c>
      <c r="BZ90">
        <f>-117.572</f>
        <v>-117.572</v>
      </c>
      <c r="CA90">
        <f>324.734</f>
        <v>324.73399999999998</v>
      </c>
      <c r="CB90">
        <f>377.292</f>
        <v>377.29199999999997</v>
      </c>
      <c r="CC90">
        <f>336.457</f>
        <v>336.45699999999999</v>
      </c>
      <c r="CD90">
        <f>343.139</f>
        <v>343.13900000000001</v>
      </c>
      <c r="CE90">
        <f>346.018</f>
        <v>346.01799999999997</v>
      </c>
      <c r="CF90">
        <f>336.061</f>
        <v>336.06099999999998</v>
      </c>
      <c r="CG90">
        <f>327.65</f>
        <v>327.64999999999998</v>
      </c>
      <c r="CH90">
        <f>339.529</f>
        <v>339.529</v>
      </c>
      <c r="CI90">
        <f>317.839</f>
        <v>317.839</v>
      </c>
      <c r="CJ90">
        <f>290.242</f>
        <v>290.24200000000002</v>
      </c>
      <c r="CK90">
        <f>293.617</f>
        <v>293.61700000000002</v>
      </c>
      <c r="CL90">
        <f>264.806</f>
        <v>264.80599999999998</v>
      </c>
      <c r="CM90">
        <f>150.578</f>
        <v>150.578</v>
      </c>
      <c r="CN90">
        <f>259.571</f>
        <v>259.57100000000003</v>
      </c>
      <c r="CO90">
        <f>317.911</f>
        <v>317.911</v>
      </c>
      <c r="CP90">
        <f>149.689</f>
        <v>149.68899999999999</v>
      </c>
      <c r="CQ90">
        <f>202.611</f>
        <v>202.61099999999999</v>
      </c>
      <c r="CR90">
        <f>96.081</f>
        <v>96.081000000000003</v>
      </c>
      <c r="CS90">
        <f>161.875</f>
        <v>161.875</v>
      </c>
      <c r="CT90">
        <f>158.678</f>
        <v>158.678</v>
      </c>
      <c r="CU90">
        <f>106.04</f>
        <v>106.04</v>
      </c>
      <c r="CV90">
        <f>32.169</f>
        <v>32.168999999999997</v>
      </c>
      <c r="CW90">
        <f>146.041</f>
        <v>146.041</v>
      </c>
      <c r="CX90">
        <f>128.019</f>
        <v>128.01900000000001</v>
      </c>
      <c r="CY90">
        <f>120.908</f>
        <v>120.908</v>
      </c>
      <c r="CZ90">
        <f>174.265</f>
        <v>174.26499999999999</v>
      </c>
      <c r="DA90">
        <f>118.992</f>
        <v>118.992</v>
      </c>
      <c r="DB90">
        <f>121.483</f>
        <v>121.483</v>
      </c>
      <c r="DC90">
        <f>117.241</f>
        <v>117.241</v>
      </c>
      <c r="DD90">
        <f>109.007</f>
        <v>109.00700000000001</v>
      </c>
      <c r="DE90">
        <f>120.405</f>
        <v>120.405</v>
      </c>
      <c r="DF90">
        <f>102.438</f>
        <v>102.438</v>
      </c>
      <c r="DG90">
        <f>65.629</f>
        <v>65.629000000000005</v>
      </c>
      <c r="DH90">
        <f>69.42</f>
        <v>69.42</v>
      </c>
      <c r="DI90">
        <f>64.738</f>
        <v>64.738</v>
      </c>
      <c r="DJ90">
        <f>72.966</f>
        <v>72.965999999999994</v>
      </c>
      <c r="DK90">
        <f>68.177</f>
        <v>68.177000000000007</v>
      </c>
      <c r="DL90">
        <f>68.767</f>
        <v>68.766999999999996</v>
      </c>
      <c r="DM90">
        <f>5.38</f>
        <v>5.38</v>
      </c>
      <c r="DN90">
        <f>61.034</f>
        <v>61.033999999999999</v>
      </c>
      <c r="DO90">
        <f>62.794</f>
        <v>62.793999999999997</v>
      </c>
      <c r="DP90">
        <f>-111.976</f>
        <v>-111.976</v>
      </c>
      <c r="DQ90" t="str">
        <f>""</f>
        <v/>
      </c>
      <c r="DR90" t="str">
        <f>""</f>
        <v/>
      </c>
      <c r="DS90">
        <f>64.463997</f>
        <v>64.463997000000006</v>
      </c>
      <c r="DT90">
        <f>-93.094</f>
        <v>-93.093999999999994</v>
      </c>
      <c r="DU90">
        <f>44.088</f>
        <v>44.088000000000001</v>
      </c>
    </row>
    <row r="91" spans="1:125">
      <c r="A91" t="str">
        <f>"    Healthcare Realty Trust Inc"</f>
        <v xml:space="preserve">    Healthcare Realty Trust Inc</v>
      </c>
      <c r="B91" t="str">
        <f>"HR US Equity"</f>
        <v>HR US Equity</v>
      </c>
      <c r="C91" t="str">
        <f t="shared" si="21"/>
        <v>CF039</v>
      </c>
      <c r="D91" t="str">
        <f t="shared" si="22"/>
        <v>CF_FFO</v>
      </c>
      <c r="E91" t="str">
        <f t="shared" si="23"/>
        <v>动态</v>
      </c>
      <c r="F91" t="str">
        <f ca="1">IF(AND(ISNUMBER($F$340),$B$258=1),$F$340,HLOOKUP(INDIRECT(ADDRESS(2,COLUMN())),OFFSET($BN$2,0,0,ROW()-1,60),ROW()-1,FALSE))</f>
        <v/>
      </c>
      <c r="G91">
        <f ca="1">IF(AND(ISNUMBER($G$340),$B$258=1),$G$340,HLOOKUP(INDIRECT(ADDRESS(2,COLUMN())),OFFSET($BN$2,0,0,ROW()-1,60),ROW()-1,FALSE))</f>
        <v>0.71599999999999997</v>
      </c>
      <c r="H91">
        <f ca="1">IF(AND(ISNUMBER($H$340),$B$258=1),$H$340,HLOOKUP(INDIRECT(ADDRESS(2,COLUMN())),OFFSET($BN$2,0,0,ROW()-1,60),ROW()-1,FALSE))</f>
        <v>44.716999999999999</v>
      </c>
      <c r="I91">
        <f ca="1">IF(AND(ISNUMBER($I$340),$B$258=1),$I$340,HLOOKUP(INDIRECT(ADDRESS(2,COLUMN())),OFFSET($BN$2,0,0,ROW()-1,60),ROW()-1,FALSE))</f>
        <v>44.526000000000003</v>
      </c>
      <c r="J91">
        <f ca="1">IF(AND(ISNUMBER($J$340),$B$258=1),$J$340,HLOOKUP(INDIRECT(ADDRESS(2,COLUMN())),OFFSET($BN$2,0,0,ROW()-1,60),ROW()-1,FALSE))</f>
        <v>44.314999999999998</v>
      </c>
      <c r="K91">
        <f ca="1">IF(AND(ISNUMBER($K$340),$B$258=1),$K$340,HLOOKUP(INDIRECT(ADDRESS(2,COLUMN())),OFFSET($BN$2,0,0,ROW()-1,60),ROW()-1,FALSE))</f>
        <v>46.22</v>
      </c>
      <c r="L91">
        <f ca="1">IF(AND(ISNUMBER($L$340),$B$258=1),$L$340,HLOOKUP(INDIRECT(ADDRESS(2,COLUMN())),OFFSET($BN$2,0,0,ROW()-1,60),ROW()-1,FALSE))</f>
        <v>44.390999999999998</v>
      </c>
      <c r="M91">
        <f ca="1">IF(AND(ISNUMBER($M$340),$B$258=1),$M$340,HLOOKUP(INDIRECT(ADDRESS(2,COLUMN())),OFFSET($BN$2,0,0,ROW()-1,60),ROW()-1,FALSE))</f>
        <v>43.853000000000002</v>
      </c>
      <c r="N91">
        <f ca="1">IF(AND(ISNUMBER($N$340),$B$258=1),$N$340,HLOOKUP(INDIRECT(ADDRESS(2,COLUMN())),OFFSET($BN$2,0,0,ROW()-1,60),ROW()-1,FALSE))</f>
        <v>39.956000000000003</v>
      </c>
      <c r="O91">
        <f ca="1">IF(AND(ISNUMBER($O$340),$B$258=1),$O$340,HLOOKUP(INDIRECT(ADDRESS(2,COLUMN())),OFFSET($BN$2,0,0,ROW()-1,60),ROW()-1,FALSE))</f>
        <v>40.113999999999997</v>
      </c>
      <c r="P91">
        <f ca="1">IF(AND(ISNUMBER($P$340),$B$258=1),$P$340,HLOOKUP(INDIRECT(ADDRESS(2,COLUMN())),OFFSET($BN$2,0,0,ROW()-1,60),ROW()-1,FALSE))</f>
        <v>40.621000000000002</v>
      </c>
      <c r="Q91">
        <f ca="1">IF(AND(ISNUMBER($Q$340),$B$258=1),$Q$340,HLOOKUP(INDIRECT(ADDRESS(2,COLUMN())),OFFSET($BN$2,0,0,ROW()-1,60),ROW()-1,FALSE))</f>
        <v>4.9089999999999998</v>
      </c>
      <c r="R91">
        <f ca="1">IF(AND(ISNUMBER($R$340),$B$258=1),$R$340,HLOOKUP(INDIRECT(ADDRESS(2,COLUMN())),OFFSET($BN$2,0,0,ROW()-1,60),ROW()-1,FALSE))</f>
        <v>38.08</v>
      </c>
      <c r="S91">
        <f ca="1">IF(AND(ISNUMBER($S$340),$B$258=1),$S$340,HLOOKUP(INDIRECT(ADDRESS(2,COLUMN())),OFFSET($BN$2,0,0,ROW()-1,60),ROW()-1,FALSE))</f>
        <v>38.494999999999997</v>
      </c>
      <c r="T91">
        <f ca="1">IF(AND(ISNUMBER($T$340),$B$258=1),$T$340,HLOOKUP(INDIRECT(ADDRESS(2,COLUMN())),OFFSET($BN$2,0,0,ROW()-1,60),ROW()-1,FALSE))</f>
        <v>36.945999999999998</v>
      </c>
      <c r="U91">
        <f ca="1">IF(AND(ISNUMBER($U$340),$B$258=1),$U$340,HLOOKUP(INDIRECT(ADDRESS(2,COLUMN())),OFFSET($BN$2,0,0,ROW()-1,60),ROW()-1,FALSE))</f>
        <v>36.090000000000003</v>
      </c>
      <c r="V91">
        <f ca="1">IF(AND(ISNUMBER($V$340),$B$258=1),$V$340,HLOOKUP(INDIRECT(ADDRESS(2,COLUMN())),OFFSET($BN$2,0,0,ROW()-1,60),ROW()-1,FALSE))</f>
        <v>33.524999999999999</v>
      </c>
      <c r="W91">
        <f ca="1">IF(AND(ISNUMBER($W$340),$B$258=1),$W$340,HLOOKUP(INDIRECT(ADDRESS(2,COLUMN())),OFFSET($BN$2,0,0,ROW()-1,60),ROW()-1,FALSE))</f>
        <v>35.411999999999999</v>
      </c>
      <c r="X91">
        <f ca="1">IF(AND(ISNUMBER($X$340),$B$258=1),$X$340,HLOOKUP(INDIRECT(ADDRESS(2,COLUMN())),OFFSET($BN$2,0,0,ROW()-1,60),ROW()-1,FALSE))</f>
        <v>30.050999999999998</v>
      </c>
      <c r="Y91">
        <f ca="1">IF(AND(ISNUMBER($Y$340),$B$258=1),$Y$340,HLOOKUP(INDIRECT(ADDRESS(2,COLUMN())),OFFSET($BN$2,0,0,ROW()-1,60),ROW()-1,FALSE))</f>
        <v>-1.986</v>
      </c>
      <c r="Z91">
        <f ca="1">IF(AND(ISNUMBER($Z$340),$B$258=1),$Z$340,HLOOKUP(INDIRECT(ADDRESS(2,COLUMN())),OFFSET($BN$2,0,0,ROW()-1,60),ROW()-1,FALSE))</f>
        <v>26.588999999999999</v>
      </c>
      <c r="AA91">
        <f ca="1">IF(AND(ISNUMBER($AA$340),$B$258=1),$AA$340,HLOOKUP(INDIRECT(ADDRESS(2,COLUMN())),OFFSET($BN$2,0,0,ROW()-1,60),ROW()-1,FALSE))</f>
        <v>25.077000000000002</v>
      </c>
      <c r="AB91">
        <f ca="1">IF(AND(ISNUMBER($AB$340),$B$258=1),$AB$340,HLOOKUP(INDIRECT(ADDRESS(2,COLUMN())),OFFSET($BN$2,0,0,ROW()-1,60),ROW()-1,FALSE))</f>
        <v>25.745999999999999</v>
      </c>
      <c r="AC91">
        <f ca="1">IF(AND(ISNUMBER($AC$340),$B$258=1),$AC$340,HLOOKUP(INDIRECT(ADDRESS(2,COLUMN())),OFFSET($BN$2,0,0,ROW()-1,60),ROW()-1,FALSE))</f>
        <v>26.539000000000001</v>
      </c>
      <c r="AD91">
        <f ca="1">IF(AND(ISNUMBER($AD$340),$B$258=1),$AD$340,HLOOKUP(INDIRECT(ADDRESS(2,COLUMN())),OFFSET($BN$2,0,0,ROW()-1,60),ROW()-1,FALSE))</f>
        <v>27.303999999999998</v>
      </c>
      <c r="AE91">
        <f ca="1">IF(AND(ISNUMBER($AE$340),$B$258=1),$AE$340,HLOOKUP(INDIRECT(ADDRESS(2,COLUMN())),OFFSET($BN$2,0,0,ROW()-1,60),ROW()-1,FALSE))</f>
        <v>25.335000000000001</v>
      </c>
      <c r="AF91">
        <f ca="1">IF(AND(ISNUMBER($AF$340),$B$258=1),$AF$340,HLOOKUP(INDIRECT(ADDRESS(2,COLUMN())),OFFSET($BN$2,0,0,ROW()-1,60),ROW()-1,FALSE))</f>
        <v>22.55</v>
      </c>
      <c r="AG91">
        <f ca="1">IF(AND(ISNUMBER($AG$340),$B$258=1),$AG$340,HLOOKUP(INDIRECT(ADDRESS(2,COLUMN())),OFFSET($BN$2,0,0,ROW()-1,60),ROW()-1,FALSE))</f>
        <v>22.420999999999999</v>
      </c>
      <c r="AH91">
        <f ca="1">IF(AND(ISNUMBER($AH$340),$B$258=1),$AH$340,HLOOKUP(INDIRECT(ADDRESS(2,COLUMN())),OFFSET($BN$2,0,0,ROW()-1,60),ROW()-1,FALSE))</f>
        <v>14.375999999999999</v>
      </c>
      <c r="AI91">
        <f ca="1">IF(AND(ISNUMBER($AI$340),$B$258=1),$AI$340,HLOOKUP(INDIRECT(ADDRESS(2,COLUMN())),OFFSET($BN$2,0,0,ROW()-1,60),ROW()-1,FALSE))</f>
        <v>19.373000000000001</v>
      </c>
      <c r="AJ91">
        <f ca="1">IF(AND(ISNUMBER($AJ$340),$B$258=1),$AJ$340,HLOOKUP(INDIRECT(ADDRESS(2,COLUMN())),OFFSET($BN$2,0,0,ROW()-1,60),ROW()-1,FALSE))</f>
        <v>10.734999999999999</v>
      </c>
      <c r="AK91">
        <f ca="1">IF(AND(ISNUMBER($AK$340),$B$258=1),$AK$340,HLOOKUP(INDIRECT(ADDRESS(2,COLUMN())),OFFSET($BN$2,0,0,ROW()-1,60),ROW()-1,FALSE))</f>
        <v>22.384</v>
      </c>
      <c r="AL91">
        <f ca="1">IF(AND(ISNUMBER($AL$340),$B$258=1),$AL$340,HLOOKUP(INDIRECT(ADDRESS(2,COLUMN())),OFFSET($BN$2,0,0,ROW()-1,60),ROW()-1,FALSE))</f>
        <v>19.231000000000002</v>
      </c>
      <c r="AM91">
        <f ca="1">IF(AND(ISNUMBER($AM$340),$B$258=1),$AM$340,HLOOKUP(INDIRECT(ADDRESS(2,COLUMN())),OFFSET($BN$2,0,0,ROW()-1,60),ROW()-1,FALSE))</f>
        <v>20.908999999999999</v>
      </c>
      <c r="AN91">
        <f ca="1">IF(AND(ISNUMBER($AN$340),$B$258=1),$AN$340,HLOOKUP(INDIRECT(ADDRESS(2,COLUMN())),OFFSET($BN$2,0,0,ROW()-1,60),ROW()-1,FALSE))</f>
        <v>25.821000000000002</v>
      </c>
      <c r="AO91">
        <f ca="1">IF(AND(ISNUMBER($AO$340),$B$258=1),$AO$340,HLOOKUP(INDIRECT(ADDRESS(2,COLUMN())),OFFSET($BN$2,0,0,ROW()-1,60),ROW()-1,FALSE))</f>
        <v>26.012</v>
      </c>
      <c r="AP91">
        <f ca="1">IF(AND(ISNUMBER($AP$340),$B$258=1),$AP$340,HLOOKUP(INDIRECT(ADDRESS(2,COLUMN())),OFFSET($BN$2,0,0,ROW()-1,60),ROW()-1,FALSE))</f>
        <v>25.138999999999999</v>
      </c>
      <c r="AQ91">
        <f ca="1">IF(AND(ISNUMBER($AQ$340),$B$258=1),$AQ$340,HLOOKUP(INDIRECT(ADDRESS(2,COLUMN())),OFFSET($BN$2,0,0,ROW()-1,60),ROW()-1,FALSE))</f>
        <v>28.564</v>
      </c>
      <c r="AR91">
        <f ca="1">IF(AND(ISNUMBER($AR$340),$B$258=1),$AR$340,HLOOKUP(INDIRECT(ADDRESS(2,COLUMN())),OFFSET($BN$2,0,0,ROW()-1,60),ROW()-1,FALSE))</f>
        <v>18.236999999999998</v>
      </c>
      <c r="AS91">
        <f ca="1">IF(AND(ISNUMBER($AS$340),$B$258=1),$AS$340,HLOOKUP(INDIRECT(ADDRESS(2,COLUMN())),OFFSET($BN$2,0,0,ROW()-1,60),ROW()-1,FALSE))</f>
        <v>19.201000000000001</v>
      </c>
      <c r="AT91">
        <f ca="1">IF(AND(ISNUMBER($AT$340),$B$258=1),$AT$340,HLOOKUP(INDIRECT(ADDRESS(2,COLUMN())),OFFSET($BN$2,0,0,ROW()-1,60),ROW()-1,FALSE))</f>
        <v>19.434999999999999</v>
      </c>
      <c r="AU91">
        <f ca="1">IF(AND(ISNUMBER($AU$340),$B$258=1),$AU$340,HLOOKUP(INDIRECT(ADDRESS(2,COLUMN())),OFFSET($BN$2,0,0,ROW()-1,60),ROW()-1,FALSE))</f>
        <v>19.405999999999999</v>
      </c>
      <c r="AV91">
        <f ca="1">IF(AND(ISNUMBER($AV$340),$B$258=1),$AV$340,HLOOKUP(INDIRECT(ADDRESS(2,COLUMN())),OFFSET($BN$2,0,0,ROW()-1,60),ROW()-1,FALSE))</f>
        <v>14.563000000000001</v>
      </c>
      <c r="AW91">
        <f ca="1">IF(AND(ISNUMBER($AW$340),$B$258=1),$AW$340,HLOOKUP(INDIRECT(ADDRESS(2,COLUMN())),OFFSET($BN$2,0,0,ROW()-1,60),ROW()-1,FALSE))</f>
        <v>18.86</v>
      </c>
      <c r="AX91">
        <f ca="1">IF(AND(ISNUMBER($AX$340),$B$258=1),$AX$340,HLOOKUP(INDIRECT(ADDRESS(2,COLUMN())),OFFSET($BN$2,0,0,ROW()-1,60),ROW()-1,FALSE))</f>
        <v>20.326000000000001</v>
      </c>
      <c r="AY91">
        <f ca="1">IF(AND(ISNUMBER($AY$340),$B$258=1),$AY$340,HLOOKUP(INDIRECT(ADDRESS(2,COLUMN())),OFFSET($BN$2,0,0,ROW()-1,60),ROW()-1,FALSE))</f>
        <v>24.844000000000001</v>
      </c>
      <c r="AZ91">
        <f ca="1">IF(AND(ISNUMBER($AZ$340),$B$258=1),$AZ$340,HLOOKUP(INDIRECT(ADDRESS(2,COLUMN())),OFFSET($BN$2,0,0,ROW()-1,60),ROW()-1,FALSE))</f>
        <v>23.789000000000001</v>
      </c>
      <c r="BA91">
        <f ca="1">IF(AND(ISNUMBER($BA$340),$B$258=1),$BA$340,HLOOKUP(INDIRECT(ADDRESS(2,COLUMN())),OFFSET($BN$2,0,0,ROW()-1,60),ROW()-1,FALSE))</f>
        <v>27.547999999999998</v>
      </c>
      <c r="BB91">
        <f ca="1">IF(AND(ISNUMBER($BB$340),$B$258=1),$BB$340,HLOOKUP(INDIRECT(ADDRESS(2,COLUMN())),OFFSET($BN$2,0,0,ROW()-1,60),ROW()-1,FALSE))</f>
        <v>24.925000000000001</v>
      </c>
      <c r="BC91">
        <f ca="1">IF(AND(ISNUMBER($BC$340),$B$258=1),$BC$340,HLOOKUP(INDIRECT(ADDRESS(2,COLUMN())),OFFSET($BN$2,0,0,ROW()-1,60),ROW()-1,FALSE))</f>
        <v>26.722000000000001</v>
      </c>
      <c r="BD91">
        <f ca="1">IF(AND(ISNUMBER($BD$340),$B$258=1),$BD$340,HLOOKUP(INDIRECT(ADDRESS(2,COLUMN())),OFFSET($BN$2,0,0,ROW()-1,60),ROW()-1,FALSE))</f>
        <v>26.56</v>
      </c>
      <c r="BE91">
        <f ca="1">IF(AND(ISNUMBER($BE$340),$B$258=1),$BE$340,HLOOKUP(INDIRECT(ADDRESS(2,COLUMN())),OFFSET($BN$2,0,0,ROW()-1,60),ROW()-1,FALSE))</f>
        <v>25.251999999999999</v>
      </c>
      <c r="BF91">
        <f ca="1">IF(AND(ISNUMBER($BF$340),$B$258=1),$BF$340,HLOOKUP(INDIRECT(ADDRESS(2,COLUMN())),OFFSET($BN$2,0,0,ROW()-1,60),ROW()-1,FALSE))</f>
        <v>29.408999999999999</v>
      </c>
      <c r="BG91">
        <f ca="1">IF(AND(ISNUMBER($BG$340),$B$258=1),$BG$340,HLOOKUP(INDIRECT(ADDRESS(2,COLUMN())),OFFSET($BN$2,0,0,ROW()-1,60),ROW()-1,FALSE))</f>
        <v>20.742000000000001</v>
      </c>
      <c r="BH91">
        <f ca="1">IF(AND(ISNUMBER($BH$340),$B$258=1),$BH$340,HLOOKUP(INDIRECT(ADDRESS(2,COLUMN())),OFFSET($BN$2,0,0,ROW()-1,60),ROW()-1,FALSE))</f>
        <v>29.675000000000001</v>
      </c>
      <c r="BI91">
        <f ca="1">IF(AND(ISNUMBER($BI$340),$B$258=1),$BI$340,HLOOKUP(INDIRECT(ADDRESS(2,COLUMN())),OFFSET($BN$2,0,0,ROW()-1,60),ROW()-1,FALSE))</f>
        <v>27.635999999999999</v>
      </c>
      <c r="BJ91">
        <f ca="1">IF(AND(ISNUMBER($BJ$340),$B$258=1),$BJ$340,HLOOKUP(INDIRECT(ADDRESS(2,COLUMN())),OFFSET($BN$2,0,0,ROW()-1,60),ROW()-1,FALSE))</f>
        <v>26.055</v>
      </c>
      <c r="BK91">
        <f ca="1">IF(AND(ISNUMBER($BK$340),$B$258=1),$BK$340,HLOOKUP(INDIRECT(ADDRESS(2,COLUMN())),OFFSET($BN$2,0,0,ROW()-1,60),ROW()-1,FALSE))</f>
        <v>18.768000000000001</v>
      </c>
      <c r="BL91">
        <f ca="1">IF(AND(ISNUMBER($BL$340),$B$258=1),$BL$340,HLOOKUP(INDIRECT(ADDRESS(2,COLUMN())),OFFSET($BN$2,0,0,ROW()-1,60),ROW()-1,FALSE))</f>
        <v>28.218000409999998</v>
      </c>
      <c r="BM91">
        <f ca="1">IF(AND(ISNUMBER($BM$340),$B$258=1),$BM$340,HLOOKUP(INDIRECT(ADDRESS(2,COLUMN())),OFFSET($BN$2,0,0,ROW()-1,60),ROW()-1,FALSE))</f>
        <v>28.18300056</v>
      </c>
      <c r="BN91" t="str">
        <f>""</f>
        <v/>
      </c>
      <c r="BO91">
        <f>0.716</f>
        <v>0.71599999999999997</v>
      </c>
      <c r="BP91">
        <f>44.717</f>
        <v>44.716999999999999</v>
      </c>
      <c r="BQ91">
        <f>44.526</f>
        <v>44.526000000000003</v>
      </c>
      <c r="BR91">
        <f>44.315</f>
        <v>44.314999999999998</v>
      </c>
      <c r="BS91">
        <f>46.22</f>
        <v>46.22</v>
      </c>
      <c r="BT91">
        <f>44.391</f>
        <v>44.390999999999998</v>
      </c>
      <c r="BU91">
        <f>43.853</f>
        <v>43.853000000000002</v>
      </c>
      <c r="BV91">
        <f>39.956</f>
        <v>39.956000000000003</v>
      </c>
      <c r="BW91">
        <f>40.114</f>
        <v>40.113999999999997</v>
      </c>
      <c r="BX91">
        <f>40.621</f>
        <v>40.621000000000002</v>
      </c>
      <c r="BY91">
        <f>4.909</f>
        <v>4.9089999999999998</v>
      </c>
      <c r="BZ91">
        <f>38.08</f>
        <v>38.08</v>
      </c>
      <c r="CA91">
        <f>38.495</f>
        <v>38.494999999999997</v>
      </c>
      <c r="CB91">
        <f>36.946</f>
        <v>36.945999999999998</v>
      </c>
      <c r="CC91">
        <f>36.09</f>
        <v>36.090000000000003</v>
      </c>
      <c r="CD91">
        <f>33.525</f>
        <v>33.524999999999999</v>
      </c>
      <c r="CE91">
        <f>35.412</f>
        <v>35.411999999999999</v>
      </c>
      <c r="CF91">
        <f>30.051</f>
        <v>30.050999999999998</v>
      </c>
      <c r="CG91">
        <f>-1.986</f>
        <v>-1.986</v>
      </c>
      <c r="CH91">
        <f>26.589</f>
        <v>26.588999999999999</v>
      </c>
      <c r="CI91">
        <f>25.077</f>
        <v>25.077000000000002</v>
      </c>
      <c r="CJ91">
        <f>25.746</f>
        <v>25.745999999999999</v>
      </c>
      <c r="CK91">
        <f>26.539</f>
        <v>26.539000000000001</v>
      </c>
      <c r="CL91">
        <f>27.304</f>
        <v>27.303999999999998</v>
      </c>
      <c r="CM91">
        <f>25.335</f>
        <v>25.335000000000001</v>
      </c>
      <c r="CN91">
        <f>22.55</f>
        <v>22.55</v>
      </c>
      <c r="CO91">
        <f>22.421</f>
        <v>22.420999999999999</v>
      </c>
      <c r="CP91">
        <f>14.376</f>
        <v>14.375999999999999</v>
      </c>
      <c r="CQ91">
        <f>19.373</f>
        <v>19.373000000000001</v>
      </c>
      <c r="CR91">
        <f>10.735</f>
        <v>10.734999999999999</v>
      </c>
      <c r="CS91">
        <f>22.384</f>
        <v>22.384</v>
      </c>
      <c r="CT91">
        <f>19.231</f>
        <v>19.231000000000002</v>
      </c>
      <c r="CU91">
        <f>20.909</f>
        <v>20.908999999999999</v>
      </c>
      <c r="CV91">
        <f>25.821</f>
        <v>25.821000000000002</v>
      </c>
      <c r="CW91">
        <f>26.012</f>
        <v>26.012</v>
      </c>
      <c r="CX91">
        <f>25.139</f>
        <v>25.138999999999999</v>
      </c>
      <c r="CY91">
        <f>28.564</f>
        <v>28.564</v>
      </c>
      <c r="CZ91">
        <f>18.237</f>
        <v>18.236999999999998</v>
      </c>
      <c r="DA91">
        <f>19.201</f>
        <v>19.201000000000001</v>
      </c>
      <c r="DB91">
        <f>19.435</f>
        <v>19.434999999999999</v>
      </c>
      <c r="DC91">
        <f>19.406</f>
        <v>19.405999999999999</v>
      </c>
      <c r="DD91">
        <f>14.563</f>
        <v>14.563000000000001</v>
      </c>
      <c r="DE91">
        <f>18.86</f>
        <v>18.86</v>
      </c>
      <c r="DF91">
        <f>20.326</f>
        <v>20.326000000000001</v>
      </c>
      <c r="DG91">
        <f>24.844</f>
        <v>24.844000000000001</v>
      </c>
      <c r="DH91">
        <f>23.789</f>
        <v>23.789000000000001</v>
      </c>
      <c r="DI91">
        <f>27.548</f>
        <v>27.547999999999998</v>
      </c>
      <c r="DJ91">
        <f>24.925</f>
        <v>24.925000000000001</v>
      </c>
      <c r="DK91">
        <f>26.722</f>
        <v>26.722000000000001</v>
      </c>
      <c r="DL91">
        <f>26.56</f>
        <v>26.56</v>
      </c>
      <c r="DM91">
        <f>25.252</f>
        <v>25.251999999999999</v>
      </c>
      <c r="DN91">
        <f>29.409</f>
        <v>29.408999999999999</v>
      </c>
      <c r="DO91">
        <f>20.742</f>
        <v>20.742000000000001</v>
      </c>
      <c r="DP91">
        <f>29.675</f>
        <v>29.675000000000001</v>
      </c>
      <c r="DQ91">
        <f>27.636</f>
        <v>27.635999999999999</v>
      </c>
      <c r="DR91">
        <f>26.055</f>
        <v>26.055</v>
      </c>
      <c r="DS91">
        <f>18.768</f>
        <v>18.768000000000001</v>
      </c>
      <c r="DT91">
        <f>28.21800041</f>
        <v>28.218000409999998</v>
      </c>
      <c r="DU91">
        <f>28.18300056</f>
        <v>28.18300056</v>
      </c>
    </row>
    <row r="92" spans="1:125">
      <c r="A92" t="str">
        <f>"    Healthcare Trust of America In"</f>
        <v xml:space="preserve">    Healthcare Trust of America In</v>
      </c>
      <c r="B92" t="str">
        <f>"HTA US Equity"</f>
        <v>HTA US Equity</v>
      </c>
      <c r="C92" t="str">
        <f t="shared" si="21"/>
        <v>CF039</v>
      </c>
      <c r="D92" t="str">
        <f t="shared" si="22"/>
        <v>CF_FFO</v>
      </c>
      <c r="E92" t="str">
        <f t="shared" si="23"/>
        <v>动态</v>
      </c>
      <c r="F92" t="str">
        <f ca="1">IF(AND(ISNUMBER($F$341),$B$258=1),$F$341,HLOOKUP(INDIRECT(ADDRESS(2,COLUMN())),OFFSET($BN$2,0,0,ROW()-1,60),ROW()-1,FALSE))</f>
        <v/>
      </c>
      <c r="G92">
        <f ca="1">IF(AND(ISNUMBER($G$341),$B$258=1),$G$341,HLOOKUP(INDIRECT(ADDRESS(2,COLUMN())),OFFSET($BN$2,0,0,ROW()-1,60),ROW()-1,FALSE))</f>
        <v>85.561999999999998</v>
      </c>
      <c r="H92">
        <f ca="1">IF(AND(ISNUMBER($H$341),$B$258=1),$H$341,HLOOKUP(INDIRECT(ADDRESS(2,COLUMN())),OFFSET($BN$2,0,0,ROW()-1,60),ROW()-1,FALSE))</f>
        <v>84.248000000000005</v>
      </c>
      <c r="I92">
        <f ca="1">IF(AND(ISNUMBER($I$341),$B$258=1),$I$341,HLOOKUP(INDIRECT(ADDRESS(2,COLUMN())),OFFSET($BN$2,0,0,ROW()-1,60),ROW()-1,FALSE))</f>
        <v>54.185000000000002</v>
      </c>
      <c r="J92">
        <f ca="1">IF(AND(ISNUMBER($J$341),$B$258=1),$J$341,HLOOKUP(INDIRECT(ADDRESS(2,COLUMN())),OFFSET($BN$2,0,0,ROW()-1,60),ROW()-1,FALSE))</f>
        <v>60.231000000000002</v>
      </c>
      <c r="K92">
        <f ca="1">IF(AND(ISNUMBER($K$341),$B$258=1),$K$341,HLOOKUP(INDIRECT(ADDRESS(2,COLUMN())),OFFSET($BN$2,0,0,ROW()-1,60),ROW()-1,FALSE))</f>
        <v>60.944000000000003</v>
      </c>
      <c r="L92">
        <f ca="1">IF(AND(ISNUMBER($L$341),$B$258=1),$L$341,HLOOKUP(INDIRECT(ADDRESS(2,COLUMN())),OFFSET($BN$2,0,0,ROW()-1,60),ROW()-1,FALSE))</f>
        <v>53.972000000000001</v>
      </c>
      <c r="M92">
        <f ca="1">IF(AND(ISNUMBER($M$341),$B$258=1),$M$341,HLOOKUP(INDIRECT(ADDRESS(2,COLUMN())),OFFSET($BN$2,0,0,ROW()-1,60),ROW()-1,FALSE))</f>
        <v>53.273000000000003</v>
      </c>
      <c r="N92">
        <f ca="1">IF(AND(ISNUMBER($N$341),$B$258=1),$N$341,HLOOKUP(INDIRECT(ADDRESS(2,COLUMN())),OFFSET($BN$2,0,0,ROW()-1,60),ROW()-1,FALSE))</f>
        <v>47.381</v>
      </c>
      <c r="O92">
        <f ca="1">IF(AND(ISNUMBER($O$341),$B$258=1),$O$341,HLOOKUP(INDIRECT(ADDRESS(2,COLUMN())),OFFSET($BN$2,0,0,ROW()-1,60),ROW()-1,FALSE))</f>
        <v>49.923999999999999</v>
      </c>
      <c r="P92">
        <f ca="1">IF(AND(ISNUMBER($P$341),$B$258=1),$P$341,HLOOKUP(INDIRECT(ADDRESS(2,COLUMN())),OFFSET($BN$2,0,0,ROW()-1,60),ROW()-1,FALSE))</f>
        <v>46.499000000000002</v>
      </c>
      <c r="Q92">
        <f ca="1">IF(AND(ISNUMBER($Q$341),$B$258=1),$Q$341,HLOOKUP(INDIRECT(ADDRESS(2,COLUMN())),OFFSET($BN$2,0,0,ROW()-1,60),ROW()-1,FALSE))</f>
        <v>48.698999999999998</v>
      </c>
      <c r="R92">
        <f ca="1">IF(AND(ISNUMBER($R$341),$B$258=1),$R$341,HLOOKUP(INDIRECT(ADDRESS(2,COLUMN())),OFFSET($BN$2,0,0,ROW()-1,60),ROW()-1,FALSE))</f>
        <v>43.084000000000003</v>
      </c>
      <c r="S92">
        <f ca="1">IF(AND(ISNUMBER($S$341),$B$258=1),$S$341,HLOOKUP(INDIRECT(ADDRESS(2,COLUMN())),OFFSET($BN$2,0,0,ROW()-1,60),ROW()-1,FALSE))</f>
        <v>40.987000000000002</v>
      </c>
      <c r="T92">
        <f ca="1">IF(AND(ISNUMBER($T$341),$B$258=1),$T$341,HLOOKUP(INDIRECT(ADDRESS(2,COLUMN())),OFFSET($BN$2,0,0,ROW()-1,60),ROW()-1,FALSE))</f>
        <v>40.067999999999998</v>
      </c>
      <c r="U92">
        <f ca="1">IF(AND(ISNUMBER($U$341),$B$258=1),$U$341,HLOOKUP(INDIRECT(ADDRESS(2,COLUMN())),OFFSET($BN$2,0,0,ROW()-1,60),ROW()-1,FALSE))</f>
        <v>36.457000000000001</v>
      </c>
      <c r="V92">
        <f ca="1">IF(AND(ISNUMBER($V$341),$B$258=1),$V$341,HLOOKUP(INDIRECT(ADDRESS(2,COLUMN())),OFFSET($BN$2,0,0,ROW()-1,60),ROW()-1,FALSE))</f>
        <v>40.234000000000002</v>
      </c>
      <c r="W92">
        <f ca="1">IF(AND(ISNUMBER($W$341),$B$258=1),$W$341,HLOOKUP(INDIRECT(ADDRESS(2,COLUMN())),OFFSET($BN$2,0,0,ROW()-1,60),ROW()-1,FALSE))</f>
        <v>37.984000000000002</v>
      </c>
      <c r="X92">
        <f ca="1">IF(AND(ISNUMBER($X$341),$B$258=1),$X$341,HLOOKUP(INDIRECT(ADDRESS(2,COLUMN())),OFFSET($BN$2,0,0,ROW()-1,60),ROW()-1,FALSE))</f>
        <v>34.404000000000003</v>
      </c>
      <c r="Y92">
        <f ca="1">IF(AND(ISNUMBER($Y$341),$B$258=1),$Y$341,HLOOKUP(INDIRECT(ADDRESS(2,COLUMN())),OFFSET($BN$2,0,0,ROW()-1,60),ROW()-1,FALSE))</f>
        <v>43.607999999999997</v>
      </c>
      <c r="Z92">
        <f ca="1">IF(AND(ISNUMBER($Z$341),$B$258=1),$Z$341,HLOOKUP(INDIRECT(ADDRESS(2,COLUMN())),OFFSET($BN$2,0,0,ROW()-1,60),ROW()-1,FALSE))</f>
        <v>29.911999999999999</v>
      </c>
      <c r="AA92">
        <f ca="1">IF(AND(ISNUMBER($AA$341),$B$258=1),$AA$341,HLOOKUP(INDIRECT(ADDRESS(2,COLUMN())),OFFSET($BN$2,0,0,ROW()-1,60),ROW()-1,FALSE))</f>
        <v>26.803000000000001</v>
      </c>
      <c r="AB92">
        <f ca="1">IF(AND(ISNUMBER($AB$341),$B$258=1),$AB$341,HLOOKUP(INDIRECT(ADDRESS(2,COLUMN())),OFFSET($BN$2,0,0,ROW()-1,60),ROW()-1,FALSE))</f>
        <v>26.506</v>
      </c>
      <c r="AC92">
        <f ca="1">IF(AND(ISNUMBER($AC$341),$B$258=1),$AC$341,HLOOKUP(INDIRECT(ADDRESS(2,COLUMN())),OFFSET($BN$2,0,0,ROW()-1,60),ROW()-1,FALSE))</f>
        <v>11.641999999999999</v>
      </c>
      <c r="AD92">
        <f ca="1">IF(AND(ISNUMBER($AD$341),$B$258=1),$AD$341,HLOOKUP(INDIRECT(ADDRESS(2,COLUMN())),OFFSET($BN$2,0,0,ROW()-1,60),ROW()-1,FALSE))</f>
        <v>27.042000000000002</v>
      </c>
      <c r="AE92">
        <f ca="1">IF(AND(ISNUMBER($AE$341),$B$258=1),$AE$341,HLOOKUP(INDIRECT(ADDRESS(2,COLUMN())),OFFSET($BN$2,0,0,ROW()-1,60),ROW()-1,FALSE))</f>
        <v>28.738</v>
      </c>
      <c r="AF92">
        <f ca="1">IF(AND(ISNUMBER($AF$341),$B$258=1),$AF$341,HLOOKUP(INDIRECT(ADDRESS(2,COLUMN())),OFFSET($BN$2,0,0,ROW()-1,60),ROW()-1,FALSE))</f>
        <v>27.594000000000001</v>
      </c>
      <c r="AG92">
        <f ca="1">IF(AND(ISNUMBER($AG$341),$B$258=1),$AG$341,HLOOKUP(INDIRECT(ADDRESS(2,COLUMN())),OFFSET($BN$2,0,0,ROW()-1,60),ROW()-1,FALSE))</f>
        <v>27.863</v>
      </c>
      <c r="AH92">
        <f ca="1">IF(AND(ISNUMBER($AH$341),$B$258=1),$AH$341,HLOOKUP(INDIRECT(ADDRESS(2,COLUMN())),OFFSET($BN$2,0,0,ROW()-1,60),ROW()-1,FALSE))</f>
        <v>28.94</v>
      </c>
      <c r="AI92">
        <f ca="1">IF(AND(ISNUMBER($AI$341),$B$258=1),$AI$341,HLOOKUP(INDIRECT(ADDRESS(2,COLUMN())),OFFSET($BN$2,0,0,ROW()-1,60),ROW()-1,FALSE))</f>
        <v>14.103999999999999</v>
      </c>
      <c r="AJ92">
        <f ca="1">IF(AND(ISNUMBER($AJ$341),$B$258=1),$AJ$341,HLOOKUP(INDIRECT(ADDRESS(2,COLUMN())),OFFSET($BN$2,0,0,ROW()-1,60),ROW()-1,FALSE))</f>
        <v>20.370999999999999</v>
      </c>
      <c r="AK92">
        <f ca="1">IF(AND(ISNUMBER($AK$341),$B$258=1),$AK$341,HLOOKUP(INDIRECT(ADDRESS(2,COLUMN())),OFFSET($BN$2,0,0,ROW()-1,60),ROW()-1,FALSE))</f>
        <v>18.846</v>
      </c>
      <c r="AL92">
        <f ca="1">IF(AND(ISNUMBER($AL$341),$B$258=1),$AL$341,HLOOKUP(INDIRECT(ADDRESS(2,COLUMN())),OFFSET($BN$2,0,0,ROW()-1,60),ROW()-1,FALSE))</f>
        <v>16.713999999999999</v>
      </c>
      <c r="AM92" t="str">
        <f ca="1">IF(AND(ISNUMBER($AM$341),$B$258=1),$AM$341,HLOOKUP(INDIRECT(ADDRESS(2,COLUMN())),OFFSET($BN$2,0,0,ROW()-1,60),ROW()-1,FALSE))</f>
        <v/>
      </c>
      <c r="AN92" t="str">
        <f ca="1">IF(AND(ISNUMBER($AN$341),$B$258=1),$AN$341,HLOOKUP(INDIRECT(ADDRESS(2,COLUMN())),OFFSET($BN$2,0,0,ROW()-1,60),ROW()-1,FALSE))</f>
        <v/>
      </c>
      <c r="AO92" t="str">
        <f ca="1">IF(AND(ISNUMBER($AO$341),$B$258=1),$AO$341,HLOOKUP(INDIRECT(ADDRESS(2,COLUMN())),OFFSET($BN$2,0,0,ROW()-1,60),ROW()-1,FALSE))</f>
        <v/>
      </c>
      <c r="AP92" t="str">
        <f ca="1">IF(AND(ISNUMBER($AP$341),$B$258=1),$AP$341,HLOOKUP(INDIRECT(ADDRESS(2,COLUMN())),OFFSET($BN$2,0,0,ROW()-1,60),ROW()-1,FALSE))</f>
        <v/>
      </c>
      <c r="AQ92" t="str">
        <f ca="1">IF(AND(ISNUMBER($AQ$341),$B$258=1),$AQ$341,HLOOKUP(INDIRECT(ADDRESS(2,COLUMN())),OFFSET($BN$2,0,0,ROW()-1,60),ROW()-1,FALSE))</f>
        <v/>
      </c>
      <c r="AR92" t="str">
        <f ca="1">IF(AND(ISNUMBER($AR$341),$B$258=1),$AR$341,HLOOKUP(INDIRECT(ADDRESS(2,COLUMN())),OFFSET($BN$2,0,0,ROW()-1,60),ROW()-1,FALSE))</f>
        <v/>
      </c>
      <c r="AS92" t="str">
        <f ca="1">IF(AND(ISNUMBER($AS$341),$B$258=1),$AS$341,HLOOKUP(INDIRECT(ADDRESS(2,COLUMN())),OFFSET($BN$2,0,0,ROW()-1,60),ROW()-1,FALSE))</f>
        <v/>
      </c>
      <c r="AT92" t="str">
        <f ca="1">IF(AND(ISNUMBER($AT$341),$B$258=1),$AT$341,HLOOKUP(INDIRECT(ADDRESS(2,COLUMN())),OFFSET($BN$2,0,0,ROW()-1,60),ROW()-1,FALSE))</f>
        <v/>
      </c>
      <c r="AU92" t="str">
        <f ca="1">IF(AND(ISNUMBER($AU$341),$B$258=1),$AU$341,HLOOKUP(INDIRECT(ADDRESS(2,COLUMN())),OFFSET($BN$2,0,0,ROW()-1,60),ROW()-1,FALSE))</f>
        <v/>
      </c>
      <c r="AV92" t="str">
        <f ca="1">IF(AND(ISNUMBER($AV$341),$B$258=1),$AV$341,HLOOKUP(INDIRECT(ADDRESS(2,COLUMN())),OFFSET($BN$2,0,0,ROW()-1,60),ROW()-1,FALSE))</f>
        <v/>
      </c>
      <c r="AW92" t="str">
        <f ca="1">IF(AND(ISNUMBER($AW$341),$B$258=1),$AW$341,HLOOKUP(INDIRECT(ADDRESS(2,COLUMN())),OFFSET($BN$2,0,0,ROW()-1,60),ROW()-1,FALSE))</f>
        <v/>
      </c>
      <c r="AX92" t="str">
        <f ca="1">IF(AND(ISNUMBER($AX$341),$B$258=1),$AX$341,HLOOKUP(INDIRECT(ADDRESS(2,COLUMN())),OFFSET($BN$2,0,0,ROW()-1,60),ROW()-1,FALSE))</f>
        <v/>
      </c>
      <c r="AY92" t="str">
        <f ca="1">IF(AND(ISNUMBER($AY$341),$B$258=1),$AY$341,HLOOKUP(INDIRECT(ADDRESS(2,COLUMN())),OFFSET($BN$2,0,0,ROW()-1,60),ROW()-1,FALSE))</f>
        <v/>
      </c>
      <c r="AZ92" t="str">
        <f ca="1">IF(AND(ISNUMBER($AZ$341),$B$258=1),$AZ$341,HLOOKUP(INDIRECT(ADDRESS(2,COLUMN())),OFFSET($BN$2,0,0,ROW()-1,60),ROW()-1,FALSE))</f>
        <v/>
      </c>
      <c r="BA92" t="str">
        <f ca="1">IF(AND(ISNUMBER($BA$341),$B$258=1),$BA$341,HLOOKUP(INDIRECT(ADDRESS(2,COLUMN())),OFFSET($BN$2,0,0,ROW()-1,60),ROW()-1,FALSE))</f>
        <v/>
      </c>
      <c r="BB92" t="str">
        <f ca="1">IF(AND(ISNUMBER($BB$341),$B$258=1),$BB$341,HLOOKUP(INDIRECT(ADDRESS(2,COLUMN())),OFFSET($BN$2,0,0,ROW()-1,60),ROW()-1,FALSE))</f>
        <v/>
      </c>
      <c r="BC92" t="str">
        <f ca="1">IF(AND(ISNUMBER($BC$341),$B$258=1),$BC$341,HLOOKUP(INDIRECT(ADDRESS(2,COLUMN())),OFFSET($BN$2,0,0,ROW()-1,60),ROW()-1,FALSE))</f>
        <v/>
      </c>
      <c r="BD92" t="str">
        <f ca="1">IF(AND(ISNUMBER($BD$341),$B$258=1),$BD$341,HLOOKUP(INDIRECT(ADDRESS(2,COLUMN())),OFFSET($BN$2,0,0,ROW()-1,60),ROW()-1,FALSE))</f>
        <v/>
      </c>
      <c r="BE92" t="str">
        <f ca="1">IF(AND(ISNUMBER($BE$341),$B$258=1),$BE$341,HLOOKUP(INDIRECT(ADDRESS(2,COLUMN())),OFFSET($BN$2,0,0,ROW()-1,60),ROW()-1,FALSE))</f>
        <v/>
      </c>
      <c r="BF92" t="str">
        <f ca="1">IF(AND(ISNUMBER($BF$341),$B$258=1),$BF$341,HLOOKUP(INDIRECT(ADDRESS(2,COLUMN())),OFFSET($BN$2,0,0,ROW()-1,60),ROW()-1,FALSE))</f>
        <v/>
      </c>
      <c r="BG92" t="str">
        <f ca="1">IF(AND(ISNUMBER($BG$341),$B$258=1),$BG$341,HLOOKUP(INDIRECT(ADDRESS(2,COLUMN())),OFFSET($BN$2,0,0,ROW()-1,60),ROW()-1,FALSE))</f>
        <v/>
      </c>
      <c r="BH92" t="str">
        <f ca="1">IF(AND(ISNUMBER($BH$341),$B$258=1),$BH$341,HLOOKUP(INDIRECT(ADDRESS(2,COLUMN())),OFFSET($BN$2,0,0,ROW()-1,60),ROW()-1,FALSE))</f>
        <v/>
      </c>
      <c r="BI92" t="str">
        <f ca="1">IF(AND(ISNUMBER($BI$341),$B$258=1),$BI$341,HLOOKUP(INDIRECT(ADDRESS(2,COLUMN())),OFFSET($BN$2,0,0,ROW()-1,60),ROW()-1,FALSE))</f>
        <v/>
      </c>
      <c r="BJ92" t="str">
        <f ca="1">IF(AND(ISNUMBER($BJ$341),$B$258=1),$BJ$341,HLOOKUP(INDIRECT(ADDRESS(2,COLUMN())),OFFSET($BN$2,0,0,ROW()-1,60),ROW()-1,FALSE))</f>
        <v/>
      </c>
      <c r="BK92" t="str">
        <f ca="1">IF(AND(ISNUMBER($BK$341),$B$258=1),$BK$341,HLOOKUP(INDIRECT(ADDRESS(2,COLUMN())),OFFSET($BN$2,0,0,ROW()-1,60),ROW()-1,FALSE))</f>
        <v/>
      </c>
      <c r="BL92" t="str">
        <f ca="1">IF(AND(ISNUMBER($BL$341),$B$258=1),$BL$341,HLOOKUP(INDIRECT(ADDRESS(2,COLUMN())),OFFSET($BN$2,0,0,ROW()-1,60),ROW()-1,FALSE))</f>
        <v/>
      </c>
      <c r="BM92" t="str">
        <f ca="1">IF(AND(ISNUMBER($BM$341),$B$258=1),$BM$341,HLOOKUP(INDIRECT(ADDRESS(2,COLUMN())),OFFSET($BN$2,0,0,ROW()-1,60),ROW()-1,FALSE))</f>
        <v/>
      </c>
      <c r="BN92" t="str">
        <f>""</f>
        <v/>
      </c>
      <c r="BO92">
        <f>85.562</f>
        <v>85.561999999999998</v>
      </c>
      <c r="BP92">
        <f>84.248</f>
        <v>84.248000000000005</v>
      </c>
      <c r="BQ92">
        <f>54.185</f>
        <v>54.185000000000002</v>
      </c>
      <c r="BR92">
        <f>60.231</f>
        <v>60.231000000000002</v>
      </c>
      <c r="BS92">
        <f>60.944</f>
        <v>60.944000000000003</v>
      </c>
      <c r="BT92">
        <f>53.972</f>
        <v>53.972000000000001</v>
      </c>
      <c r="BU92">
        <f>53.273</f>
        <v>53.273000000000003</v>
      </c>
      <c r="BV92">
        <f>47.381</f>
        <v>47.381</v>
      </c>
      <c r="BW92">
        <f>49.924</f>
        <v>49.923999999999999</v>
      </c>
      <c r="BX92">
        <f>46.499</f>
        <v>46.499000000000002</v>
      </c>
      <c r="BY92">
        <f>48.699</f>
        <v>48.698999999999998</v>
      </c>
      <c r="BZ92">
        <f>43.084</f>
        <v>43.084000000000003</v>
      </c>
      <c r="CA92">
        <f>40.987</f>
        <v>40.987000000000002</v>
      </c>
      <c r="CB92">
        <f>40.068</f>
        <v>40.067999999999998</v>
      </c>
      <c r="CC92">
        <f>36.457</f>
        <v>36.457000000000001</v>
      </c>
      <c r="CD92">
        <f>40.234</f>
        <v>40.234000000000002</v>
      </c>
      <c r="CE92">
        <f>37.984</f>
        <v>37.984000000000002</v>
      </c>
      <c r="CF92">
        <f>34.404</f>
        <v>34.404000000000003</v>
      </c>
      <c r="CG92">
        <f>43.608</f>
        <v>43.607999999999997</v>
      </c>
      <c r="CH92">
        <f>29.912</f>
        <v>29.911999999999999</v>
      </c>
      <c r="CI92">
        <f>26.803</f>
        <v>26.803000000000001</v>
      </c>
      <c r="CJ92">
        <f>26.506</f>
        <v>26.506</v>
      </c>
      <c r="CK92">
        <f>11.642</f>
        <v>11.641999999999999</v>
      </c>
      <c r="CL92">
        <f>27.042</f>
        <v>27.042000000000002</v>
      </c>
      <c r="CM92">
        <f>28.738</f>
        <v>28.738</v>
      </c>
      <c r="CN92">
        <f>27.594</f>
        <v>27.594000000000001</v>
      </c>
      <c r="CO92">
        <f>27.863</f>
        <v>27.863</v>
      </c>
      <c r="CP92">
        <f>28.94</f>
        <v>28.94</v>
      </c>
      <c r="CQ92">
        <f>14.104</f>
        <v>14.103999999999999</v>
      </c>
      <c r="CR92">
        <f>20.371</f>
        <v>20.370999999999999</v>
      </c>
      <c r="CS92">
        <f>18.846</f>
        <v>18.846</v>
      </c>
      <c r="CT92">
        <f>16.714</f>
        <v>16.713999999999999</v>
      </c>
      <c r="CU92" t="str">
        <f>""</f>
        <v/>
      </c>
      <c r="CV92" t="str">
        <f>""</f>
        <v/>
      </c>
      <c r="CW92" t="str">
        <f>""</f>
        <v/>
      </c>
      <c r="CX92" t="str">
        <f>""</f>
        <v/>
      </c>
      <c r="CY92" t="str">
        <f>""</f>
        <v/>
      </c>
      <c r="CZ92" t="str">
        <f>""</f>
        <v/>
      </c>
      <c r="DA92" t="str">
        <f>""</f>
        <v/>
      </c>
      <c r="DB92" t="str">
        <f>""</f>
        <v/>
      </c>
      <c r="DC92" t="str">
        <f>""</f>
        <v/>
      </c>
      <c r="DD92" t="str">
        <f>""</f>
        <v/>
      </c>
      <c r="DE92" t="str">
        <f>""</f>
        <v/>
      </c>
      <c r="DF92" t="str">
        <f>""</f>
        <v/>
      </c>
      <c r="DG92" t="str">
        <f>""</f>
        <v/>
      </c>
      <c r="DH92" t="str">
        <f>""</f>
        <v/>
      </c>
      <c r="DI92" t="str">
        <f>""</f>
        <v/>
      </c>
      <c r="DJ92" t="str">
        <f>""</f>
        <v/>
      </c>
      <c r="DK92" t="str">
        <f>""</f>
        <v/>
      </c>
      <c r="DL92" t="str">
        <f>""</f>
        <v/>
      </c>
      <c r="DM92" t="str">
        <f>""</f>
        <v/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</row>
    <row r="93" spans="1:125">
      <c r="A93" t="str">
        <f>"    Medical Properties Trust Inc"</f>
        <v xml:space="preserve">    Medical Properties Trust Inc</v>
      </c>
      <c r="B93" t="str">
        <f>"MPW US Equity"</f>
        <v>MPW US Equity</v>
      </c>
      <c r="C93" t="str">
        <f t="shared" si="21"/>
        <v>CF039</v>
      </c>
      <c r="D93" t="str">
        <f t="shared" si="22"/>
        <v>CF_FFO</v>
      </c>
      <c r="E93" t="str">
        <f t="shared" si="23"/>
        <v>动态</v>
      </c>
      <c r="F93" t="str">
        <f ca="1">IF(AND(ISNUMBER($F$342),$B$258=1),$F$342,HLOOKUP(INDIRECT(ADDRESS(2,COLUMN())),OFFSET($BN$2,0,0,ROW()-1,60),ROW()-1,FALSE))</f>
        <v/>
      </c>
      <c r="G93">
        <f ca="1">IF(AND(ISNUMBER($G$342),$B$258=1),$G$342,HLOOKUP(INDIRECT(ADDRESS(2,COLUMN())),OFFSET($BN$2,0,0,ROW()-1,60),ROW()-1,FALSE))</f>
        <v>107.657</v>
      </c>
      <c r="H93">
        <f ca="1">IF(AND(ISNUMBER($H$342),$B$258=1),$H$342,HLOOKUP(INDIRECT(ADDRESS(2,COLUMN())),OFFSET($BN$2,0,0,ROW()-1,60),ROW()-1,FALSE))</f>
        <v>108.982</v>
      </c>
      <c r="I93">
        <f ca="1">IF(AND(ISNUMBER($I$342),$B$258=1),$I$342,HLOOKUP(INDIRECT(ADDRESS(2,COLUMN())),OFFSET($BN$2,0,0,ROW()-1,60),ROW()-1,FALSE))</f>
        <v>103.342</v>
      </c>
      <c r="J93">
        <f ca="1">IF(AND(ISNUMBER($J$342),$B$258=1),$J$342,HLOOKUP(INDIRECT(ADDRESS(2,COLUMN())),OFFSET($BN$2,0,0,ROW()-1,60),ROW()-1,FALSE))</f>
        <v>88.531000000000006</v>
      </c>
      <c r="K93">
        <f ca="1">IF(AND(ISNUMBER($K$342),$B$258=1),$K$342,HLOOKUP(INDIRECT(ADDRESS(2,COLUMN())),OFFSET($BN$2,0,0,ROW()-1,60),ROW()-1,FALSE))</f>
        <v>69.885999999999996</v>
      </c>
      <c r="L93">
        <f ca="1">IF(AND(ISNUMBER($L$342),$B$258=1),$L$342,HLOOKUP(INDIRECT(ADDRESS(2,COLUMN())),OFFSET($BN$2,0,0,ROW()-1,60),ROW()-1,FALSE))</f>
        <v>50.063000000000002</v>
      </c>
      <c r="M93">
        <f ca="1">IF(AND(ISNUMBER($M$342),$B$258=1),$M$342,HLOOKUP(INDIRECT(ADDRESS(2,COLUMN())),OFFSET($BN$2,0,0,ROW()-1,60),ROW()-1,FALSE))</f>
        <v>54.314</v>
      </c>
      <c r="N93">
        <f ca="1">IF(AND(ISNUMBER($N$342),$B$258=1),$N$342,HLOOKUP(INDIRECT(ADDRESS(2,COLUMN())),OFFSET($BN$2,0,0,ROW()-1,60),ROW()-1,FALSE))</f>
        <v>79.215000000000003</v>
      </c>
      <c r="O93">
        <f ca="1">IF(AND(ISNUMBER($O$342),$B$258=1),$O$342,HLOOKUP(INDIRECT(ADDRESS(2,COLUMN())),OFFSET($BN$2,0,0,ROW()-1,60),ROW()-1,FALSE))</f>
        <v>78.13</v>
      </c>
      <c r="P93">
        <f ca="1">IF(AND(ISNUMBER($P$342),$B$258=1),$P$342,HLOOKUP(INDIRECT(ADDRESS(2,COLUMN())),OFFSET($BN$2,0,0,ROW()-1,60),ROW()-1,FALSE))</f>
        <v>39.54</v>
      </c>
      <c r="Q93">
        <f ca="1">IF(AND(ISNUMBER($Q$342),$B$258=1),$Q$342,HLOOKUP(INDIRECT(ADDRESS(2,COLUMN())),OFFSET($BN$2,0,0,ROW()-1,60),ROW()-1,FALSE))</f>
        <v>37.113</v>
      </c>
      <c r="R93">
        <f ca="1">IF(AND(ISNUMBER($R$342),$B$258=1),$R$342,HLOOKUP(INDIRECT(ADDRESS(2,COLUMN())),OFFSET($BN$2,0,0,ROW()-1,60),ROW()-1,FALSE))</f>
        <v>50.387</v>
      </c>
      <c r="S93">
        <f ca="1">IF(AND(ISNUMBER($S$342),$B$258=1),$S$342,HLOOKUP(INDIRECT(ADDRESS(2,COLUMN())),OFFSET($BN$2,0,0,ROW()-1,60),ROW()-1,FALSE))</f>
        <v>26.231999999999999</v>
      </c>
      <c r="T93">
        <f ca="1">IF(AND(ISNUMBER($T$342),$B$258=1),$T$342,HLOOKUP(INDIRECT(ADDRESS(2,COLUMN())),OFFSET($BN$2,0,0,ROW()-1,60),ROW()-1,FALSE))</f>
        <v>41.712000000000003</v>
      </c>
      <c r="U93">
        <f ca="1">IF(AND(ISNUMBER($U$342),$B$258=1),$U$342,HLOOKUP(INDIRECT(ADDRESS(2,COLUMN())),OFFSET($BN$2,0,0,ROW()-1,60),ROW()-1,FALSE))</f>
        <v>18.016999999999999</v>
      </c>
      <c r="V93">
        <f ca="1">IF(AND(ISNUMBER($V$342),$B$258=1),$V$342,HLOOKUP(INDIRECT(ADDRESS(2,COLUMN())),OFFSET($BN$2,0,0,ROW()-1,60),ROW()-1,FALSE))</f>
        <v>20.722000000000001</v>
      </c>
      <c r="W93">
        <f ca="1">IF(AND(ISNUMBER($W$342),$B$258=1),$W$342,HLOOKUP(INDIRECT(ADDRESS(2,COLUMN())),OFFSET($BN$2,0,0,ROW()-1,60),ROW()-1,FALSE))</f>
        <v>23.574999999999999</v>
      </c>
      <c r="X93">
        <f ca="1">IF(AND(ISNUMBER($X$342),$B$258=1),$X$342,HLOOKUP(INDIRECT(ADDRESS(2,COLUMN())),OFFSET($BN$2,0,0,ROW()-1,60),ROW()-1,FALSE))</f>
        <v>34.271000000000001</v>
      </c>
      <c r="Y93">
        <f ca="1">IF(AND(ISNUMBER($Y$342),$B$258=1),$Y$342,HLOOKUP(INDIRECT(ADDRESS(2,COLUMN())),OFFSET($BN$2,0,0,ROW()-1,60),ROW()-1,FALSE))</f>
        <v>33.832999999999998</v>
      </c>
      <c r="Z93">
        <f ca="1">IF(AND(ISNUMBER($Z$342),$B$258=1),$Z$342,HLOOKUP(INDIRECT(ADDRESS(2,COLUMN())),OFFSET($BN$2,0,0,ROW()-1,60),ROW()-1,FALSE))</f>
        <v>34.61</v>
      </c>
      <c r="AA93">
        <f ca="1">IF(AND(ISNUMBER($AA$342),$B$258=1),$AA$342,HLOOKUP(INDIRECT(ADDRESS(2,COLUMN())),OFFSET($BN$2,0,0,ROW()-1,60),ROW()-1,FALSE))</f>
        <v>27.738</v>
      </c>
      <c r="AB93">
        <f ca="1">IF(AND(ISNUMBER($AB$342),$B$258=1),$AB$342,HLOOKUP(INDIRECT(ADDRESS(2,COLUMN())),OFFSET($BN$2,0,0,ROW()-1,60),ROW()-1,FALSE))</f>
        <v>31.315000000000001</v>
      </c>
      <c r="AC93">
        <f ca="1">IF(AND(ISNUMBER($AC$342),$B$258=1),$AC$342,HLOOKUP(INDIRECT(ADDRESS(2,COLUMN())),OFFSET($BN$2,0,0,ROW()-1,60),ROW()-1,FALSE))</f>
        <v>29.388000000000002</v>
      </c>
      <c r="AD93">
        <f ca="1">IF(AND(ISNUMBER($AD$342),$B$258=1),$AD$342,HLOOKUP(INDIRECT(ADDRESS(2,COLUMN())),OFFSET($BN$2,0,0,ROW()-1,60),ROW()-1,FALSE))</f>
        <v>19.058</v>
      </c>
      <c r="AE93">
        <f ca="1">IF(AND(ISNUMBER($AE$342),$B$258=1),$AE$342,HLOOKUP(INDIRECT(ADDRESS(2,COLUMN())),OFFSET($BN$2,0,0,ROW()-1,60),ROW()-1,FALSE))</f>
        <v>17.067847</v>
      </c>
      <c r="AF93">
        <f ca="1">IF(AND(ISNUMBER($AF$342),$B$258=1),$AF$342,HLOOKUP(INDIRECT(ADDRESS(2,COLUMN())),OFFSET($BN$2,0,0,ROW()-1,60),ROW()-1,FALSE))</f>
        <v>8.5905620000000003</v>
      </c>
      <c r="AG93">
        <f ca="1">IF(AND(ISNUMBER($AG$342),$B$258=1),$AG$342,HLOOKUP(INDIRECT(ADDRESS(2,COLUMN())),OFFSET($BN$2,0,0,ROW()-1,60),ROW()-1,FALSE))</f>
        <v>11.277362999999999</v>
      </c>
      <c r="AH93">
        <f ca="1">IF(AND(ISNUMBER($AH$342),$B$258=1),$AH$342,HLOOKUP(INDIRECT(ADDRESS(2,COLUMN())),OFFSET($BN$2,0,0,ROW()-1,60),ROW()-1,FALSE))</f>
        <v>18.352</v>
      </c>
      <c r="AI93">
        <f ca="1">IF(AND(ISNUMBER($AI$342),$B$258=1),$AI$342,HLOOKUP(INDIRECT(ADDRESS(2,COLUMN())),OFFSET($BN$2,0,0,ROW()-1,60),ROW()-1,FALSE))</f>
        <v>13.951923000000001</v>
      </c>
      <c r="AJ93">
        <f ca="1">IF(AND(ISNUMBER($AJ$342),$B$258=1),$AJ$342,HLOOKUP(INDIRECT(ADDRESS(2,COLUMN())),OFFSET($BN$2,0,0,ROW()-1,60),ROW()-1,FALSE))</f>
        <v>13.457770999999999</v>
      </c>
      <c r="AK93">
        <f ca="1">IF(AND(ISNUMBER($AK$342),$B$258=1),$AK$342,HLOOKUP(INDIRECT(ADDRESS(2,COLUMN())),OFFSET($BN$2,0,0,ROW()-1,60),ROW()-1,FALSE))</f>
        <v>5.8299469999999998</v>
      </c>
      <c r="AL93">
        <f ca="1">IF(AND(ISNUMBER($AL$342),$B$258=1),$AL$342,HLOOKUP(INDIRECT(ADDRESS(2,COLUMN())),OFFSET($BN$2,0,0,ROW()-1,60),ROW()-1,FALSE))</f>
        <v>3.6913459999999998</v>
      </c>
      <c r="AM93">
        <f ca="1">IF(AND(ISNUMBER($AM$342),$B$258=1),$AM$342,HLOOKUP(INDIRECT(ADDRESS(2,COLUMN())),OFFSET($BN$2,0,0,ROW()-1,60),ROW()-1,FALSE))</f>
        <v>13.232987</v>
      </c>
      <c r="AN93">
        <f ca="1">IF(AND(ISNUMBER($AN$342),$B$258=1),$AN$342,HLOOKUP(INDIRECT(ADDRESS(2,COLUMN())),OFFSET($BN$2,0,0,ROW()-1,60),ROW()-1,FALSE))</f>
        <v>16.467751</v>
      </c>
      <c r="AO93">
        <f ca="1">IF(AND(ISNUMBER($AO$342),$B$258=1),$AO$342,HLOOKUP(INDIRECT(ADDRESS(2,COLUMN())),OFFSET($BN$2,0,0,ROW()-1,60),ROW()-1,FALSE))</f>
        <v>14.174825999999999</v>
      </c>
      <c r="AP93">
        <f ca="1">IF(AND(ISNUMBER($AP$342),$B$258=1),$AP$342,HLOOKUP(INDIRECT(ADDRESS(2,COLUMN())),OFFSET($BN$2,0,0,ROW()-1,60),ROW()-1,FALSE))</f>
        <v>16.565559</v>
      </c>
      <c r="AQ93">
        <f ca="1">IF(AND(ISNUMBER($AQ$342),$B$258=1),$AQ$342,HLOOKUP(INDIRECT(ADDRESS(2,COLUMN())),OFFSET($BN$2,0,0,ROW()-1,60),ROW()-1,FALSE))</f>
        <v>7.1787739999999998</v>
      </c>
      <c r="AR93">
        <f ca="1">IF(AND(ISNUMBER($AR$342),$B$258=1),$AR$342,HLOOKUP(INDIRECT(ADDRESS(2,COLUMN())),OFFSET($BN$2,0,0,ROW()-1,60),ROW()-1,FALSE))</f>
        <v>16.702000000000002</v>
      </c>
      <c r="AS93">
        <f ca="1">IF(AND(ISNUMBER($AS$342),$B$258=1),$AS$342,HLOOKUP(INDIRECT(ADDRESS(2,COLUMN())),OFFSET($BN$2,0,0,ROW()-1,60),ROW()-1,FALSE))</f>
        <v>9.0950000000000006</v>
      </c>
      <c r="AT93">
        <f ca="1">IF(AND(ISNUMBER($AT$342),$B$258=1),$AT$342,HLOOKUP(INDIRECT(ADDRESS(2,COLUMN())),OFFSET($BN$2,0,0,ROW()-1,60),ROW()-1,FALSE))</f>
        <v>14.994</v>
      </c>
      <c r="AU93">
        <f ca="1">IF(AND(ISNUMBER($AU$342),$B$258=1),$AU$342,HLOOKUP(INDIRECT(ADDRESS(2,COLUMN())),OFFSET($BN$2,0,0,ROW()-1,60),ROW()-1,FALSE))</f>
        <v>11.934153999999999</v>
      </c>
      <c r="AV93">
        <f ca="1">IF(AND(ISNUMBER($AV$342),$B$258=1),$AV$342,HLOOKUP(INDIRECT(ADDRESS(2,COLUMN())),OFFSET($BN$2,0,0,ROW()-1,60),ROW()-1,FALSE))</f>
        <v>14.911626999999999</v>
      </c>
      <c r="AW93">
        <f ca="1">IF(AND(ISNUMBER($AW$342),$B$258=1),$AW$342,HLOOKUP(INDIRECT(ADDRESS(2,COLUMN())),OFFSET($BN$2,0,0,ROW()-1,60),ROW()-1,FALSE))</f>
        <v>14.244047999999999</v>
      </c>
      <c r="AX93">
        <f ca="1">IF(AND(ISNUMBER($AX$342),$B$258=1),$AX$342,HLOOKUP(INDIRECT(ADDRESS(2,COLUMN())),OFFSET($BN$2,0,0,ROW()-1,60),ROW()-1,FALSE))</f>
        <v>8.7407979999999998</v>
      </c>
      <c r="AY93">
        <f ca="1">IF(AND(ISNUMBER($AY$342),$B$258=1),$AY$342,HLOOKUP(INDIRECT(ADDRESS(2,COLUMN())),OFFSET($BN$2,0,0,ROW()-1,60),ROW()-1,FALSE))</f>
        <v>10.363737</v>
      </c>
      <c r="AZ93">
        <f ca="1">IF(AND(ISNUMBER($AZ$342),$B$258=1),$AZ$342,HLOOKUP(INDIRECT(ADDRESS(2,COLUMN())),OFFSET($BN$2,0,0,ROW()-1,60),ROW()-1,FALSE))</f>
        <v>10.647918000000001</v>
      </c>
      <c r="BA93">
        <f ca="1">IF(AND(ISNUMBER($BA$342),$B$258=1),$BA$342,HLOOKUP(INDIRECT(ADDRESS(2,COLUMN())),OFFSET($BN$2,0,0,ROW()-1,60),ROW()-1,FALSE))</f>
        <v>9.3498619999999999</v>
      </c>
      <c r="BB93">
        <f ca="1">IF(AND(ISNUMBER($BB$342),$B$258=1),$BB$342,HLOOKUP(INDIRECT(ADDRESS(2,COLUMN())),OFFSET($BN$2,0,0,ROW()-1,60),ROW()-1,FALSE))</f>
        <v>9.412172</v>
      </c>
      <c r="BC93">
        <f ca="1">IF(AND(ISNUMBER($BC$342),$B$258=1),$BC$342,HLOOKUP(INDIRECT(ADDRESS(2,COLUMN())),OFFSET($BN$2,0,0,ROW()-1,60),ROW()-1,FALSE))</f>
        <v>7.6404519999999998</v>
      </c>
      <c r="BD93">
        <f ca="1">IF(AND(ISNUMBER($BD$342),$B$258=1),$BD$342,HLOOKUP(INDIRECT(ADDRESS(2,COLUMN())),OFFSET($BN$2,0,0,ROW()-1,60),ROW()-1,FALSE))</f>
        <v>6.4264780000000004</v>
      </c>
      <c r="BE93">
        <f ca="1">IF(AND(ISNUMBER($BE$342),$B$258=1),$BE$342,HLOOKUP(INDIRECT(ADDRESS(2,COLUMN())),OFFSET($BN$2,0,0,ROW()-1,60),ROW()-1,FALSE))</f>
        <v>5.3541479110000001</v>
      </c>
      <c r="BF93">
        <f ca="1">IF(AND(ISNUMBER($BF$342),$B$258=1),$BF$342,HLOOKUP(INDIRECT(ADDRESS(2,COLUMN())),OFFSET($BN$2,0,0,ROW()-1,60),ROW()-1,FALSE))</f>
        <v>4.4019999500000004</v>
      </c>
      <c r="BG93" t="str">
        <f ca="1">IF(AND(ISNUMBER($BG$342),$B$258=1),$BG$342,HLOOKUP(INDIRECT(ADDRESS(2,COLUMN())),OFFSET($BN$2,0,0,ROW()-1,60),ROW()-1,FALSE))</f>
        <v/>
      </c>
      <c r="BH93" t="str">
        <f ca="1">IF(AND(ISNUMBER($BH$342),$B$258=1),$BH$342,HLOOKUP(INDIRECT(ADDRESS(2,COLUMN())),OFFSET($BN$2,0,0,ROW()-1,60),ROW()-1,FALSE))</f>
        <v/>
      </c>
      <c r="BI93" t="str">
        <f ca="1">IF(AND(ISNUMBER($BI$342),$B$258=1),$BI$342,HLOOKUP(INDIRECT(ADDRESS(2,COLUMN())),OFFSET($BN$2,0,0,ROW()-1,60),ROW()-1,FALSE))</f>
        <v/>
      </c>
      <c r="BJ93" t="str">
        <f ca="1">IF(AND(ISNUMBER($BJ$342),$B$258=1),$BJ$342,HLOOKUP(INDIRECT(ADDRESS(2,COLUMN())),OFFSET($BN$2,0,0,ROW()-1,60),ROW()-1,FALSE))</f>
        <v/>
      </c>
      <c r="BK93" t="str">
        <f ca="1">IF(AND(ISNUMBER($BK$342),$B$258=1),$BK$342,HLOOKUP(INDIRECT(ADDRESS(2,COLUMN())),OFFSET($BN$2,0,0,ROW()-1,60),ROW()-1,FALSE))</f>
        <v/>
      </c>
      <c r="BL93" t="str">
        <f ca="1">IF(AND(ISNUMBER($BL$342),$B$258=1),$BL$342,HLOOKUP(INDIRECT(ADDRESS(2,COLUMN())),OFFSET($BN$2,0,0,ROW()-1,60),ROW()-1,FALSE))</f>
        <v/>
      </c>
      <c r="BM93" t="str">
        <f ca="1">IF(AND(ISNUMBER($BM$342),$B$258=1),$BM$342,HLOOKUP(INDIRECT(ADDRESS(2,COLUMN())),OFFSET($BN$2,0,0,ROW()-1,60),ROW()-1,FALSE))</f>
        <v/>
      </c>
      <c r="BN93" t="str">
        <f>""</f>
        <v/>
      </c>
      <c r="BO93">
        <f>107.657</f>
        <v>107.657</v>
      </c>
      <c r="BP93">
        <f>108.982</f>
        <v>108.982</v>
      </c>
      <c r="BQ93">
        <f>103.342</f>
        <v>103.342</v>
      </c>
      <c r="BR93">
        <f>88.531</f>
        <v>88.531000000000006</v>
      </c>
      <c r="BS93">
        <f>69.886</f>
        <v>69.885999999999996</v>
      </c>
      <c r="BT93">
        <f>50.063</f>
        <v>50.063000000000002</v>
      </c>
      <c r="BU93">
        <f>54.314</f>
        <v>54.314</v>
      </c>
      <c r="BV93">
        <f>79.215</f>
        <v>79.215000000000003</v>
      </c>
      <c r="BW93">
        <f>78.13</f>
        <v>78.13</v>
      </c>
      <c r="BX93">
        <f>39.54</f>
        <v>39.54</v>
      </c>
      <c r="BY93">
        <f>37.113</f>
        <v>37.113</v>
      </c>
      <c r="BZ93">
        <f>50.387</f>
        <v>50.387</v>
      </c>
      <c r="CA93">
        <f>26.232</f>
        <v>26.231999999999999</v>
      </c>
      <c r="CB93">
        <f>41.712</f>
        <v>41.712000000000003</v>
      </c>
      <c r="CC93">
        <f>18.017</f>
        <v>18.016999999999999</v>
      </c>
      <c r="CD93">
        <f>20.722</f>
        <v>20.722000000000001</v>
      </c>
      <c r="CE93">
        <f>23.575</f>
        <v>23.574999999999999</v>
      </c>
      <c r="CF93">
        <f>34.271</f>
        <v>34.271000000000001</v>
      </c>
      <c r="CG93">
        <f>33.833</f>
        <v>33.832999999999998</v>
      </c>
      <c r="CH93">
        <f>34.61</f>
        <v>34.61</v>
      </c>
      <c r="CI93">
        <f>27.738</f>
        <v>27.738</v>
      </c>
      <c r="CJ93">
        <f>31.315</f>
        <v>31.315000000000001</v>
      </c>
      <c r="CK93">
        <f>29.388</f>
        <v>29.388000000000002</v>
      </c>
      <c r="CL93">
        <f>19.058</f>
        <v>19.058</v>
      </c>
      <c r="CM93">
        <f>17.067847</f>
        <v>17.067847</v>
      </c>
      <c r="CN93">
        <f>8.590562</f>
        <v>8.5905620000000003</v>
      </c>
      <c r="CO93">
        <f>11.277363</f>
        <v>11.277362999999999</v>
      </c>
      <c r="CP93">
        <f>18.352</f>
        <v>18.352</v>
      </c>
      <c r="CQ93">
        <f>13.951923</f>
        <v>13.951923000000001</v>
      </c>
      <c r="CR93">
        <f>13.457771</f>
        <v>13.457770999999999</v>
      </c>
      <c r="CS93">
        <f>5.829947</f>
        <v>5.8299469999999998</v>
      </c>
      <c r="CT93">
        <f>3.691346</f>
        <v>3.6913459999999998</v>
      </c>
      <c r="CU93">
        <f>13.232987</f>
        <v>13.232987</v>
      </c>
      <c r="CV93">
        <f>16.467751</f>
        <v>16.467751</v>
      </c>
      <c r="CW93">
        <f>14.174826</f>
        <v>14.174825999999999</v>
      </c>
      <c r="CX93">
        <f>16.565559</f>
        <v>16.565559</v>
      </c>
      <c r="CY93">
        <f>7.178774</f>
        <v>7.1787739999999998</v>
      </c>
      <c r="CZ93">
        <f>16.702</f>
        <v>16.702000000000002</v>
      </c>
      <c r="DA93">
        <f>9.095</f>
        <v>9.0950000000000006</v>
      </c>
      <c r="DB93">
        <f>14.994</f>
        <v>14.994</v>
      </c>
      <c r="DC93">
        <f>11.934154</f>
        <v>11.934153999999999</v>
      </c>
      <c r="DD93">
        <f>14.911627</f>
        <v>14.911626999999999</v>
      </c>
      <c r="DE93">
        <f>14.244048</f>
        <v>14.244047999999999</v>
      </c>
      <c r="DF93">
        <f>8.740798</f>
        <v>8.7407979999999998</v>
      </c>
      <c r="DG93">
        <f>10.363737</f>
        <v>10.363737</v>
      </c>
      <c r="DH93">
        <f>10.647918</f>
        <v>10.647918000000001</v>
      </c>
      <c r="DI93">
        <f>9.349862</f>
        <v>9.3498619999999999</v>
      </c>
      <c r="DJ93">
        <f>9.412172</f>
        <v>9.412172</v>
      </c>
      <c r="DK93">
        <f>7.640452</f>
        <v>7.6404519999999998</v>
      </c>
      <c r="DL93">
        <f>6.426478</f>
        <v>6.4264780000000004</v>
      </c>
      <c r="DM93">
        <f>5.354147911</f>
        <v>5.3541479110000001</v>
      </c>
      <c r="DN93">
        <f>4.40199995</f>
        <v>4.4019999500000004</v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</row>
    <row r="94" spans="1:125">
      <c r="A94" t="str">
        <f>"    Omega Healthcare Investors Inc"</f>
        <v xml:space="preserve">    Omega Healthcare Investors Inc</v>
      </c>
      <c r="B94" t="str">
        <f>"OHI US Equity"</f>
        <v>OHI US Equity</v>
      </c>
      <c r="C94" t="str">
        <f t="shared" si="21"/>
        <v>CF039</v>
      </c>
      <c r="D94" t="str">
        <f t="shared" si="22"/>
        <v>CF_FFO</v>
      </c>
      <c r="E94" t="str">
        <f t="shared" si="23"/>
        <v>动态</v>
      </c>
      <c r="F94" t="str">
        <f ca="1">IF(AND(ISNUMBER($F$343),$B$258=1),$F$343,HLOOKUP(INDIRECT(ADDRESS(2,COLUMN())),OFFSET($BN$2,0,0,ROW()-1,60),ROW()-1,FALSE))</f>
        <v/>
      </c>
      <c r="G94">
        <f ca="1">IF(AND(ISNUMBER($G$343),$B$258=1),$G$343,HLOOKUP(INDIRECT(ADDRESS(2,COLUMN())),OFFSET($BN$2,0,0,ROW()-1,60),ROW()-1,FALSE))</f>
        <v>159.17500000000001</v>
      </c>
      <c r="H94">
        <f ca="1">IF(AND(ISNUMBER($H$343),$B$258=1),$H$343,HLOOKUP(INDIRECT(ADDRESS(2,COLUMN())),OFFSET($BN$2,0,0,ROW()-1,60),ROW()-1,FALSE))</f>
        <v>-46.789000000000001</v>
      </c>
      <c r="I94">
        <f ca="1">IF(AND(ISNUMBER($I$343),$B$258=1),$I$343,HLOOKUP(INDIRECT(ADDRESS(2,COLUMN())),OFFSET($BN$2,0,0,ROW()-1,60),ROW()-1,FALSE))</f>
        <v>150.922</v>
      </c>
      <c r="J94">
        <f ca="1">IF(AND(ISNUMBER($J$343),$B$258=1),$J$343,HLOOKUP(INDIRECT(ADDRESS(2,COLUMN())),OFFSET($BN$2,0,0,ROW()-1,60),ROW()-1,FALSE))</f>
        <v>180.98099999999999</v>
      </c>
      <c r="K94">
        <f ca="1">IF(AND(ISNUMBER($K$343),$B$258=1),$K$343,HLOOKUP(INDIRECT(ADDRESS(2,COLUMN())),OFFSET($BN$2,0,0,ROW()-1,60),ROW()-1,FALSE))</f>
        <v>171.52099999999999</v>
      </c>
      <c r="L94">
        <f ca="1">IF(AND(ISNUMBER($L$343),$B$258=1),$L$343,HLOOKUP(INDIRECT(ADDRESS(2,COLUMN())),OFFSET($BN$2,0,0,ROW()-1,60),ROW()-1,FALSE))</f>
        <v>162.58600000000001</v>
      </c>
      <c r="M94">
        <f ca="1">IF(AND(ISNUMBER($M$343),$B$258=1),$M$343,HLOOKUP(INDIRECT(ADDRESS(2,COLUMN())),OFFSET($BN$2,0,0,ROW()-1,60),ROW()-1,FALSE))</f>
        <v>172.33099999999999</v>
      </c>
      <c r="N94">
        <f ca="1">IF(AND(ISNUMBER($N$343),$B$258=1),$N$343,HLOOKUP(INDIRECT(ADDRESS(2,COLUMN())),OFFSET($BN$2,0,0,ROW()-1,60),ROW()-1,FALSE))</f>
        <v>153.61600000000001</v>
      </c>
      <c r="O94">
        <f ca="1">IF(AND(ISNUMBER($O$343),$B$258=1),$O$343,HLOOKUP(INDIRECT(ADDRESS(2,COLUMN())),OFFSET($BN$2,0,0,ROW()-1,60),ROW()-1,FALSE))</f>
        <v>127.435</v>
      </c>
      <c r="P94">
        <f ca="1">IF(AND(ISNUMBER($P$343),$B$258=1),$P$343,HLOOKUP(INDIRECT(ADDRESS(2,COLUMN())),OFFSET($BN$2,0,0,ROW()-1,60),ROW()-1,FALSE))</f>
        <v>147.53100000000001</v>
      </c>
      <c r="Q94">
        <f ca="1">IF(AND(ISNUMBER($Q$343),$B$258=1),$Q$343,HLOOKUP(INDIRECT(ADDRESS(2,COLUMN())),OFFSET($BN$2,0,0,ROW()-1,60),ROW()-1,FALSE))</f>
        <v>100.736</v>
      </c>
      <c r="R94">
        <f ca="1">IF(AND(ISNUMBER($R$343),$B$258=1),$R$343,HLOOKUP(INDIRECT(ADDRESS(2,COLUMN())),OFFSET($BN$2,0,0,ROW()-1,60),ROW()-1,FALSE))</f>
        <v>79.644000000000005</v>
      </c>
      <c r="S94">
        <f ca="1">IF(AND(ISNUMBER($S$343),$B$258=1),$S$343,HLOOKUP(INDIRECT(ADDRESS(2,COLUMN())),OFFSET($BN$2,0,0,ROW()-1,60),ROW()-1,FALSE))</f>
        <v>87.391000000000005</v>
      </c>
      <c r="T94">
        <f ca="1">IF(AND(ISNUMBER($T$343),$B$258=1),$T$343,HLOOKUP(INDIRECT(ADDRESS(2,COLUMN())),OFFSET($BN$2,0,0,ROW()-1,60),ROW()-1,FALSE))</f>
        <v>93.945999999999998</v>
      </c>
      <c r="U94">
        <f ca="1">IF(AND(ISNUMBER($U$343),$B$258=1),$U$343,HLOOKUP(INDIRECT(ADDRESS(2,COLUMN())),OFFSET($BN$2,0,0,ROW()-1,60),ROW()-1,FALSE))</f>
        <v>79.676000000000002</v>
      </c>
      <c r="V94">
        <f ca="1">IF(AND(ISNUMBER($V$343),$B$258=1),$V$343,HLOOKUP(INDIRECT(ADDRESS(2,COLUMN())),OFFSET($BN$2,0,0,ROW()-1,60),ROW()-1,FALSE))</f>
        <v>84.39</v>
      </c>
      <c r="W94">
        <f ca="1">IF(AND(ISNUMBER($W$343),$B$258=1),$W$343,HLOOKUP(INDIRECT(ADDRESS(2,COLUMN())),OFFSET($BN$2,0,0,ROW()-1,60),ROW()-1,FALSE))</f>
        <v>79.881</v>
      </c>
      <c r="X94">
        <f ca="1">IF(AND(ISNUMBER($X$343),$B$258=1),$X$343,HLOOKUP(INDIRECT(ADDRESS(2,COLUMN())),OFFSET($BN$2,0,0,ROW()-1,60),ROW()-1,FALSE))</f>
        <v>70.338999999999999</v>
      </c>
      <c r="Y94">
        <f ca="1">IF(AND(ISNUMBER($Y$343),$B$258=1),$Y$343,HLOOKUP(INDIRECT(ADDRESS(2,COLUMN())),OFFSET($BN$2,0,0,ROW()-1,60),ROW()-1,FALSE))</f>
        <v>82.433999999999997</v>
      </c>
      <c r="Z94">
        <f ca="1">IF(AND(ISNUMBER($Z$343),$B$258=1),$Z$343,HLOOKUP(INDIRECT(ADDRESS(2,COLUMN())),OFFSET($BN$2,0,0,ROW()-1,60),ROW()-1,FALSE))</f>
        <v>70.078999999999994</v>
      </c>
      <c r="AA94">
        <f ca="1">IF(AND(ISNUMBER($AA$343),$B$258=1),$AA$343,HLOOKUP(INDIRECT(ADDRESS(2,COLUMN())),OFFSET($BN$2,0,0,ROW()-1,60),ROW()-1,FALSE))</f>
        <v>61.429000000000002</v>
      </c>
      <c r="AB94">
        <f ca="1">IF(AND(ISNUMBER($AB$343),$B$258=1),$AB$343,HLOOKUP(INDIRECT(ADDRESS(2,COLUMN())),OFFSET($BN$2,0,0,ROW()-1,60),ROW()-1,FALSE))</f>
        <v>56.734999999999999</v>
      </c>
      <c r="AC94">
        <f ca="1">IF(AND(ISNUMBER($AC$343),$B$258=1),$AC$343,HLOOKUP(INDIRECT(ADDRESS(2,COLUMN())),OFFSET($BN$2,0,0,ROW()-1,60),ROW()-1,FALSE))</f>
        <v>55.802999999999997</v>
      </c>
      <c r="AD94">
        <f ca="1">IF(AND(ISNUMBER($AD$343),$B$258=1),$AD$343,HLOOKUP(INDIRECT(ADDRESS(2,COLUMN())),OFFSET($BN$2,0,0,ROW()-1,60),ROW()-1,FALSE))</f>
        <v>48.186999999999998</v>
      </c>
      <c r="AE94">
        <f ca="1">IF(AND(ISNUMBER($AE$343),$B$258=1),$AE$343,HLOOKUP(INDIRECT(ADDRESS(2,COLUMN())),OFFSET($BN$2,0,0,ROW()-1,60),ROW()-1,FALSE))</f>
        <v>46.287999999999997</v>
      </c>
      <c r="AF94">
        <f ca="1">IF(AND(ISNUMBER($AF$343),$B$258=1),$AF$343,HLOOKUP(INDIRECT(ADDRESS(2,COLUMN())),OFFSET($BN$2,0,0,ROW()-1,60),ROW()-1,FALSE))</f>
        <v>44.503999999999998</v>
      </c>
      <c r="AG94">
        <f ca="1">IF(AND(ISNUMBER($AG$343),$B$258=1),$AG$343,HLOOKUP(INDIRECT(ADDRESS(2,COLUMN())),OFFSET($BN$2,0,0,ROW()-1,60),ROW()-1,FALSE))</f>
        <v>42.564999999999998</v>
      </c>
      <c r="AH94">
        <f ca="1">IF(AND(ISNUMBER($AH$343),$B$258=1),$AH$343,HLOOKUP(INDIRECT(ADDRESS(2,COLUMN())),OFFSET($BN$2,0,0,ROW()-1,60),ROW()-1,FALSE))</f>
        <v>39.113</v>
      </c>
      <c r="AI94">
        <f ca="1">IF(AND(ISNUMBER($AI$343),$B$258=1),$AI$343,HLOOKUP(INDIRECT(ADDRESS(2,COLUMN())),OFFSET($BN$2,0,0,ROW()-1,60),ROW()-1,FALSE))</f>
        <v>28.44</v>
      </c>
      <c r="AJ94">
        <f ca="1">IF(AND(ISNUMBER($AJ$343),$B$258=1),$AJ$343,HLOOKUP(INDIRECT(ADDRESS(2,COLUMN())),OFFSET($BN$2,0,0,ROW()-1,60),ROW()-1,FALSE))</f>
        <v>42.481999999999999</v>
      </c>
      <c r="AK94">
        <f ca="1">IF(AND(ISNUMBER($AK$343),$B$258=1),$AK$343,HLOOKUP(INDIRECT(ADDRESS(2,COLUMN())),OFFSET($BN$2,0,0,ROW()-1,60),ROW()-1,FALSE))</f>
        <v>29.687999999999999</v>
      </c>
      <c r="AL94">
        <f ca="1">IF(AND(ISNUMBER($AL$343),$B$258=1),$AL$343,HLOOKUP(INDIRECT(ADDRESS(2,COLUMN())),OFFSET($BN$2,0,0,ROW()-1,60),ROW()-1,FALSE))</f>
        <v>33.366999999999997</v>
      </c>
      <c r="AM94">
        <f ca="1">IF(AND(ISNUMBER($AM$343),$B$258=1),$AM$343,HLOOKUP(INDIRECT(ADDRESS(2,COLUMN())),OFFSET($BN$2,0,0,ROW()-1,60),ROW()-1,FALSE))</f>
        <v>24.87</v>
      </c>
      <c r="AN94">
        <f ca="1">IF(AND(ISNUMBER($AN$343),$B$258=1),$AN$343,HLOOKUP(INDIRECT(ADDRESS(2,COLUMN())),OFFSET($BN$2,0,0,ROW()-1,60),ROW()-1,FALSE))</f>
        <v>29.96</v>
      </c>
      <c r="AO94">
        <f ca="1">IF(AND(ISNUMBER($AO$343),$B$258=1),$AO$343,HLOOKUP(INDIRECT(ADDRESS(2,COLUMN())),OFFSET($BN$2,0,0,ROW()-1,60),ROW()-1,FALSE))</f>
        <v>28.564</v>
      </c>
      <c r="AP94">
        <f ca="1">IF(AND(ISNUMBER($AP$343),$B$258=1),$AP$343,HLOOKUP(INDIRECT(ADDRESS(2,COLUMN())),OFFSET($BN$2,0,0,ROW()-1,60),ROW()-1,FALSE))</f>
        <v>33.572000000000003</v>
      </c>
      <c r="AQ94">
        <f ca="1">IF(AND(ISNUMBER($AQ$343),$B$258=1),$AQ$343,HLOOKUP(INDIRECT(ADDRESS(2,COLUMN())),OFFSET($BN$2,0,0,ROW()-1,60),ROW()-1,FALSE))</f>
        <v>26.260999999999999</v>
      </c>
      <c r="AR94">
        <f ca="1">IF(AND(ISNUMBER($AR$343),$B$258=1),$AR$343,HLOOKUP(INDIRECT(ADDRESS(2,COLUMN())),OFFSET($BN$2,0,0,ROW()-1,60),ROW()-1,FALSE))</f>
        <v>23.861999999999998</v>
      </c>
      <c r="AS94">
        <f ca="1">IF(AND(ISNUMBER($AS$343),$B$258=1),$AS$343,HLOOKUP(INDIRECT(ADDRESS(2,COLUMN())),OFFSET($BN$2,0,0,ROW()-1,60),ROW()-1,FALSE))</f>
        <v>24.353999999999999</v>
      </c>
      <c r="AT94">
        <f ca="1">IF(AND(ISNUMBER($AT$343),$B$258=1),$AT$343,HLOOKUP(INDIRECT(ADDRESS(2,COLUMN())),OFFSET($BN$2,0,0,ROW()-1,60),ROW()-1,FALSE))</f>
        <v>23.672000000000001</v>
      </c>
      <c r="AU94">
        <f ca="1">IF(AND(ISNUMBER($AU$343),$B$258=1),$AU$343,HLOOKUP(INDIRECT(ADDRESS(2,COLUMN())),OFFSET($BN$2,0,0,ROW()-1,60),ROW()-1,FALSE))</f>
        <v>23.725000000000001</v>
      </c>
      <c r="AV94">
        <f ca="1">IF(AND(ISNUMBER($AV$343),$B$258=1),$AV$343,HLOOKUP(INDIRECT(ADDRESS(2,COLUMN())),OFFSET($BN$2,0,0,ROW()-1,60),ROW()-1,FALSE))</f>
        <v>22.007999999999999</v>
      </c>
      <c r="AW94">
        <f ca="1">IF(AND(ISNUMBER($AW$343),$B$258=1),$AW$343,HLOOKUP(INDIRECT(ADDRESS(2,COLUMN())),OFFSET($BN$2,0,0,ROW()-1,60),ROW()-1,FALSE))</f>
        <v>22.401</v>
      </c>
      <c r="AX94">
        <f ca="1">IF(AND(ISNUMBER($AX$343),$B$258=1),$AX$343,HLOOKUP(INDIRECT(ADDRESS(2,COLUMN())),OFFSET($BN$2,0,0,ROW()-1,60),ROW()-1,FALSE))</f>
        <v>25.38</v>
      </c>
      <c r="AY94">
        <f ca="1">IF(AND(ISNUMBER($AY$343),$B$258=1),$AY$343,HLOOKUP(INDIRECT(ADDRESS(2,COLUMN())),OFFSET($BN$2,0,0,ROW()-1,60),ROW()-1,FALSE))</f>
        <v>19.212</v>
      </c>
      <c r="AZ94">
        <f ca="1">IF(AND(ISNUMBER($AZ$343),$B$258=1),$AZ$343,HLOOKUP(INDIRECT(ADDRESS(2,COLUMN())),OFFSET($BN$2,0,0,ROW()-1,60),ROW()-1,FALSE))</f>
        <v>19.317</v>
      </c>
      <c r="BA94">
        <f ca="1">IF(AND(ISNUMBER($BA$343),$B$258=1),$BA$343,HLOOKUP(INDIRECT(ADDRESS(2,COLUMN())),OFFSET($BN$2,0,0,ROW()-1,60),ROW()-1,FALSE))</f>
        <v>22.684000000000001</v>
      </c>
      <c r="BB94">
        <f ca="1">IF(AND(ISNUMBER($BB$343),$B$258=1),$BB$343,HLOOKUP(INDIRECT(ADDRESS(2,COLUMN())),OFFSET($BN$2,0,0,ROW()-1,60),ROW()-1,FALSE))</f>
        <v>15.468999999999999</v>
      </c>
      <c r="BC94">
        <f ca="1">IF(AND(ISNUMBER($BC$343),$B$258=1),$BC$343,HLOOKUP(INDIRECT(ADDRESS(2,COLUMN())),OFFSET($BN$2,0,0,ROW()-1,60),ROW()-1,FALSE))</f>
        <v>13.775</v>
      </c>
      <c r="BD94">
        <f ca="1">IF(AND(ISNUMBER($BD$343),$B$258=1),$BD$343,HLOOKUP(INDIRECT(ADDRESS(2,COLUMN())),OFFSET($BN$2,0,0,ROW()-1,60),ROW()-1,FALSE))</f>
        <v>8.7680000000000007</v>
      </c>
      <c r="BE94">
        <f ca="1">IF(AND(ISNUMBER($BE$343),$B$258=1),$BE$343,HLOOKUP(INDIRECT(ADDRESS(2,COLUMN())),OFFSET($BN$2,0,0,ROW()-1,60),ROW()-1,FALSE))</f>
        <v>8.0850000000000009</v>
      </c>
      <c r="BF94">
        <f ca="1">IF(AND(ISNUMBER($BF$343),$B$258=1),$BF$343,HLOOKUP(INDIRECT(ADDRESS(2,COLUMN())),OFFSET($BN$2,0,0,ROW()-1,60),ROW()-1,FALSE))</f>
        <v>12.035</v>
      </c>
      <c r="BG94">
        <f ca="1">IF(AND(ISNUMBER($BG$343),$B$258=1),$BG$343,HLOOKUP(INDIRECT(ADDRESS(2,COLUMN())),OFFSET($BN$2,0,0,ROW()-1,60),ROW()-1,FALSE))</f>
        <v>10.647</v>
      </c>
      <c r="BH94">
        <f ca="1">IF(AND(ISNUMBER($BH$343),$B$258=1),$BH$343,HLOOKUP(INDIRECT(ADDRESS(2,COLUMN())),OFFSET($BN$2,0,0,ROW()-1,60),ROW()-1,FALSE))</f>
        <v>5.4000000950000002</v>
      </c>
      <c r="BI94">
        <f ca="1">IF(AND(ISNUMBER($BI$343),$B$258=1),$BI$343,HLOOKUP(INDIRECT(ADDRESS(2,COLUMN())),OFFSET($BN$2,0,0,ROW()-1,60),ROW()-1,FALSE))</f>
        <v>5.0999999049999998</v>
      </c>
      <c r="BJ94" t="str">
        <f ca="1">IF(AND(ISNUMBER($BJ$343),$B$258=1),$BJ$343,HLOOKUP(INDIRECT(ADDRESS(2,COLUMN())),OFFSET($BN$2,0,0,ROW()-1,60),ROW()-1,FALSE))</f>
        <v/>
      </c>
      <c r="BK94">
        <f ca="1">IF(AND(ISNUMBER($BK$343),$B$258=1),$BK$343,HLOOKUP(INDIRECT(ADDRESS(2,COLUMN())),OFFSET($BN$2,0,0,ROW()-1,60),ROW()-1,FALSE))</f>
        <v>11.01</v>
      </c>
      <c r="BL94" t="str">
        <f ca="1">IF(AND(ISNUMBER($BL$343),$B$258=1),$BL$343,HLOOKUP(INDIRECT(ADDRESS(2,COLUMN())),OFFSET($BN$2,0,0,ROW()-1,60),ROW()-1,FALSE))</f>
        <v/>
      </c>
      <c r="BM94">
        <f ca="1">IF(AND(ISNUMBER($BM$343),$B$258=1),$BM$343,HLOOKUP(INDIRECT(ADDRESS(2,COLUMN())),OFFSET($BN$2,0,0,ROW()-1,60),ROW()-1,FALSE))</f>
        <v>8.5</v>
      </c>
      <c r="BN94" t="str">
        <f>""</f>
        <v/>
      </c>
      <c r="BO94">
        <f>159.175</f>
        <v>159.17500000000001</v>
      </c>
      <c r="BP94">
        <f>-46.789</f>
        <v>-46.789000000000001</v>
      </c>
      <c r="BQ94">
        <f>150.922</f>
        <v>150.922</v>
      </c>
      <c r="BR94">
        <f>180.981</f>
        <v>180.98099999999999</v>
      </c>
      <c r="BS94">
        <f>171.521</f>
        <v>171.52099999999999</v>
      </c>
      <c r="BT94">
        <f>162.586</f>
        <v>162.58600000000001</v>
      </c>
      <c r="BU94">
        <f>172.331</f>
        <v>172.33099999999999</v>
      </c>
      <c r="BV94">
        <f>153.616</f>
        <v>153.61600000000001</v>
      </c>
      <c r="BW94">
        <f>127.435</f>
        <v>127.435</v>
      </c>
      <c r="BX94">
        <f>147.531</f>
        <v>147.53100000000001</v>
      </c>
      <c r="BY94">
        <f>100.736</f>
        <v>100.736</v>
      </c>
      <c r="BZ94">
        <f>79.644</f>
        <v>79.644000000000005</v>
      </c>
      <c r="CA94">
        <f>87.391</f>
        <v>87.391000000000005</v>
      </c>
      <c r="CB94">
        <f>93.946</f>
        <v>93.945999999999998</v>
      </c>
      <c r="CC94">
        <f>79.676</f>
        <v>79.676000000000002</v>
      </c>
      <c r="CD94">
        <f>84.39</f>
        <v>84.39</v>
      </c>
      <c r="CE94">
        <f>79.881</f>
        <v>79.881</v>
      </c>
      <c r="CF94">
        <f>70.339</f>
        <v>70.338999999999999</v>
      </c>
      <c r="CG94">
        <f>82.434</f>
        <v>82.433999999999997</v>
      </c>
      <c r="CH94">
        <f>70.079</f>
        <v>70.078999999999994</v>
      </c>
      <c r="CI94">
        <f>61.429</f>
        <v>61.429000000000002</v>
      </c>
      <c r="CJ94">
        <f>56.735</f>
        <v>56.734999999999999</v>
      </c>
      <c r="CK94">
        <f>55.803</f>
        <v>55.802999999999997</v>
      </c>
      <c r="CL94">
        <f>48.187</f>
        <v>48.186999999999998</v>
      </c>
      <c r="CM94">
        <f>46.288</f>
        <v>46.287999999999997</v>
      </c>
      <c r="CN94">
        <f>44.504</f>
        <v>44.503999999999998</v>
      </c>
      <c r="CO94">
        <f>42.565</f>
        <v>42.564999999999998</v>
      </c>
      <c r="CP94">
        <f>39.113</f>
        <v>39.113</v>
      </c>
      <c r="CQ94">
        <f>28.44</f>
        <v>28.44</v>
      </c>
      <c r="CR94">
        <f>42.482</f>
        <v>42.481999999999999</v>
      </c>
      <c r="CS94">
        <f>29.688</f>
        <v>29.687999999999999</v>
      </c>
      <c r="CT94">
        <f>33.367</f>
        <v>33.366999999999997</v>
      </c>
      <c r="CU94">
        <f>24.87</f>
        <v>24.87</v>
      </c>
      <c r="CV94">
        <f>29.96</f>
        <v>29.96</v>
      </c>
      <c r="CW94">
        <f>28.564</f>
        <v>28.564</v>
      </c>
      <c r="CX94">
        <f>33.572</f>
        <v>33.572000000000003</v>
      </c>
      <c r="CY94">
        <f>26.261</f>
        <v>26.260999999999999</v>
      </c>
      <c r="CZ94">
        <f>23.862</f>
        <v>23.861999999999998</v>
      </c>
      <c r="DA94">
        <f>24.354</f>
        <v>24.353999999999999</v>
      </c>
      <c r="DB94">
        <f>23.672</f>
        <v>23.672000000000001</v>
      </c>
      <c r="DC94">
        <f>23.725</f>
        <v>23.725000000000001</v>
      </c>
      <c r="DD94">
        <f>22.008</f>
        <v>22.007999999999999</v>
      </c>
      <c r="DE94">
        <f>22.401</f>
        <v>22.401</v>
      </c>
      <c r="DF94">
        <f>25.38</f>
        <v>25.38</v>
      </c>
      <c r="DG94">
        <f>19.212</f>
        <v>19.212</v>
      </c>
      <c r="DH94">
        <f>19.317</f>
        <v>19.317</v>
      </c>
      <c r="DI94">
        <f>22.684</f>
        <v>22.684000000000001</v>
      </c>
      <c r="DJ94">
        <f>15.469</f>
        <v>15.468999999999999</v>
      </c>
      <c r="DK94">
        <f>13.775</f>
        <v>13.775</v>
      </c>
      <c r="DL94">
        <f>8.768</f>
        <v>8.7680000000000007</v>
      </c>
      <c r="DM94">
        <f>8.085</f>
        <v>8.0850000000000009</v>
      </c>
      <c r="DN94">
        <f>12.035</f>
        <v>12.035</v>
      </c>
      <c r="DO94">
        <f>10.647</f>
        <v>10.647</v>
      </c>
      <c r="DP94">
        <f>5.400000095</f>
        <v>5.4000000950000002</v>
      </c>
      <c r="DQ94">
        <f>5.099999905</f>
        <v>5.0999999049999998</v>
      </c>
      <c r="DR94" t="str">
        <f>""</f>
        <v/>
      </c>
      <c r="DS94">
        <f>11.01</f>
        <v>11.01</v>
      </c>
      <c r="DT94" t="str">
        <f>""</f>
        <v/>
      </c>
      <c r="DU94">
        <f>8.5</f>
        <v>8.5</v>
      </c>
    </row>
    <row r="95" spans="1:125">
      <c r="A95" t="str">
        <f>"    Sabra Health Care REIT Inc"</f>
        <v xml:space="preserve">    Sabra Health Care REIT Inc</v>
      </c>
      <c r="B95" t="str">
        <f>"SBRA US Equity"</f>
        <v>SBRA US Equity</v>
      </c>
      <c r="C95" t="str">
        <f t="shared" si="21"/>
        <v>CF039</v>
      </c>
      <c r="D95" t="str">
        <f t="shared" si="22"/>
        <v>CF_FFO</v>
      </c>
      <c r="E95" t="str">
        <f t="shared" si="23"/>
        <v>动态</v>
      </c>
      <c r="F95" t="str">
        <f ca="1">IF(AND(ISNUMBER($F$344),$B$258=1),$F$344,HLOOKUP(INDIRECT(ADDRESS(2,COLUMN())),OFFSET($BN$2,0,0,ROW()-1,60),ROW()-1,FALSE))</f>
        <v/>
      </c>
      <c r="G95">
        <f ca="1">IF(AND(ISNUMBER($G$344),$B$258=1),$G$344,HLOOKUP(INDIRECT(ADDRESS(2,COLUMN())),OFFSET($BN$2,0,0,ROW()-1,60),ROW()-1,FALSE))</f>
        <v>106.843</v>
      </c>
      <c r="H95">
        <f ca="1">IF(AND(ISNUMBER($H$344),$B$258=1),$H$344,HLOOKUP(INDIRECT(ADDRESS(2,COLUMN())),OFFSET($BN$2,0,0,ROW()-1,60),ROW()-1,FALSE))</f>
        <v>37.884999999999998</v>
      </c>
      <c r="I95">
        <f ca="1">IF(AND(ISNUMBER($I$344),$B$258=1),$I$344,HLOOKUP(INDIRECT(ADDRESS(2,COLUMN())),OFFSET($BN$2,0,0,ROW()-1,60),ROW()-1,FALSE))</f>
        <v>31.148</v>
      </c>
      <c r="J95">
        <f ca="1">IF(AND(ISNUMBER($J$344),$B$258=1),$J$344,HLOOKUP(INDIRECT(ADDRESS(2,COLUMN())),OFFSET($BN$2,0,0,ROW()-1,60),ROW()-1,FALSE))</f>
        <v>35.399000000000001</v>
      </c>
      <c r="K95">
        <f ca="1">IF(AND(ISNUMBER($K$344),$B$258=1),$K$344,HLOOKUP(INDIRECT(ADDRESS(2,COLUMN())),OFFSET($BN$2,0,0,ROW()-1,60),ROW()-1,FALSE))</f>
        <v>40.732999999999997</v>
      </c>
      <c r="L95">
        <f ca="1">IF(AND(ISNUMBER($L$344),$B$258=1),$L$344,HLOOKUP(INDIRECT(ADDRESS(2,COLUMN())),OFFSET($BN$2,0,0,ROW()-1,60),ROW()-1,FALSE))</f>
        <v>38.427</v>
      </c>
      <c r="M95">
        <f ca="1">IF(AND(ISNUMBER($M$344),$B$258=1),$M$344,HLOOKUP(INDIRECT(ADDRESS(2,COLUMN())),OFFSET($BN$2,0,0,ROW()-1,60),ROW()-1,FALSE))</f>
        <v>51.372</v>
      </c>
      <c r="N95">
        <f ca="1">IF(AND(ISNUMBER($N$344),$B$258=1),$N$344,HLOOKUP(INDIRECT(ADDRESS(2,COLUMN())),OFFSET($BN$2,0,0,ROW()-1,60),ROW()-1,FALSE))</f>
        <v>33.906999999999996</v>
      </c>
      <c r="O95">
        <f ca="1">IF(AND(ISNUMBER($O$344),$B$258=1),$O$344,HLOOKUP(INDIRECT(ADDRESS(2,COLUMN())),OFFSET($BN$2,0,0,ROW()-1,60),ROW()-1,FALSE))</f>
        <v>38.679000000000002</v>
      </c>
      <c r="P95">
        <f ca="1">IF(AND(ISNUMBER($P$344),$B$258=1),$P$344,HLOOKUP(INDIRECT(ADDRESS(2,COLUMN())),OFFSET($BN$2,0,0,ROW()-1,60),ROW()-1,FALSE))</f>
        <v>35.643999999999998</v>
      </c>
      <c r="Q95">
        <f ca="1">IF(AND(ISNUMBER($Q$344),$B$258=1),$Q$344,HLOOKUP(INDIRECT(ADDRESS(2,COLUMN())),OFFSET($BN$2,0,0,ROW()-1,60),ROW()-1,FALSE))</f>
        <v>27.048999999999999</v>
      </c>
      <c r="R95">
        <f ca="1">IF(AND(ISNUMBER($R$344),$B$258=1),$R$344,HLOOKUP(INDIRECT(ADDRESS(2,COLUMN())),OFFSET($BN$2,0,0,ROW()-1,60),ROW()-1,FALSE))</f>
        <v>31.039000000000001</v>
      </c>
      <c r="S95">
        <f ca="1">IF(AND(ISNUMBER($S$344),$B$258=1),$S$344,HLOOKUP(INDIRECT(ADDRESS(2,COLUMN())),OFFSET($BN$2,0,0,ROW()-1,60),ROW()-1,FALSE))</f>
        <v>30.241</v>
      </c>
      <c r="T95">
        <f ca="1">IF(AND(ISNUMBER($T$344),$B$258=1),$T$344,HLOOKUP(INDIRECT(ADDRESS(2,COLUMN())),OFFSET($BN$2,0,0,ROW()-1,60),ROW()-1,FALSE))</f>
        <v>24.405000000000001</v>
      </c>
      <c r="U95">
        <f ca="1">IF(AND(ISNUMBER($U$344),$B$258=1),$U$344,HLOOKUP(INDIRECT(ADDRESS(2,COLUMN())),OFFSET($BN$2,0,0,ROW()-1,60),ROW()-1,FALSE))</f>
        <v>21.995999999999999</v>
      </c>
      <c r="V95">
        <f ca="1">IF(AND(ISNUMBER($V$344),$B$258=1),$V$344,HLOOKUP(INDIRECT(ADDRESS(2,COLUMN())),OFFSET($BN$2,0,0,ROW()-1,60),ROW()-1,FALSE))</f>
        <v>-0.51400000000000001</v>
      </c>
      <c r="W95">
        <f ca="1">IF(AND(ISNUMBER($W$344),$B$258=1),$W$344,HLOOKUP(INDIRECT(ADDRESS(2,COLUMN())),OFFSET($BN$2,0,0,ROW()-1,60),ROW()-1,FALSE))</f>
        <v>18.994</v>
      </c>
      <c r="X95">
        <f ca="1">IF(AND(ISNUMBER($X$344),$B$258=1),$X$344,HLOOKUP(INDIRECT(ADDRESS(2,COLUMN())),OFFSET($BN$2,0,0,ROW()-1,60),ROW()-1,FALSE))</f>
        <v>17.5</v>
      </c>
      <c r="Y95">
        <f ca="1">IF(AND(ISNUMBER($Y$344),$B$258=1),$Y$344,HLOOKUP(INDIRECT(ADDRESS(2,COLUMN())),OFFSET($BN$2,0,0,ROW()-1,60),ROW()-1,FALSE))</f>
        <v>5.0369999999999999</v>
      </c>
      <c r="Z95">
        <f ca="1">IF(AND(ISNUMBER($Z$344),$B$258=1),$Z$344,HLOOKUP(INDIRECT(ADDRESS(2,COLUMN())),OFFSET($BN$2,0,0,ROW()-1,60),ROW()-1,FALSE))</f>
        <v>17.498999999999999</v>
      </c>
      <c r="AA95">
        <f ca="1">IF(AND(ISNUMBER($AA$344),$B$258=1),$AA$344,HLOOKUP(INDIRECT(ADDRESS(2,COLUMN())),OFFSET($BN$2,0,0,ROW()-1,60),ROW()-1,FALSE))</f>
        <v>14.347</v>
      </c>
      <c r="AB95">
        <f ca="1">IF(AND(ISNUMBER($AB$344),$B$258=1),$AB$344,HLOOKUP(INDIRECT(ADDRESS(2,COLUMN())),OFFSET($BN$2,0,0,ROW()-1,60),ROW()-1,FALSE))</f>
        <v>12.722</v>
      </c>
      <c r="AC95">
        <f ca="1">IF(AND(ISNUMBER($AC$344),$B$258=1),$AC$344,HLOOKUP(INDIRECT(ADDRESS(2,COLUMN())),OFFSET($BN$2,0,0,ROW()-1,60),ROW()-1,FALSE))</f>
        <v>13.48</v>
      </c>
      <c r="AD95">
        <f ca="1">IF(AND(ISNUMBER($AD$344),$B$258=1),$AD$344,HLOOKUP(INDIRECT(ADDRESS(2,COLUMN())),OFFSET($BN$2,0,0,ROW()-1,60),ROW()-1,FALSE))</f>
        <v>11.708</v>
      </c>
      <c r="AE95">
        <f ca="1">IF(AND(ISNUMBER($AE$344),$B$258=1),$AE$344,HLOOKUP(INDIRECT(ADDRESS(2,COLUMN())),OFFSET($BN$2,0,0,ROW()-1,60),ROW()-1,FALSE))</f>
        <v>14.528</v>
      </c>
      <c r="AF95">
        <f ca="1">IF(AND(ISNUMBER($AF$344),$B$258=1),$AF$344,HLOOKUP(INDIRECT(ADDRESS(2,COLUMN())),OFFSET($BN$2,0,0,ROW()-1,60),ROW()-1,FALSE))</f>
        <v>9.1940000000000008</v>
      </c>
      <c r="AG95">
        <f ca="1">IF(AND(ISNUMBER($AG$344),$B$258=1),$AG$344,HLOOKUP(INDIRECT(ADDRESS(2,COLUMN())),OFFSET($BN$2,0,0,ROW()-1,60),ROW()-1,FALSE))</f>
        <v>8.3770000000000007</v>
      </c>
      <c r="AH95">
        <f ca="1">IF(AND(ISNUMBER($AH$344),$B$258=1),$AH$344,HLOOKUP(INDIRECT(ADDRESS(2,COLUMN())),OFFSET($BN$2,0,0,ROW()-1,60),ROW()-1,FALSE))</f>
        <v>7.3339999999999996</v>
      </c>
      <c r="AI95" t="str">
        <f ca="1">IF(AND(ISNUMBER($AI$344),$B$258=1),$AI$344,HLOOKUP(INDIRECT(ADDRESS(2,COLUMN())),OFFSET($BN$2,0,0,ROW()-1,60),ROW()-1,FALSE))</f>
        <v/>
      </c>
      <c r="AJ95" t="str">
        <f ca="1">IF(AND(ISNUMBER($AJ$344),$B$258=1),$AJ$344,HLOOKUP(INDIRECT(ADDRESS(2,COLUMN())),OFFSET($BN$2,0,0,ROW()-1,60),ROW()-1,FALSE))</f>
        <v/>
      </c>
      <c r="AK95" t="str">
        <f ca="1">IF(AND(ISNUMBER($AK$344),$B$258=1),$AK$344,HLOOKUP(INDIRECT(ADDRESS(2,COLUMN())),OFFSET($BN$2,0,0,ROW()-1,60),ROW()-1,FALSE))</f>
        <v/>
      </c>
      <c r="AL95" t="str">
        <f ca="1">IF(AND(ISNUMBER($AL$344),$B$258=1),$AL$344,HLOOKUP(INDIRECT(ADDRESS(2,COLUMN())),OFFSET($BN$2,0,0,ROW()-1,60),ROW()-1,FALSE))</f>
        <v/>
      </c>
      <c r="AM95" t="str">
        <f ca="1">IF(AND(ISNUMBER($AM$344),$B$258=1),$AM$344,HLOOKUP(INDIRECT(ADDRESS(2,COLUMN())),OFFSET($BN$2,0,0,ROW()-1,60),ROW()-1,FALSE))</f>
        <v/>
      </c>
      <c r="AN95" t="str">
        <f ca="1">IF(AND(ISNUMBER($AN$344),$B$258=1),$AN$344,HLOOKUP(INDIRECT(ADDRESS(2,COLUMN())),OFFSET($BN$2,0,0,ROW()-1,60),ROW()-1,FALSE))</f>
        <v/>
      </c>
      <c r="AO95" t="str">
        <f ca="1">IF(AND(ISNUMBER($AO$344),$B$258=1),$AO$344,HLOOKUP(INDIRECT(ADDRESS(2,COLUMN())),OFFSET($BN$2,0,0,ROW()-1,60),ROW()-1,FALSE))</f>
        <v/>
      </c>
      <c r="AP95" t="str">
        <f ca="1">IF(AND(ISNUMBER($AP$344),$B$258=1),$AP$344,HLOOKUP(INDIRECT(ADDRESS(2,COLUMN())),OFFSET($BN$2,0,0,ROW()-1,60),ROW()-1,FALSE))</f>
        <v/>
      </c>
      <c r="AQ95" t="str">
        <f ca="1">IF(AND(ISNUMBER($AQ$344),$B$258=1),$AQ$344,HLOOKUP(INDIRECT(ADDRESS(2,COLUMN())),OFFSET($BN$2,0,0,ROW()-1,60),ROW()-1,FALSE))</f>
        <v/>
      </c>
      <c r="AR95" t="str">
        <f ca="1">IF(AND(ISNUMBER($AR$344),$B$258=1),$AR$344,HLOOKUP(INDIRECT(ADDRESS(2,COLUMN())),OFFSET($BN$2,0,0,ROW()-1,60),ROW()-1,FALSE))</f>
        <v/>
      </c>
      <c r="AS95" t="str">
        <f ca="1">IF(AND(ISNUMBER($AS$344),$B$258=1),$AS$344,HLOOKUP(INDIRECT(ADDRESS(2,COLUMN())),OFFSET($BN$2,0,0,ROW()-1,60),ROW()-1,FALSE))</f>
        <v/>
      </c>
      <c r="AT95" t="str">
        <f ca="1">IF(AND(ISNUMBER($AT$344),$B$258=1),$AT$344,HLOOKUP(INDIRECT(ADDRESS(2,COLUMN())),OFFSET($BN$2,0,0,ROW()-1,60),ROW()-1,FALSE))</f>
        <v/>
      </c>
      <c r="AU95" t="str">
        <f ca="1">IF(AND(ISNUMBER($AU$344),$B$258=1),$AU$344,HLOOKUP(INDIRECT(ADDRESS(2,COLUMN())),OFFSET($BN$2,0,0,ROW()-1,60),ROW()-1,FALSE))</f>
        <v/>
      </c>
      <c r="AV95" t="str">
        <f ca="1">IF(AND(ISNUMBER($AV$344),$B$258=1),$AV$344,HLOOKUP(INDIRECT(ADDRESS(2,COLUMN())),OFFSET($BN$2,0,0,ROW()-1,60),ROW()-1,FALSE))</f>
        <v/>
      </c>
      <c r="AW95" t="str">
        <f ca="1">IF(AND(ISNUMBER($AW$344),$B$258=1),$AW$344,HLOOKUP(INDIRECT(ADDRESS(2,COLUMN())),OFFSET($BN$2,0,0,ROW()-1,60),ROW()-1,FALSE))</f>
        <v/>
      </c>
      <c r="AX95" t="str">
        <f ca="1">IF(AND(ISNUMBER($AX$344),$B$258=1),$AX$344,HLOOKUP(INDIRECT(ADDRESS(2,COLUMN())),OFFSET($BN$2,0,0,ROW()-1,60),ROW()-1,FALSE))</f>
        <v/>
      </c>
      <c r="AY95" t="str">
        <f ca="1">IF(AND(ISNUMBER($AY$344),$B$258=1),$AY$344,HLOOKUP(INDIRECT(ADDRESS(2,COLUMN())),OFFSET($BN$2,0,0,ROW()-1,60),ROW()-1,FALSE))</f>
        <v/>
      </c>
      <c r="AZ95" t="str">
        <f ca="1">IF(AND(ISNUMBER($AZ$344),$B$258=1),$AZ$344,HLOOKUP(INDIRECT(ADDRESS(2,COLUMN())),OFFSET($BN$2,0,0,ROW()-1,60),ROW()-1,FALSE))</f>
        <v/>
      </c>
      <c r="BA95" t="str">
        <f ca="1">IF(AND(ISNUMBER($BA$344),$B$258=1),$BA$344,HLOOKUP(INDIRECT(ADDRESS(2,COLUMN())),OFFSET($BN$2,0,0,ROW()-1,60),ROW()-1,FALSE))</f>
        <v/>
      </c>
      <c r="BB95" t="str">
        <f ca="1">IF(AND(ISNUMBER($BB$344),$B$258=1),$BB$344,HLOOKUP(INDIRECT(ADDRESS(2,COLUMN())),OFFSET($BN$2,0,0,ROW()-1,60),ROW()-1,FALSE))</f>
        <v/>
      </c>
      <c r="BC95" t="str">
        <f ca="1">IF(AND(ISNUMBER($BC$344),$B$258=1),$BC$344,HLOOKUP(INDIRECT(ADDRESS(2,COLUMN())),OFFSET($BN$2,0,0,ROW()-1,60),ROW()-1,FALSE))</f>
        <v/>
      </c>
      <c r="BD95" t="str">
        <f ca="1">IF(AND(ISNUMBER($BD$344),$B$258=1),$BD$344,HLOOKUP(INDIRECT(ADDRESS(2,COLUMN())),OFFSET($BN$2,0,0,ROW()-1,60),ROW()-1,FALSE))</f>
        <v/>
      </c>
      <c r="BE95" t="str">
        <f ca="1">IF(AND(ISNUMBER($BE$344),$B$258=1),$BE$344,HLOOKUP(INDIRECT(ADDRESS(2,COLUMN())),OFFSET($BN$2,0,0,ROW()-1,60),ROW()-1,FALSE))</f>
        <v/>
      </c>
      <c r="BF95" t="str">
        <f ca="1">IF(AND(ISNUMBER($BF$344),$B$258=1),$BF$344,HLOOKUP(INDIRECT(ADDRESS(2,COLUMN())),OFFSET($BN$2,0,0,ROW()-1,60),ROW()-1,FALSE))</f>
        <v/>
      </c>
      <c r="BG95" t="str">
        <f ca="1">IF(AND(ISNUMBER($BG$344),$B$258=1),$BG$344,HLOOKUP(INDIRECT(ADDRESS(2,COLUMN())),OFFSET($BN$2,0,0,ROW()-1,60),ROW()-1,FALSE))</f>
        <v/>
      </c>
      <c r="BH95" t="str">
        <f ca="1">IF(AND(ISNUMBER($BH$344),$B$258=1),$BH$344,HLOOKUP(INDIRECT(ADDRESS(2,COLUMN())),OFFSET($BN$2,0,0,ROW()-1,60),ROW()-1,FALSE))</f>
        <v/>
      </c>
      <c r="BI95" t="str">
        <f ca="1">IF(AND(ISNUMBER($BI$344),$B$258=1),$BI$344,HLOOKUP(INDIRECT(ADDRESS(2,COLUMN())),OFFSET($BN$2,0,0,ROW()-1,60),ROW()-1,FALSE))</f>
        <v/>
      </c>
      <c r="BJ95" t="str">
        <f ca="1">IF(AND(ISNUMBER($BJ$344),$B$258=1),$BJ$344,HLOOKUP(INDIRECT(ADDRESS(2,COLUMN())),OFFSET($BN$2,0,0,ROW()-1,60),ROW()-1,FALSE))</f>
        <v/>
      </c>
      <c r="BK95" t="str">
        <f ca="1">IF(AND(ISNUMBER($BK$344),$B$258=1),$BK$344,HLOOKUP(INDIRECT(ADDRESS(2,COLUMN())),OFFSET($BN$2,0,0,ROW()-1,60),ROW()-1,FALSE))</f>
        <v/>
      </c>
      <c r="BL95" t="str">
        <f ca="1">IF(AND(ISNUMBER($BL$344),$B$258=1),$BL$344,HLOOKUP(INDIRECT(ADDRESS(2,COLUMN())),OFFSET($BN$2,0,0,ROW()-1,60),ROW()-1,FALSE))</f>
        <v/>
      </c>
      <c r="BM95" t="str">
        <f ca="1">IF(AND(ISNUMBER($BM$344),$B$258=1),$BM$344,HLOOKUP(INDIRECT(ADDRESS(2,COLUMN())),OFFSET($BN$2,0,0,ROW()-1,60),ROW()-1,FALSE))</f>
        <v/>
      </c>
      <c r="BN95" t="str">
        <f>""</f>
        <v/>
      </c>
      <c r="BO95">
        <f>106.843</f>
        <v>106.843</v>
      </c>
      <c r="BP95">
        <f>37.885</f>
        <v>37.884999999999998</v>
      </c>
      <c r="BQ95">
        <f>31.148</f>
        <v>31.148</v>
      </c>
      <c r="BR95">
        <f>35.399</f>
        <v>35.399000000000001</v>
      </c>
      <c r="BS95">
        <f>40.733</f>
        <v>40.732999999999997</v>
      </c>
      <c r="BT95">
        <f>38.427</f>
        <v>38.427</v>
      </c>
      <c r="BU95">
        <f>51.372</f>
        <v>51.372</v>
      </c>
      <c r="BV95">
        <f>33.907</f>
        <v>33.906999999999996</v>
      </c>
      <c r="BW95">
        <f>38.679</f>
        <v>38.679000000000002</v>
      </c>
      <c r="BX95">
        <f>35.644</f>
        <v>35.643999999999998</v>
      </c>
      <c r="BY95">
        <f>27.049</f>
        <v>27.048999999999999</v>
      </c>
      <c r="BZ95">
        <f>31.039</f>
        <v>31.039000000000001</v>
      </c>
      <c r="CA95">
        <f>30.241</f>
        <v>30.241</v>
      </c>
      <c r="CB95">
        <f>24.405</f>
        <v>24.405000000000001</v>
      </c>
      <c r="CC95">
        <f>21.996</f>
        <v>21.995999999999999</v>
      </c>
      <c r="CD95">
        <f>-0.514</f>
        <v>-0.51400000000000001</v>
      </c>
      <c r="CE95">
        <f>18.994</f>
        <v>18.994</v>
      </c>
      <c r="CF95">
        <f>17.5</f>
        <v>17.5</v>
      </c>
      <c r="CG95">
        <f>5.037</f>
        <v>5.0369999999999999</v>
      </c>
      <c r="CH95">
        <f>17.499</f>
        <v>17.498999999999999</v>
      </c>
      <c r="CI95">
        <f>14.347</f>
        <v>14.347</v>
      </c>
      <c r="CJ95">
        <f>12.722</f>
        <v>12.722</v>
      </c>
      <c r="CK95">
        <f>13.48</f>
        <v>13.48</v>
      </c>
      <c r="CL95">
        <f>11.708</f>
        <v>11.708</v>
      </c>
      <c r="CM95">
        <f>14.528</f>
        <v>14.528</v>
      </c>
      <c r="CN95">
        <f>9.194</f>
        <v>9.1940000000000008</v>
      </c>
      <c r="CO95">
        <f>8.377</f>
        <v>8.3770000000000007</v>
      </c>
      <c r="CP95">
        <f>7.334</f>
        <v>7.3339999999999996</v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</row>
    <row r="96" spans="1:125">
      <c r="A96" t="str">
        <f>"    Senior Housing Properties Trus"</f>
        <v xml:space="preserve">    Senior Housing Properties Trus</v>
      </c>
      <c r="B96" t="str">
        <f>"SNH US Equity"</f>
        <v>SNH US Equity</v>
      </c>
      <c r="C96" t="str">
        <f t="shared" si="21"/>
        <v>CF039</v>
      </c>
      <c r="D96" t="str">
        <f t="shared" si="22"/>
        <v>CF_FFO</v>
      </c>
      <c r="E96" t="str">
        <f t="shared" si="23"/>
        <v>动态</v>
      </c>
      <c r="F96" t="str">
        <f ca="1">IF(AND(ISNUMBER($F$345),$B$258=1),$F$345,HLOOKUP(INDIRECT(ADDRESS(2,COLUMN())),OFFSET($BN$2,0,0,ROW()-1,60),ROW()-1,FALSE))</f>
        <v/>
      </c>
      <c r="G96">
        <f ca="1">IF(AND(ISNUMBER($G$345),$B$258=1),$G$345,HLOOKUP(INDIRECT(ADDRESS(2,COLUMN())),OFFSET($BN$2,0,0,ROW()-1,60),ROW()-1,FALSE))</f>
        <v>81.039000000000001</v>
      </c>
      <c r="H96">
        <f ca="1">IF(AND(ISNUMBER($H$345),$B$258=1),$H$345,HLOOKUP(INDIRECT(ADDRESS(2,COLUMN())),OFFSET($BN$2,0,0,ROW()-1,60),ROW()-1,FALSE))</f>
        <v>95.727999999999994</v>
      </c>
      <c r="I96">
        <f ca="1">IF(AND(ISNUMBER($I$345),$B$258=1),$I$345,HLOOKUP(INDIRECT(ADDRESS(2,COLUMN())),OFFSET($BN$2,0,0,ROW()-1,60),ROW()-1,FALSE))</f>
        <v>85.488</v>
      </c>
      <c r="J96">
        <f ca="1">IF(AND(ISNUMBER($J$345),$B$258=1),$J$345,HLOOKUP(INDIRECT(ADDRESS(2,COLUMN())),OFFSET($BN$2,0,0,ROW()-1,60),ROW()-1,FALSE))</f>
        <v>104.874</v>
      </c>
      <c r="K96">
        <f ca="1">IF(AND(ISNUMBER($K$345),$B$258=1),$K$345,HLOOKUP(INDIRECT(ADDRESS(2,COLUMN())),OFFSET($BN$2,0,0,ROW()-1,60),ROW()-1,FALSE))</f>
        <v>117.523</v>
      </c>
      <c r="L96">
        <f ca="1">IF(AND(ISNUMBER($L$345),$B$258=1),$L$345,HLOOKUP(INDIRECT(ADDRESS(2,COLUMN())),OFFSET($BN$2,0,0,ROW()-1,60),ROW()-1,FALSE))</f>
        <v>104.82599999999999</v>
      </c>
      <c r="M96">
        <f ca="1">IF(AND(ISNUMBER($M$345),$B$258=1),$M$345,HLOOKUP(INDIRECT(ADDRESS(2,COLUMN())),OFFSET($BN$2,0,0,ROW()-1,60),ROW()-1,FALSE))</f>
        <v>111.505</v>
      </c>
      <c r="N96">
        <f ca="1">IF(AND(ISNUMBER($N$345),$B$258=1),$N$345,HLOOKUP(INDIRECT(ADDRESS(2,COLUMN())),OFFSET($BN$2,0,0,ROW()-1,60),ROW()-1,FALSE))</f>
        <v>109.88500000000001</v>
      </c>
      <c r="O96">
        <f ca="1">IF(AND(ISNUMBER($O$345),$B$258=1),$O$345,HLOOKUP(INDIRECT(ADDRESS(2,COLUMN())),OFFSET($BN$2,0,0,ROW()-1,60),ROW()-1,FALSE))</f>
        <v>81.385000000000005</v>
      </c>
      <c r="P96">
        <f ca="1">IF(AND(ISNUMBER($P$345),$B$258=1),$P$345,HLOOKUP(INDIRECT(ADDRESS(2,COLUMN())),OFFSET($BN$2,0,0,ROW()-1,60),ROW()-1,FALSE))</f>
        <v>108.167</v>
      </c>
      <c r="Q96">
        <f ca="1">IF(AND(ISNUMBER($Q$345),$B$258=1),$Q$345,HLOOKUP(INDIRECT(ADDRESS(2,COLUMN())),OFFSET($BN$2,0,0,ROW()-1,60),ROW()-1,FALSE))</f>
        <v>99.5</v>
      </c>
      <c r="R96">
        <f ca="1">IF(AND(ISNUMBER($R$345),$B$258=1),$R$345,HLOOKUP(INDIRECT(ADDRESS(2,COLUMN())),OFFSET($BN$2,0,0,ROW()-1,60),ROW()-1,FALSE))</f>
        <v>93.495999999999995</v>
      </c>
      <c r="S96">
        <f ca="1">IF(AND(ISNUMBER($S$345),$B$258=1),$S$345,HLOOKUP(INDIRECT(ADDRESS(2,COLUMN())),OFFSET($BN$2,0,0,ROW()-1,60),ROW()-1,FALSE))</f>
        <v>96.894999999999996</v>
      </c>
      <c r="T96">
        <f ca="1">IF(AND(ISNUMBER($T$345),$B$258=1),$T$345,HLOOKUP(INDIRECT(ADDRESS(2,COLUMN())),OFFSET($BN$2,0,0,ROW()-1,60),ROW()-1,FALSE))</f>
        <v>86.968000000000004</v>
      </c>
      <c r="U96">
        <f ca="1">IF(AND(ISNUMBER($U$345),$B$258=1),$U$345,HLOOKUP(INDIRECT(ADDRESS(2,COLUMN())),OFFSET($BN$2,0,0,ROW()-1,60),ROW()-1,FALSE))</f>
        <v>81.578999999999994</v>
      </c>
      <c r="V96">
        <f ca="1">IF(AND(ISNUMBER($V$345),$B$258=1),$V$345,HLOOKUP(INDIRECT(ADDRESS(2,COLUMN())),OFFSET($BN$2,0,0,ROW()-1,60),ROW()-1,FALSE))</f>
        <v>77.5</v>
      </c>
      <c r="W96">
        <f ca="1">IF(AND(ISNUMBER($W$345),$B$258=1),$W$345,HLOOKUP(INDIRECT(ADDRESS(2,COLUMN())),OFFSET($BN$2,0,0,ROW()-1,60),ROW()-1,FALSE))</f>
        <v>86.537000000000006</v>
      </c>
      <c r="X96">
        <f ca="1">IF(AND(ISNUMBER($X$345),$B$258=1),$X$345,HLOOKUP(INDIRECT(ADDRESS(2,COLUMN())),OFFSET($BN$2,0,0,ROW()-1,60),ROW()-1,FALSE))</f>
        <v>75.456999999999994</v>
      </c>
      <c r="Y96">
        <f ca="1">IF(AND(ISNUMBER($Y$345),$B$258=1),$Y$345,HLOOKUP(INDIRECT(ADDRESS(2,COLUMN())),OFFSET($BN$2,0,0,ROW()-1,60),ROW()-1,FALSE))</f>
        <v>76.36</v>
      </c>
      <c r="Z96">
        <f ca="1">IF(AND(ISNUMBER($Z$345),$B$258=1),$Z$345,HLOOKUP(INDIRECT(ADDRESS(2,COLUMN())),OFFSET($BN$2,0,0,ROW()-1,60),ROW()-1,FALSE))</f>
        <v>74.840999999999994</v>
      </c>
      <c r="AA96">
        <f ca="1">IF(AND(ISNUMBER($AA$345),$B$258=1),$AA$345,HLOOKUP(INDIRECT(ADDRESS(2,COLUMN())),OFFSET($BN$2,0,0,ROW()-1,60),ROW()-1,FALSE))</f>
        <v>81.605000000000004</v>
      </c>
      <c r="AB96">
        <f ca="1">IF(AND(ISNUMBER($AB$345),$B$258=1),$AB$345,HLOOKUP(INDIRECT(ADDRESS(2,COLUMN())),OFFSET($BN$2,0,0,ROW()-1,60),ROW()-1,FALSE))</f>
        <v>61.627000000000002</v>
      </c>
      <c r="AC96">
        <f ca="1">IF(AND(ISNUMBER($AC$345),$B$258=1),$AC$345,HLOOKUP(INDIRECT(ADDRESS(2,COLUMN())),OFFSET($BN$2,0,0,ROW()-1,60),ROW()-1,FALSE))</f>
        <v>68.480999999999995</v>
      </c>
      <c r="AD96">
        <f ca="1">IF(AND(ISNUMBER($AD$345),$B$258=1),$AD$345,HLOOKUP(INDIRECT(ADDRESS(2,COLUMN())),OFFSET($BN$2,0,0,ROW()-1,60),ROW()-1,FALSE))</f>
        <v>68.8</v>
      </c>
      <c r="AE96">
        <f ca="1">IF(AND(ISNUMBER($AE$345),$B$258=1),$AE$345,HLOOKUP(INDIRECT(ADDRESS(2,COLUMN())),OFFSET($BN$2,0,0,ROW()-1,60),ROW()-1,FALSE))</f>
        <v>70.540000000000006</v>
      </c>
      <c r="AF96">
        <f ca="1">IF(AND(ISNUMBER($AF$345),$B$258=1),$AF$345,HLOOKUP(INDIRECT(ADDRESS(2,COLUMN())),OFFSET($BN$2,0,0,ROW()-1,60),ROW()-1,FALSE))</f>
        <v>59.847999999999999</v>
      </c>
      <c r="AG96">
        <f ca="1">IF(AND(ISNUMBER($AG$345),$B$258=1),$AG$345,HLOOKUP(INDIRECT(ADDRESS(2,COLUMN())),OFFSET($BN$2,0,0,ROW()-1,60),ROW()-1,FALSE))</f>
        <v>56.667999999999999</v>
      </c>
      <c r="AH96">
        <f ca="1">IF(AND(ISNUMBER($AH$345),$B$258=1),$AH$345,HLOOKUP(INDIRECT(ADDRESS(2,COLUMN())),OFFSET($BN$2,0,0,ROW()-1,60),ROW()-1,FALSE))</f>
        <v>58.302</v>
      </c>
      <c r="AI96">
        <f ca="1">IF(AND(ISNUMBER($AI$345),$B$258=1),$AI$345,HLOOKUP(INDIRECT(ADDRESS(2,COLUMN())),OFFSET($BN$2,0,0,ROW()-1,60),ROW()-1,FALSE))</f>
        <v>62.003999999999998</v>
      </c>
      <c r="AJ96">
        <f ca="1">IF(AND(ISNUMBER($AJ$345),$B$258=1),$AJ$345,HLOOKUP(INDIRECT(ADDRESS(2,COLUMN())),OFFSET($BN$2,0,0,ROW()-1,60),ROW()-1,FALSE))</f>
        <v>53.46</v>
      </c>
      <c r="AK96">
        <f ca="1">IF(AND(ISNUMBER($AK$345),$B$258=1),$AK$345,HLOOKUP(INDIRECT(ADDRESS(2,COLUMN())),OFFSET($BN$2,0,0,ROW()-1,60),ROW()-1,FALSE))</f>
        <v>53.335999999999999</v>
      </c>
      <c r="AL96">
        <f ca="1">IF(AND(ISNUMBER($AL$345),$B$258=1),$AL$345,HLOOKUP(INDIRECT(ADDRESS(2,COLUMN())),OFFSET($BN$2,0,0,ROW()-1,60),ROW()-1,FALSE))</f>
        <v>54.808</v>
      </c>
      <c r="AM96">
        <f ca="1">IF(AND(ISNUMBER($AM$345),$B$258=1),$AM$345,HLOOKUP(INDIRECT(ADDRESS(2,COLUMN())),OFFSET($BN$2,0,0,ROW()-1,60),ROW()-1,FALSE))</f>
        <v>52.375999999999998</v>
      </c>
      <c r="AN96">
        <f ca="1">IF(AND(ISNUMBER($AN$345),$B$258=1),$AN$345,HLOOKUP(INDIRECT(ADDRESS(2,COLUMN())),OFFSET($BN$2,0,0,ROW()-1,60),ROW()-1,FALSE))</f>
        <v>49.42</v>
      </c>
      <c r="AO96">
        <f ca="1">IF(AND(ISNUMBER($AO$345),$B$258=1),$AO$345,HLOOKUP(INDIRECT(ADDRESS(2,COLUMN())),OFFSET($BN$2,0,0,ROW()-1,60),ROW()-1,FALSE))</f>
        <v>52.828000000000003</v>
      </c>
      <c r="AP96">
        <f ca="1">IF(AND(ISNUMBER($AP$345),$B$258=1),$AP$345,HLOOKUP(INDIRECT(ADDRESS(2,COLUMN())),OFFSET($BN$2,0,0,ROW()-1,60),ROW()-1,FALSE))</f>
        <v>52.134</v>
      </c>
      <c r="AQ96">
        <f ca="1">IF(AND(ISNUMBER($AQ$345),$B$258=1),$AQ$345,HLOOKUP(INDIRECT(ADDRESS(2,COLUMN())),OFFSET($BN$2,0,0,ROW()-1,60),ROW()-1,FALSE))</f>
        <v>48.853000000000002</v>
      </c>
      <c r="AR96">
        <f ca="1">IF(AND(ISNUMBER($AR$345),$B$258=1),$AR$345,HLOOKUP(INDIRECT(ADDRESS(2,COLUMN())),OFFSET($BN$2,0,0,ROW()-1,60),ROW()-1,FALSE))</f>
        <v>47.04</v>
      </c>
      <c r="AS96">
        <f ca="1">IF(AND(ISNUMBER($AS$345),$B$258=1),$AS$345,HLOOKUP(INDIRECT(ADDRESS(2,COLUMN())),OFFSET($BN$2,0,0,ROW()-1,60),ROW()-1,FALSE))</f>
        <v>41.247</v>
      </c>
      <c r="AT96">
        <f ca="1">IF(AND(ISNUMBER($AT$345),$B$258=1),$AT$345,HLOOKUP(INDIRECT(ADDRESS(2,COLUMN())),OFFSET($BN$2,0,0,ROW()-1,60),ROW()-1,FALSE))</f>
        <v>38.289000000000001</v>
      </c>
      <c r="AU96">
        <f ca="1">IF(AND(ISNUMBER($AU$345),$B$258=1),$AU$345,HLOOKUP(INDIRECT(ADDRESS(2,COLUMN())),OFFSET($BN$2,0,0,ROW()-1,60),ROW()-1,FALSE))</f>
        <v>35.222000000000001</v>
      </c>
      <c r="AV96">
        <f ca="1">IF(AND(ISNUMBER($AV$345),$B$258=1),$AV$345,HLOOKUP(INDIRECT(ADDRESS(2,COLUMN())),OFFSET($BN$2,0,0,ROW()-1,60),ROW()-1,FALSE))</f>
        <v>34.134</v>
      </c>
      <c r="AW96">
        <f ca="1">IF(AND(ISNUMBER($AW$345),$B$258=1),$AW$345,HLOOKUP(INDIRECT(ADDRESS(2,COLUMN())),OFFSET($BN$2,0,0,ROW()-1,60),ROW()-1,FALSE))</f>
        <v>34.014000000000003</v>
      </c>
      <c r="AX96">
        <f ca="1">IF(AND(ISNUMBER($AX$345),$B$258=1),$AX$345,HLOOKUP(INDIRECT(ADDRESS(2,COLUMN())),OFFSET($BN$2,0,0,ROW()-1,60),ROW()-1,FALSE))</f>
        <v>30.992999999999999</v>
      </c>
      <c r="AY96">
        <f ca="1">IF(AND(ISNUMBER($AY$345),$B$258=1),$AY$345,HLOOKUP(INDIRECT(ADDRESS(2,COLUMN())),OFFSET($BN$2,0,0,ROW()-1,60),ROW()-1,FALSE))</f>
        <v>34.984999999999999</v>
      </c>
      <c r="AZ96">
        <f ca="1">IF(AND(ISNUMBER($AZ$345),$B$258=1),$AZ$345,HLOOKUP(INDIRECT(ADDRESS(2,COLUMN())),OFFSET($BN$2,0,0,ROW()-1,60),ROW()-1,FALSE))</f>
        <v>27.673999999999999</v>
      </c>
      <c r="BA96">
        <f ca="1">IF(AND(ISNUMBER($BA$345),$B$258=1),$BA$345,HLOOKUP(INDIRECT(ADDRESS(2,COLUMN())),OFFSET($BN$2,0,0,ROW()-1,60),ROW()-1,FALSE))</f>
        <v>27.824999999999999</v>
      </c>
      <c r="BB96">
        <f ca="1">IF(AND(ISNUMBER($BB$345),$B$258=1),$BB$345,HLOOKUP(INDIRECT(ADDRESS(2,COLUMN())),OFFSET($BN$2,0,0,ROW()-1,60),ROW()-1,FALSE))</f>
        <v>23.523</v>
      </c>
      <c r="BC96">
        <f ca="1">IF(AND(ISNUMBER($BC$345),$B$258=1),$BC$345,HLOOKUP(INDIRECT(ADDRESS(2,COLUMN())),OFFSET($BN$2,0,0,ROW()-1,60),ROW()-1,FALSE))</f>
        <v>26.305</v>
      </c>
      <c r="BD96">
        <f ca="1">IF(AND(ISNUMBER($BD$345),$B$258=1),$BD$345,HLOOKUP(INDIRECT(ADDRESS(2,COLUMN())),OFFSET($BN$2,0,0,ROW()-1,60),ROW()-1,FALSE))</f>
        <v>35.86000061</v>
      </c>
      <c r="BE96">
        <f ca="1">IF(AND(ISNUMBER($BE$345),$B$258=1),$BE$345,HLOOKUP(INDIRECT(ADDRESS(2,COLUMN())),OFFSET($BN$2,0,0,ROW()-1,60),ROW()-1,FALSE))</f>
        <v>25.850000380000001</v>
      </c>
      <c r="BF96">
        <f ca="1">IF(AND(ISNUMBER($BF$345),$B$258=1),$BF$345,HLOOKUP(INDIRECT(ADDRESS(2,COLUMN())),OFFSET($BN$2,0,0,ROW()-1,60),ROW()-1,FALSE))</f>
        <v>25.426000599999998</v>
      </c>
      <c r="BG96">
        <f ca="1">IF(AND(ISNUMBER($BG$345),$B$258=1),$BG$345,HLOOKUP(INDIRECT(ADDRESS(2,COLUMN())),OFFSET($BN$2,0,0,ROW()-1,60),ROW()-1,FALSE))</f>
        <v>24.39</v>
      </c>
      <c r="BH96">
        <f ca="1">IF(AND(ISNUMBER($BH$345),$B$258=1),$BH$345,HLOOKUP(INDIRECT(ADDRESS(2,COLUMN())),OFFSET($BN$2,0,0,ROW()-1,60),ROW()-1,FALSE))</f>
        <v>23.437000269999999</v>
      </c>
      <c r="BI96">
        <f ca="1">IF(AND(ISNUMBER($BI$345),$B$258=1),$BI$345,HLOOKUP(INDIRECT(ADDRESS(2,COLUMN())),OFFSET($BN$2,0,0,ROW()-1,60),ROW()-1,FALSE))</f>
        <v>23.302999499999999</v>
      </c>
      <c r="BJ96">
        <f ca="1">IF(AND(ISNUMBER($BJ$345),$B$258=1),$BJ$345,HLOOKUP(INDIRECT(ADDRESS(2,COLUMN())),OFFSET($BN$2,0,0,ROW()-1,60),ROW()-1,FALSE))</f>
        <v>23.694000240000001</v>
      </c>
      <c r="BK96">
        <f ca="1">IF(AND(ISNUMBER($BK$345),$B$258=1),$BK$345,HLOOKUP(INDIRECT(ADDRESS(2,COLUMN())),OFFSET($BN$2,0,0,ROW()-1,60),ROW()-1,FALSE))</f>
        <v>20.520000459999999</v>
      </c>
      <c r="BL96" t="str">
        <f ca="1">IF(AND(ISNUMBER($BL$345),$B$258=1),$BL$345,HLOOKUP(INDIRECT(ADDRESS(2,COLUMN())),OFFSET($BN$2,0,0,ROW()-1,60),ROW()-1,FALSE))</f>
        <v/>
      </c>
      <c r="BM96" t="str">
        <f ca="1">IF(AND(ISNUMBER($BM$345),$B$258=1),$BM$345,HLOOKUP(INDIRECT(ADDRESS(2,COLUMN())),OFFSET($BN$2,0,0,ROW()-1,60),ROW()-1,FALSE))</f>
        <v/>
      </c>
      <c r="BN96" t="str">
        <f>""</f>
        <v/>
      </c>
      <c r="BO96">
        <f>81.039</f>
        <v>81.039000000000001</v>
      </c>
      <c r="BP96">
        <f>95.728</f>
        <v>95.727999999999994</v>
      </c>
      <c r="BQ96">
        <f>85.488</f>
        <v>85.488</v>
      </c>
      <c r="BR96">
        <f>104.874</f>
        <v>104.874</v>
      </c>
      <c r="BS96">
        <f>117.523</f>
        <v>117.523</v>
      </c>
      <c r="BT96">
        <f>104.826</f>
        <v>104.82599999999999</v>
      </c>
      <c r="BU96">
        <f>111.505</f>
        <v>111.505</v>
      </c>
      <c r="BV96">
        <f>109.885</f>
        <v>109.88500000000001</v>
      </c>
      <c r="BW96">
        <f>81.385</f>
        <v>81.385000000000005</v>
      </c>
      <c r="BX96">
        <f>108.167</f>
        <v>108.167</v>
      </c>
      <c r="BY96">
        <f>99.5</f>
        <v>99.5</v>
      </c>
      <c r="BZ96">
        <f>93.496</f>
        <v>93.495999999999995</v>
      </c>
      <c r="CA96">
        <f>96.895</f>
        <v>96.894999999999996</v>
      </c>
      <c r="CB96">
        <f>86.968</f>
        <v>86.968000000000004</v>
      </c>
      <c r="CC96">
        <f>81.579</f>
        <v>81.578999999999994</v>
      </c>
      <c r="CD96">
        <f>77.5</f>
        <v>77.5</v>
      </c>
      <c r="CE96">
        <f>86.537</f>
        <v>86.537000000000006</v>
      </c>
      <c r="CF96">
        <f>75.457</f>
        <v>75.456999999999994</v>
      </c>
      <c r="CG96">
        <f>76.36</f>
        <v>76.36</v>
      </c>
      <c r="CH96">
        <f>74.841</f>
        <v>74.840999999999994</v>
      </c>
      <c r="CI96">
        <f>81.605</f>
        <v>81.605000000000004</v>
      </c>
      <c r="CJ96">
        <f>61.627</f>
        <v>61.627000000000002</v>
      </c>
      <c r="CK96">
        <f>68.481</f>
        <v>68.480999999999995</v>
      </c>
      <c r="CL96">
        <f>68.8</f>
        <v>68.8</v>
      </c>
      <c r="CM96">
        <f>70.54</f>
        <v>70.540000000000006</v>
      </c>
      <c r="CN96">
        <f>59.848</f>
        <v>59.847999999999999</v>
      </c>
      <c r="CO96">
        <f>56.668</f>
        <v>56.667999999999999</v>
      </c>
      <c r="CP96">
        <f>58.302</f>
        <v>58.302</v>
      </c>
      <c r="CQ96">
        <f>62.004</f>
        <v>62.003999999999998</v>
      </c>
      <c r="CR96">
        <f>53.46</f>
        <v>53.46</v>
      </c>
      <c r="CS96">
        <f>53.336</f>
        <v>53.335999999999999</v>
      </c>
      <c r="CT96">
        <f>54.808</f>
        <v>54.808</v>
      </c>
      <c r="CU96">
        <f>52.376</f>
        <v>52.375999999999998</v>
      </c>
      <c r="CV96">
        <f>49.42</f>
        <v>49.42</v>
      </c>
      <c r="CW96">
        <f>52.828</f>
        <v>52.828000000000003</v>
      </c>
      <c r="CX96">
        <f>52.134</f>
        <v>52.134</v>
      </c>
      <c r="CY96">
        <f>48.853</f>
        <v>48.853000000000002</v>
      </c>
      <c r="CZ96">
        <f>47.04</f>
        <v>47.04</v>
      </c>
      <c r="DA96">
        <f>41.247</f>
        <v>41.247</v>
      </c>
      <c r="DB96">
        <f>38.289</f>
        <v>38.289000000000001</v>
      </c>
      <c r="DC96">
        <f>35.222</f>
        <v>35.222000000000001</v>
      </c>
      <c r="DD96">
        <f>34.134</f>
        <v>34.134</v>
      </c>
      <c r="DE96">
        <f>34.014</f>
        <v>34.014000000000003</v>
      </c>
      <c r="DF96">
        <f>30.993</f>
        <v>30.992999999999999</v>
      </c>
      <c r="DG96">
        <f>34.985</f>
        <v>34.984999999999999</v>
      </c>
      <c r="DH96">
        <f>27.674</f>
        <v>27.673999999999999</v>
      </c>
      <c r="DI96">
        <f>27.825</f>
        <v>27.824999999999999</v>
      </c>
      <c r="DJ96">
        <f>23.523</f>
        <v>23.523</v>
      </c>
      <c r="DK96">
        <f>26.305</f>
        <v>26.305</v>
      </c>
      <c r="DL96">
        <f>35.86000061</f>
        <v>35.86000061</v>
      </c>
      <c r="DM96">
        <f>25.85000038</f>
        <v>25.850000380000001</v>
      </c>
      <c r="DN96">
        <f>25.4260006</f>
        <v>25.426000599999998</v>
      </c>
      <c r="DO96">
        <f>24.39</f>
        <v>24.39</v>
      </c>
      <c r="DP96">
        <f>23.43700027</f>
        <v>23.437000269999999</v>
      </c>
      <c r="DQ96">
        <f>23.3029995</f>
        <v>23.302999499999999</v>
      </c>
      <c r="DR96">
        <f>23.69400024</f>
        <v>23.694000240000001</v>
      </c>
      <c r="DS96">
        <f>20.52000046</f>
        <v>20.520000459999999</v>
      </c>
      <c r="DT96" t="str">
        <f>""</f>
        <v/>
      </c>
      <c r="DU96" t="str">
        <f>""</f>
        <v/>
      </c>
    </row>
    <row r="97" spans="1:125">
      <c r="A97" t="str">
        <f>"    Ventas Inc"</f>
        <v xml:space="preserve">    Ventas Inc</v>
      </c>
      <c r="B97" t="str">
        <f>"VTR US Equity"</f>
        <v>VTR US Equity</v>
      </c>
      <c r="C97" t="str">
        <f t="shared" si="21"/>
        <v>CF039</v>
      </c>
      <c r="D97" t="str">
        <f t="shared" si="22"/>
        <v>CF_FFO</v>
      </c>
      <c r="E97" t="str">
        <f t="shared" si="23"/>
        <v>动态</v>
      </c>
      <c r="F97" t="str">
        <f ca="1">IF(AND(ISNUMBER($F$346),$B$258=1),$F$346,HLOOKUP(INDIRECT(ADDRESS(2,COLUMN())),OFFSET($BN$2,0,0,ROW()-1,60),ROW()-1,FALSE))</f>
        <v/>
      </c>
      <c r="G97">
        <f ca="1">IF(AND(ISNUMBER($G$346),$B$258=1),$G$346,HLOOKUP(INDIRECT(ADDRESS(2,COLUMN())),OFFSET($BN$2,0,0,ROW()-1,60),ROW()-1,FALSE))</f>
        <v>407.44200000000001</v>
      </c>
      <c r="H97">
        <f ca="1">IF(AND(ISNUMBER($H$346),$B$258=1),$H$346,HLOOKUP(INDIRECT(ADDRESS(2,COLUMN())),OFFSET($BN$2,0,0,ROW()-1,60),ROW()-1,FALSE))</f>
        <v>365.43799999999999</v>
      </c>
      <c r="I97">
        <f ca="1">IF(AND(ISNUMBER($I$346),$B$258=1),$I$346,HLOOKUP(INDIRECT(ADDRESS(2,COLUMN())),OFFSET($BN$2,0,0,ROW()-1,60),ROW()-1,FALSE))</f>
        <v>373.01799999999997</v>
      </c>
      <c r="J97">
        <f ca="1">IF(AND(ISNUMBER($J$346),$B$258=1),$J$346,HLOOKUP(INDIRECT(ADDRESS(2,COLUMN())),OFFSET($BN$2,0,0,ROW()-1,60),ROW()-1,FALSE))</f>
        <v>366.98700000000002</v>
      </c>
      <c r="K97">
        <f ca="1">IF(AND(ISNUMBER($K$346),$B$258=1),$K$346,HLOOKUP(INDIRECT(ADDRESS(2,COLUMN())),OFFSET($BN$2,0,0,ROW()-1,60),ROW()-1,FALSE))</f>
        <v>371.02300000000002</v>
      </c>
      <c r="L97">
        <f ca="1">IF(AND(ISNUMBER($L$346),$B$258=1),$L$346,HLOOKUP(INDIRECT(ADDRESS(2,COLUMN())),OFFSET($BN$2,0,0,ROW()-1,60),ROW()-1,FALSE))</f>
        <v>355.404</v>
      </c>
      <c r="M97">
        <f ca="1">IF(AND(ISNUMBER($M$346),$B$258=1),$M$346,HLOOKUP(INDIRECT(ADDRESS(2,COLUMN())),OFFSET($BN$2,0,0,ROW()-1,60),ROW()-1,FALSE))</f>
        <v>357.21699999999998</v>
      </c>
      <c r="N97">
        <f ca="1">IF(AND(ISNUMBER($N$346),$B$258=1),$N$346,HLOOKUP(INDIRECT(ADDRESS(2,COLUMN())),OFFSET($BN$2,0,0,ROW()-1,60),ROW()-1,FALSE))</f>
        <v>356.9</v>
      </c>
      <c r="O97">
        <f ca="1">IF(AND(ISNUMBER($O$346),$B$258=1),$O$346,HLOOKUP(INDIRECT(ADDRESS(2,COLUMN())),OFFSET($BN$2,0,0,ROW()-1,60),ROW()-1,FALSE))</f>
        <v>356.91800000000001</v>
      </c>
      <c r="P97">
        <f ca="1">IF(AND(ISNUMBER($P$346),$B$258=1),$P$346,HLOOKUP(INDIRECT(ADDRESS(2,COLUMN())),OFFSET($BN$2,0,0,ROW()-1,60),ROW()-1,FALSE))</f>
        <v>260.68200000000002</v>
      </c>
      <c r="Q97">
        <f ca="1">IF(AND(ISNUMBER($Q$346),$B$258=1),$Q$346,HLOOKUP(INDIRECT(ADDRESS(2,COLUMN())),OFFSET($BN$2,0,0,ROW()-1,60),ROW()-1,FALSE))</f>
        <v>388.97899999999998</v>
      </c>
      <c r="R97">
        <f ca="1">IF(AND(ISNUMBER($R$346),$B$258=1),$R$346,HLOOKUP(INDIRECT(ADDRESS(2,COLUMN())),OFFSET($BN$2,0,0,ROW()-1,60),ROW()-1,FALSE))</f>
        <v>358.82900000000001</v>
      </c>
      <c r="S97">
        <f ca="1">IF(AND(ISNUMBER($S$346),$B$258=1),$S$346,HLOOKUP(INDIRECT(ADDRESS(2,COLUMN())),OFFSET($BN$2,0,0,ROW()-1,60),ROW()-1,FALSE))</f>
        <v>343.988</v>
      </c>
      <c r="T97">
        <f ca="1">IF(AND(ISNUMBER($T$346),$B$258=1),$T$346,HLOOKUP(INDIRECT(ADDRESS(2,COLUMN())),OFFSET($BN$2,0,0,ROW()-1,60),ROW()-1,FALSE))</f>
        <v>304.14499999999998</v>
      </c>
      <c r="U97">
        <f ca="1">IF(AND(ISNUMBER($U$346),$B$258=1),$U$346,HLOOKUP(INDIRECT(ADDRESS(2,COLUMN())),OFFSET($BN$2,0,0,ROW()-1,60),ROW()-1,FALSE))</f>
        <v>315.76400000000001</v>
      </c>
      <c r="V97">
        <f ca="1">IF(AND(ISNUMBER($V$346),$B$258=1),$V$346,HLOOKUP(INDIRECT(ADDRESS(2,COLUMN())),OFFSET($BN$2,0,0,ROW()-1,60),ROW()-1,FALSE))</f>
        <v>309.78300000000002</v>
      </c>
      <c r="W97">
        <f ca="1">IF(AND(ISNUMBER($W$346),$B$258=1),$W$346,HLOOKUP(INDIRECT(ADDRESS(2,COLUMN())),OFFSET($BN$2,0,0,ROW()-1,60),ROW()-1,FALSE))</f>
        <v>305.065</v>
      </c>
      <c r="X97">
        <f ca="1">IF(AND(ISNUMBER($X$346),$B$258=1),$X$346,HLOOKUP(INDIRECT(ADDRESS(2,COLUMN())),OFFSET($BN$2,0,0,ROW()-1,60),ROW()-1,FALSE))</f>
        <v>303.66800000000001</v>
      </c>
      <c r="Y97">
        <f ca="1">IF(AND(ISNUMBER($Y$346),$B$258=1),$Y$346,HLOOKUP(INDIRECT(ADDRESS(2,COLUMN())),OFFSET($BN$2,0,0,ROW()-1,60),ROW()-1,FALSE))</f>
        <v>304.44099999999997</v>
      </c>
      <c r="Z97">
        <f ca="1">IF(AND(ISNUMBER($Z$346),$B$258=1),$Z$346,HLOOKUP(INDIRECT(ADDRESS(2,COLUMN())),OFFSET($BN$2,0,0,ROW()-1,60),ROW()-1,FALSE))</f>
        <v>295.28399999999999</v>
      </c>
      <c r="AA97">
        <f ca="1">IF(AND(ISNUMBER($AA$346),$B$258=1),$AA$346,HLOOKUP(INDIRECT(ADDRESS(2,COLUMN())),OFFSET($BN$2,0,0,ROW()-1,60),ROW()-1,FALSE))</f>
        <v>284.017</v>
      </c>
      <c r="AB97">
        <f ca="1">IF(AND(ISNUMBER($AB$346),$B$258=1),$AB$346,HLOOKUP(INDIRECT(ADDRESS(2,COLUMN())),OFFSET($BN$2,0,0,ROW()-1,60),ROW()-1,FALSE))</f>
        <v>289.72899999999998</v>
      </c>
      <c r="AC97">
        <f ca="1">IF(AND(ISNUMBER($AC$346),$B$258=1),$AC$346,HLOOKUP(INDIRECT(ADDRESS(2,COLUMN())),OFFSET($BN$2,0,0,ROW()-1,60),ROW()-1,FALSE))</f>
        <v>236.03</v>
      </c>
      <c r="AD97">
        <f ca="1">IF(AND(ISNUMBER($AD$346),$B$258=1),$AD$346,HLOOKUP(INDIRECT(ADDRESS(2,COLUMN())),OFFSET($BN$2,0,0,ROW()-1,60),ROW()-1,FALSE))</f>
        <v>214.791</v>
      </c>
      <c r="AE97">
        <f ca="1">IF(AND(ISNUMBER($AE$346),$B$258=1),$AE$346,HLOOKUP(INDIRECT(ADDRESS(2,COLUMN())),OFFSET($BN$2,0,0,ROW()-1,60),ROW()-1,FALSE))</f>
        <v>359.072</v>
      </c>
      <c r="AF97">
        <f ca="1">IF(AND(ISNUMBER($AF$346),$B$258=1),$AF$346,HLOOKUP(INDIRECT(ADDRESS(2,COLUMN())),OFFSET($BN$2,0,0,ROW()-1,60),ROW()-1,FALSE))</f>
        <v>264.22199999999998</v>
      </c>
      <c r="AG97">
        <f ca="1">IF(AND(ISNUMBER($AG$346),$B$258=1),$AG$346,HLOOKUP(INDIRECT(ADDRESS(2,COLUMN())),OFFSET($BN$2,0,0,ROW()-1,60),ROW()-1,FALSE))</f>
        <v>100.569</v>
      </c>
      <c r="AH97">
        <f ca="1">IF(AND(ISNUMBER($AH$346),$B$258=1),$AH$346,HLOOKUP(INDIRECT(ADDRESS(2,COLUMN())),OFFSET($BN$2,0,0,ROW()-1,60),ROW()-1,FALSE))</f>
        <v>100.988</v>
      </c>
      <c r="AI97">
        <f ca="1">IF(AND(ISNUMBER($AI$346),$B$258=1),$AI$346,HLOOKUP(INDIRECT(ADDRESS(2,COLUMN())),OFFSET($BN$2,0,0,ROW()-1,60),ROW()-1,FALSE))</f>
        <v>108.288</v>
      </c>
      <c r="AJ97">
        <f ca="1">IF(AND(ISNUMBER($AJ$346),$B$258=1),$AJ$346,HLOOKUP(INDIRECT(ADDRESS(2,COLUMN())),OFFSET($BN$2,0,0,ROW()-1,60),ROW()-1,FALSE))</f>
        <v>108.923</v>
      </c>
      <c r="AK97">
        <f ca="1">IF(AND(ISNUMBER($AK$346),$B$258=1),$AK$346,HLOOKUP(INDIRECT(ADDRESS(2,COLUMN())),OFFSET($BN$2,0,0,ROW()-1,60),ROW()-1,FALSE))</f>
        <v>101.27800000000001</v>
      </c>
      <c r="AL97">
        <f ca="1">IF(AND(ISNUMBER($AL$346),$B$258=1),$AL$346,HLOOKUP(INDIRECT(ADDRESS(2,COLUMN())),OFFSET($BN$2,0,0,ROW()-1,60),ROW()-1,FALSE))</f>
        <v>103.017</v>
      </c>
      <c r="AM97">
        <f ca="1">IF(AND(ISNUMBER($AM$346),$B$258=1),$AM$346,HLOOKUP(INDIRECT(ADDRESS(2,COLUMN())),OFFSET($BN$2,0,0,ROW()-1,60),ROW()-1,FALSE))</f>
        <v>104.042</v>
      </c>
      <c r="AN97">
        <f ca="1">IF(AND(ISNUMBER($AN$346),$B$258=1),$AN$346,HLOOKUP(INDIRECT(ADDRESS(2,COLUMN())),OFFSET($BN$2,0,0,ROW()-1,60),ROW()-1,FALSE))</f>
        <v>98.289000000000001</v>
      </c>
      <c r="AO97">
        <f ca="1">IF(AND(ISNUMBER($AO$346),$B$258=1),$AO$346,HLOOKUP(INDIRECT(ADDRESS(2,COLUMN())),OFFSET($BN$2,0,0,ROW()-1,60),ROW()-1,FALSE))</f>
        <v>96.602999999999994</v>
      </c>
      <c r="AP97">
        <f ca="1">IF(AND(ISNUMBER($AP$346),$B$258=1),$AP$346,HLOOKUP(INDIRECT(ADDRESS(2,COLUMN())),OFFSET($BN$2,0,0,ROW()-1,60),ROW()-1,FALSE))</f>
        <v>94.474999999999994</v>
      </c>
      <c r="AQ97">
        <f ca="1">IF(AND(ISNUMBER($AQ$346),$B$258=1),$AQ$346,HLOOKUP(INDIRECT(ADDRESS(2,COLUMN())),OFFSET($BN$2,0,0,ROW()-1,60),ROW()-1,FALSE))</f>
        <v>97.591999999999999</v>
      </c>
      <c r="AR97">
        <f ca="1">IF(AND(ISNUMBER($AR$346),$B$258=1),$AR$346,HLOOKUP(INDIRECT(ADDRESS(2,COLUMN())),OFFSET($BN$2,0,0,ROW()-1,60),ROW()-1,FALSE))</f>
        <v>112.959</v>
      </c>
      <c r="AS97">
        <f ca="1">IF(AND(ISNUMBER($AS$346),$B$258=1),$AS$346,HLOOKUP(INDIRECT(ADDRESS(2,COLUMN())),OFFSET($BN$2,0,0,ROW()-1,60),ROW()-1,FALSE))</f>
        <v>100.497</v>
      </c>
      <c r="AT97">
        <f ca="1">IF(AND(ISNUMBER($AT$346),$B$258=1),$AT$346,HLOOKUP(INDIRECT(ADDRESS(2,COLUMN())),OFFSET($BN$2,0,0,ROW()-1,60),ROW()-1,FALSE))</f>
        <v>101.309</v>
      </c>
      <c r="AU97">
        <f ca="1">IF(AND(ISNUMBER($AU$346),$B$258=1),$AU$346,HLOOKUP(INDIRECT(ADDRESS(2,COLUMN())),OFFSET($BN$2,0,0,ROW()-1,60),ROW()-1,FALSE))</f>
        <v>100.377</v>
      </c>
      <c r="AV97">
        <f ca="1">IF(AND(ISNUMBER($AV$346),$B$258=1),$AV$346,HLOOKUP(INDIRECT(ADDRESS(2,COLUMN())),OFFSET($BN$2,0,0,ROW()-1,60),ROW()-1,FALSE))</f>
        <v>97.143000000000001</v>
      </c>
      <c r="AW97">
        <f ca="1">IF(AND(ISNUMBER($AW$346),$B$258=1),$AW$346,HLOOKUP(INDIRECT(ADDRESS(2,COLUMN())),OFFSET($BN$2,0,0,ROW()-1,60),ROW()-1,FALSE))</f>
        <v>107.411</v>
      </c>
      <c r="AX97">
        <f ca="1">IF(AND(ISNUMBER($AX$346),$B$258=1),$AX$346,HLOOKUP(INDIRECT(ADDRESS(2,COLUMN())),OFFSET($BN$2,0,0,ROW()-1,60),ROW()-1,FALSE))</f>
        <v>77.924000000000007</v>
      </c>
      <c r="AY97">
        <f ca="1">IF(AND(ISNUMBER($AY$346),$B$258=1),$AY$346,HLOOKUP(INDIRECT(ADDRESS(2,COLUMN())),OFFSET($BN$2,0,0,ROW()-1,60),ROW()-1,FALSE))</f>
        <v>66.989000000000004</v>
      </c>
      <c r="AZ97">
        <f ca="1">IF(AND(ISNUMBER($AZ$346),$B$258=1),$AZ$346,HLOOKUP(INDIRECT(ADDRESS(2,COLUMN())),OFFSET($BN$2,0,0,ROW()-1,60),ROW()-1,FALSE))</f>
        <v>61.396999999999998</v>
      </c>
      <c r="BA97">
        <f ca="1">IF(AND(ISNUMBER($BA$346),$B$258=1),$BA$346,HLOOKUP(INDIRECT(ADDRESS(2,COLUMN())),OFFSET($BN$2,0,0,ROW()-1,60),ROW()-1,FALSE))</f>
        <v>58.226999999999997</v>
      </c>
      <c r="BB97">
        <f ca="1">IF(AND(ISNUMBER($BB$346),$B$258=1),$BB$346,HLOOKUP(INDIRECT(ADDRESS(2,COLUMN())),OFFSET($BN$2,0,0,ROW()-1,60),ROW()-1,FALSE))</f>
        <v>57.463000000000001</v>
      </c>
      <c r="BC97">
        <f ca="1">IF(AND(ISNUMBER($BC$346),$B$258=1),$BC$346,HLOOKUP(INDIRECT(ADDRESS(2,COLUMN())),OFFSET($BN$2,0,0,ROW()-1,60),ROW()-1,FALSE))</f>
        <v>70.679000000000002</v>
      </c>
      <c r="BD97">
        <f ca="1">IF(AND(ISNUMBER($BD$346),$B$258=1),$BD$346,HLOOKUP(INDIRECT(ADDRESS(2,COLUMN())),OFFSET($BN$2,0,0,ROW()-1,60),ROW()-1,FALSE))</f>
        <v>56.343000000000004</v>
      </c>
      <c r="BE97">
        <f ca="1">IF(AND(ISNUMBER($BE$346),$B$258=1),$BE$346,HLOOKUP(INDIRECT(ADDRESS(2,COLUMN())),OFFSET($BN$2,0,0,ROW()-1,60),ROW()-1,FALSE))</f>
        <v>45.433</v>
      </c>
      <c r="BF97">
        <f ca="1">IF(AND(ISNUMBER($BF$346),$B$258=1),$BF$346,HLOOKUP(INDIRECT(ADDRESS(2,COLUMN())),OFFSET($BN$2,0,0,ROW()-1,60),ROW()-1,FALSE))</f>
        <v>40.747999999999998</v>
      </c>
      <c r="BG97">
        <f ca="1">IF(AND(ISNUMBER($BG$346),$B$258=1),$BG$346,HLOOKUP(INDIRECT(ADDRESS(2,COLUMN())),OFFSET($BN$2,0,0,ROW()-1,60),ROW()-1,FALSE))</f>
        <v>40.128</v>
      </c>
      <c r="BH97">
        <f ca="1">IF(AND(ISNUMBER($BH$346),$B$258=1),$BH$346,HLOOKUP(INDIRECT(ADDRESS(2,COLUMN())),OFFSET($BN$2,0,0,ROW()-1,60),ROW()-1,FALSE))</f>
        <v>38.450000000000003</v>
      </c>
      <c r="BI97">
        <f ca="1">IF(AND(ISNUMBER($BI$346),$B$258=1),$BI$346,HLOOKUP(INDIRECT(ADDRESS(2,COLUMN())),OFFSET($BN$2,0,0,ROW()-1,60),ROW()-1,FALSE))</f>
        <v>37.695999999999998</v>
      </c>
      <c r="BJ97">
        <f ca="1">IF(AND(ISNUMBER($BJ$346),$B$258=1),$BJ$346,HLOOKUP(INDIRECT(ADDRESS(2,COLUMN())),OFFSET($BN$2,0,0,ROW()-1,60),ROW()-1,FALSE))</f>
        <v>34.048000000000002</v>
      </c>
      <c r="BK97">
        <f ca="1">IF(AND(ISNUMBER($BK$346),$B$258=1),$BK$346,HLOOKUP(INDIRECT(ADDRESS(2,COLUMN())),OFFSET($BN$2,0,0,ROW()-1,60),ROW()-1,FALSE))</f>
        <v>32.262001040000001</v>
      </c>
      <c r="BL97">
        <f ca="1">IF(AND(ISNUMBER($BL$346),$B$258=1),$BL$346,HLOOKUP(INDIRECT(ADDRESS(2,COLUMN())),OFFSET($BN$2,0,0,ROW()-1,60),ROW()-1,FALSE))</f>
        <v>40.311000819999997</v>
      </c>
      <c r="BM97">
        <f ca="1">IF(AND(ISNUMBER($BM$346),$B$258=1),$BM$346,HLOOKUP(INDIRECT(ADDRESS(2,COLUMN())),OFFSET($BN$2,0,0,ROW()-1,60),ROW()-1,FALSE))</f>
        <v>32.118000000000002</v>
      </c>
      <c r="BN97" t="str">
        <f>""</f>
        <v/>
      </c>
      <c r="BO97">
        <f>407.442</f>
        <v>407.44200000000001</v>
      </c>
      <c r="BP97">
        <f>365.438</f>
        <v>365.43799999999999</v>
      </c>
      <c r="BQ97">
        <f>373.018</f>
        <v>373.01799999999997</v>
      </c>
      <c r="BR97">
        <f>366.987</f>
        <v>366.98700000000002</v>
      </c>
      <c r="BS97">
        <f>371.023</f>
        <v>371.02300000000002</v>
      </c>
      <c r="BT97">
        <f>355.404</f>
        <v>355.404</v>
      </c>
      <c r="BU97">
        <f>357.217</f>
        <v>357.21699999999998</v>
      </c>
      <c r="BV97">
        <f>356.9</f>
        <v>356.9</v>
      </c>
      <c r="BW97">
        <f>356.918</f>
        <v>356.91800000000001</v>
      </c>
      <c r="BX97">
        <f>260.682</f>
        <v>260.68200000000002</v>
      </c>
      <c r="BY97">
        <f>388.979</f>
        <v>388.97899999999998</v>
      </c>
      <c r="BZ97">
        <f>358.829</f>
        <v>358.82900000000001</v>
      </c>
      <c r="CA97">
        <f>343.988</f>
        <v>343.988</v>
      </c>
      <c r="CB97">
        <f>304.145</f>
        <v>304.14499999999998</v>
      </c>
      <c r="CC97">
        <f>315.764</f>
        <v>315.76400000000001</v>
      </c>
      <c r="CD97">
        <f>309.783</f>
        <v>309.78300000000002</v>
      </c>
      <c r="CE97">
        <f>305.065</f>
        <v>305.065</v>
      </c>
      <c r="CF97">
        <f>303.668</f>
        <v>303.66800000000001</v>
      </c>
      <c r="CG97">
        <f>304.441</f>
        <v>304.44099999999997</v>
      </c>
      <c r="CH97">
        <f>295.284</f>
        <v>295.28399999999999</v>
      </c>
      <c r="CI97">
        <f>284.017</f>
        <v>284.017</v>
      </c>
      <c r="CJ97">
        <f>289.729</f>
        <v>289.72899999999998</v>
      </c>
      <c r="CK97">
        <f>236.03</f>
        <v>236.03</v>
      </c>
      <c r="CL97">
        <f>214.791</f>
        <v>214.791</v>
      </c>
      <c r="CM97">
        <f>359.072</f>
        <v>359.072</v>
      </c>
      <c r="CN97">
        <f>264.222</f>
        <v>264.22199999999998</v>
      </c>
      <c r="CO97">
        <f>100.569</f>
        <v>100.569</v>
      </c>
      <c r="CP97">
        <f>100.988</f>
        <v>100.988</v>
      </c>
      <c r="CQ97">
        <f>108.288</f>
        <v>108.288</v>
      </c>
      <c r="CR97">
        <f>108.923</f>
        <v>108.923</v>
      </c>
      <c r="CS97">
        <f>101.278</f>
        <v>101.27800000000001</v>
      </c>
      <c r="CT97">
        <f>103.017</f>
        <v>103.017</v>
      </c>
      <c r="CU97">
        <f>104.042</f>
        <v>104.042</v>
      </c>
      <c r="CV97">
        <f>98.289</f>
        <v>98.289000000000001</v>
      </c>
      <c r="CW97">
        <f>96.603</f>
        <v>96.602999999999994</v>
      </c>
      <c r="CX97">
        <f>94.475</f>
        <v>94.474999999999994</v>
      </c>
      <c r="CY97">
        <f>97.592</f>
        <v>97.591999999999999</v>
      </c>
      <c r="CZ97">
        <f>112.959</f>
        <v>112.959</v>
      </c>
      <c r="DA97">
        <f>100.497</f>
        <v>100.497</v>
      </c>
      <c r="DB97">
        <f>101.309</f>
        <v>101.309</v>
      </c>
      <c r="DC97">
        <f>100.377</f>
        <v>100.377</v>
      </c>
      <c r="DD97">
        <f>97.143</f>
        <v>97.143000000000001</v>
      </c>
      <c r="DE97">
        <f>107.411</f>
        <v>107.411</v>
      </c>
      <c r="DF97">
        <f>77.924</f>
        <v>77.924000000000007</v>
      </c>
      <c r="DG97">
        <f>66.989</f>
        <v>66.989000000000004</v>
      </c>
      <c r="DH97">
        <f>61.397</f>
        <v>61.396999999999998</v>
      </c>
      <c r="DI97">
        <f>58.227</f>
        <v>58.226999999999997</v>
      </c>
      <c r="DJ97">
        <f>57.463</f>
        <v>57.463000000000001</v>
      </c>
      <c r="DK97">
        <f>70.679</f>
        <v>70.679000000000002</v>
      </c>
      <c r="DL97">
        <f>56.343</f>
        <v>56.343000000000004</v>
      </c>
      <c r="DM97">
        <f>45.433</f>
        <v>45.433</v>
      </c>
      <c r="DN97">
        <f>40.748</f>
        <v>40.747999999999998</v>
      </c>
      <c r="DO97">
        <f>40.128</f>
        <v>40.128</v>
      </c>
      <c r="DP97">
        <f>38.45</f>
        <v>38.450000000000003</v>
      </c>
      <c r="DQ97">
        <f>37.696</f>
        <v>37.695999999999998</v>
      </c>
      <c r="DR97">
        <f>34.048</f>
        <v>34.048000000000002</v>
      </c>
      <c r="DS97">
        <f>32.26200104</f>
        <v>32.262001040000001</v>
      </c>
      <c r="DT97">
        <f>40.31100082</f>
        <v>40.311000819999997</v>
      </c>
      <c r="DU97">
        <f>32.118</f>
        <v>32.118000000000002</v>
      </c>
    </row>
    <row r="98" spans="1:125">
      <c r="A98" t="str">
        <f>"    Welltower Inc"</f>
        <v xml:space="preserve">    Welltower Inc</v>
      </c>
      <c r="B98" t="str">
        <f>"HCN US Equity"</f>
        <v>HCN US Equity</v>
      </c>
      <c r="C98" t="str">
        <f t="shared" si="21"/>
        <v>CF039</v>
      </c>
      <c r="D98" t="str">
        <f t="shared" si="22"/>
        <v>CF_FFO</v>
      </c>
      <c r="E98" t="str">
        <f t="shared" si="23"/>
        <v>动态</v>
      </c>
      <c r="F98" t="str">
        <f ca="1">IF(AND(ISNUMBER($F$347),$B$258=1),$F$347,HLOOKUP(INDIRECT(ADDRESS(2,COLUMN())),OFFSET($BN$2,0,0,ROW()-1,60),ROW()-1,FALSE))</f>
        <v/>
      </c>
      <c r="G98">
        <f ca="1">IF(AND(ISNUMBER($G$347),$B$258=1),$G$347,HLOOKUP(INDIRECT(ADDRESS(2,COLUMN())),OFFSET($BN$2,0,0,ROW()-1,60),ROW()-1,FALSE))</f>
        <v>179.22399999999999</v>
      </c>
      <c r="H98">
        <f ca="1">IF(AND(ISNUMBER($H$347),$B$258=1),$H$347,HLOOKUP(INDIRECT(ADDRESS(2,COLUMN())),OFFSET($BN$2,0,0,ROW()-1,60),ROW()-1,FALSE))</f>
        <v>295.72199999999998</v>
      </c>
      <c r="I98">
        <f ca="1">IF(AND(ISNUMBER($I$347),$B$258=1),$I$347,HLOOKUP(INDIRECT(ADDRESS(2,COLUMN())),OFFSET($BN$2,0,0,ROW()-1,60),ROW()-1,FALSE))</f>
        <v>384.39</v>
      </c>
      <c r="J98">
        <f ca="1">IF(AND(ISNUMBER($J$347),$B$258=1),$J$347,HLOOKUP(INDIRECT(ADDRESS(2,COLUMN())),OFFSET($BN$2,0,0,ROW()-1,60),ROW()-1,FALSE))</f>
        <v>306.23099999999999</v>
      </c>
      <c r="K98">
        <f ca="1">IF(AND(ISNUMBER($K$347),$B$258=1),$K$347,HLOOKUP(INDIRECT(ADDRESS(2,COLUMN())),OFFSET($BN$2,0,0,ROW()-1,60),ROW()-1,FALSE))</f>
        <v>372.82900000000001</v>
      </c>
      <c r="L98">
        <f ca="1">IF(AND(ISNUMBER($L$347),$B$258=1),$L$347,HLOOKUP(INDIRECT(ADDRESS(2,COLUMN())),OFFSET($BN$2,0,0,ROW()-1,60),ROW()-1,FALSE))</f>
        <v>401.87</v>
      </c>
      <c r="M98">
        <f ca="1">IF(AND(ISNUMBER($M$347),$B$258=1),$M$347,HLOOKUP(INDIRECT(ADDRESS(2,COLUMN())),OFFSET($BN$2,0,0,ROW()-1,60),ROW()-1,FALSE))</f>
        <v>416.97399999999999</v>
      </c>
      <c r="N98">
        <f ca="1">IF(AND(ISNUMBER($N$347),$B$258=1),$N$347,HLOOKUP(INDIRECT(ADDRESS(2,COLUMN())),OFFSET($BN$2,0,0,ROW()-1,60),ROW()-1,FALSE))</f>
        <v>391.26400000000001</v>
      </c>
      <c r="O98">
        <f ca="1">IF(AND(ISNUMBER($O$347),$B$258=1),$O$347,HLOOKUP(INDIRECT(ADDRESS(2,COLUMN())),OFFSET($BN$2,0,0,ROW()-1,60),ROW()-1,FALSE))</f>
        <v>332.50900000000001</v>
      </c>
      <c r="P98">
        <f ca="1">IF(AND(ISNUMBER($P$347),$B$258=1),$P$347,HLOOKUP(INDIRECT(ADDRESS(2,COLUMN())),OFFSET($BN$2,0,0,ROW()-1,60),ROW()-1,FALSE))</f>
        <v>392.29500000000002</v>
      </c>
      <c r="Q98">
        <f ca="1">IF(AND(ISNUMBER($Q$347),$B$258=1),$Q$347,HLOOKUP(INDIRECT(ADDRESS(2,COLUMN())),OFFSET($BN$2,0,0,ROW()-1,60),ROW()-1,FALSE))</f>
        <v>340.58800000000002</v>
      </c>
      <c r="R98">
        <f ca="1">IF(AND(ISNUMBER($R$347),$B$258=1),$R$347,HLOOKUP(INDIRECT(ADDRESS(2,COLUMN())),OFFSET($BN$2,0,0,ROW()-1,60),ROW()-1,FALSE))</f>
        <v>344.25</v>
      </c>
      <c r="S98">
        <f ca="1">IF(AND(ISNUMBER($S$347),$B$258=1),$S$347,HLOOKUP(INDIRECT(ADDRESS(2,COLUMN())),OFFSET($BN$2,0,0,ROW()-1,60),ROW()-1,FALSE))</f>
        <v>284.51600000000002</v>
      </c>
      <c r="T98">
        <f ca="1">IF(AND(ISNUMBER($T$347),$B$258=1),$T$347,HLOOKUP(INDIRECT(ADDRESS(2,COLUMN())),OFFSET($BN$2,0,0,ROW()-1,60),ROW()-1,FALSE))</f>
        <v>316.512</v>
      </c>
      <c r="U98">
        <f ca="1">IF(AND(ISNUMBER($U$347),$B$258=1),$U$347,HLOOKUP(INDIRECT(ADDRESS(2,COLUMN())),OFFSET($BN$2,0,0,ROW()-1,60),ROW()-1,FALSE))</f>
        <v>284.245</v>
      </c>
      <c r="V98">
        <f ca="1">IF(AND(ISNUMBER($V$347),$B$258=1),$V$347,HLOOKUP(INDIRECT(ADDRESS(2,COLUMN())),OFFSET($BN$2,0,0,ROW()-1,60),ROW()-1,FALSE))</f>
        <v>288.803</v>
      </c>
      <c r="W98">
        <f ca="1">IF(AND(ISNUMBER($W$347),$B$258=1),$W$347,HLOOKUP(INDIRECT(ADDRESS(2,COLUMN())),OFFSET($BN$2,0,0,ROW()-1,60),ROW()-1,FALSE))</f>
        <v>265.07400000000001</v>
      </c>
      <c r="X98">
        <f ca="1">IF(AND(ISNUMBER($X$347),$B$258=1),$X$347,HLOOKUP(INDIRECT(ADDRESS(2,COLUMN())),OFFSET($BN$2,0,0,ROW()-1,60),ROW()-1,FALSE))</f>
        <v>258.26299999999998</v>
      </c>
      <c r="Y98">
        <f ca="1">IF(AND(ISNUMBER($Y$347),$B$258=1),$Y$347,HLOOKUP(INDIRECT(ADDRESS(2,COLUMN())),OFFSET($BN$2,0,0,ROW()-1,60),ROW()-1,FALSE))</f>
        <v>230.666</v>
      </c>
      <c r="Z98">
        <f ca="1">IF(AND(ISNUMBER($Z$347),$B$258=1),$Z$347,HLOOKUP(INDIRECT(ADDRESS(2,COLUMN())),OFFSET($BN$2,0,0,ROW()-1,60),ROW()-1,FALSE))</f>
        <v>170.87799999999999</v>
      </c>
      <c r="AA98">
        <f ca="1">IF(AND(ISNUMBER($AA$347),$B$258=1),$AA$347,HLOOKUP(INDIRECT(ADDRESS(2,COLUMN())),OFFSET($BN$2,0,0,ROW()-1,60),ROW()-1,FALSE))</f>
        <v>205.047</v>
      </c>
      <c r="AB98">
        <f ca="1">IF(AND(ISNUMBER($AB$347),$B$258=1),$AB$347,HLOOKUP(INDIRECT(ADDRESS(2,COLUMN())),OFFSET($BN$2,0,0,ROW()-1,60),ROW()-1,FALSE))</f>
        <v>170.72499999999999</v>
      </c>
      <c r="AC98">
        <f ca="1">IF(AND(ISNUMBER($AC$347),$B$258=1),$AC$347,HLOOKUP(INDIRECT(ADDRESS(2,COLUMN())),OFFSET($BN$2,0,0,ROW()-1,60),ROW()-1,FALSE))</f>
        <v>157.93100000000001</v>
      </c>
      <c r="AD98">
        <f ca="1">IF(AND(ISNUMBER($AD$347),$B$258=1),$AD$347,HLOOKUP(INDIRECT(ADDRESS(2,COLUMN())),OFFSET($BN$2,0,0,ROW()-1,60),ROW()-1,FALSE))</f>
        <v>163.857</v>
      </c>
      <c r="AE98">
        <f ca="1">IF(AND(ISNUMBER($AE$347),$B$258=1),$AE$347,HLOOKUP(INDIRECT(ADDRESS(2,COLUMN())),OFFSET($BN$2,0,0,ROW()-1,60),ROW()-1,FALSE))</f>
        <v>154.398</v>
      </c>
      <c r="AF98">
        <f ca="1">IF(AND(ISNUMBER($AF$347),$B$258=1),$AF$347,HLOOKUP(INDIRECT(ADDRESS(2,COLUMN())),OFFSET($BN$2,0,0,ROW()-1,60),ROW()-1,FALSE))</f>
        <v>150.376</v>
      </c>
      <c r="AG98">
        <f ca="1">IF(AND(ISNUMBER($AG$347),$B$258=1),$AG$347,HLOOKUP(INDIRECT(ADDRESS(2,COLUMN())),OFFSET($BN$2,0,0,ROW()-1,60),ROW()-1,FALSE))</f>
        <v>149.553</v>
      </c>
      <c r="AH98">
        <f ca="1">IF(AND(ISNUMBER($AH$347),$B$258=1),$AH$347,HLOOKUP(INDIRECT(ADDRESS(2,COLUMN())),OFFSET($BN$2,0,0,ROW()-1,60),ROW()-1,FALSE))</f>
        <v>71.052999999999997</v>
      </c>
      <c r="AI98">
        <f ca="1">IF(AND(ISNUMBER($AI$347),$B$258=1),$AI$347,HLOOKUP(INDIRECT(ADDRESS(2,COLUMN())),OFFSET($BN$2,0,0,ROW()-1,60),ROW()-1,FALSE))</f>
        <v>85.07</v>
      </c>
      <c r="AJ98">
        <f ca="1">IF(AND(ISNUMBER($AJ$347),$B$258=1),$AJ$347,HLOOKUP(INDIRECT(ADDRESS(2,COLUMN())),OFFSET($BN$2,0,0,ROW()-1,60),ROW()-1,FALSE))</f>
        <v>38.707999999999998</v>
      </c>
      <c r="AK98">
        <f ca="1">IF(AND(ISNUMBER($AK$347),$B$258=1),$AK$347,HLOOKUP(INDIRECT(ADDRESS(2,COLUMN())),OFFSET($BN$2,0,0,ROW()-1,60),ROW()-1,FALSE))</f>
        <v>92.213999999999999</v>
      </c>
      <c r="AL98">
        <f ca="1">IF(AND(ISNUMBER($AL$347),$B$258=1),$AL$347,HLOOKUP(INDIRECT(ADDRESS(2,COLUMN())),OFFSET($BN$2,0,0,ROW()-1,60),ROW()-1,FALSE))</f>
        <v>63.087000000000003</v>
      </c>
      <c r="AM98">
        <f ca="1">IF(AND(ISNUMBER($AM$347),$B$258=1),$AM$347,HLOOKUP(INDIRECT(ADDRESS(2,COLUMN())),OFFSET($BN$2,0,0,ROW()-1,60),ROW()-1,FALSE))</f>
        <v>56.29</v>
      </c>
      <c r="AN98">
        <f ca="1">IF(AND(ISNUMBER($AN$347),$B$258=1),$AN$347,HLOOKUP(INDIRECT(ADDRESS(2,COLUMN())),OFFSET($BN$2,0,0,ROW()-1,60),ROW()-1,FALSE))</f>
        <v>60.933</v>
      </c>
      <c r="AO98">
        <f ca="1">IF(AND(ISNUMBER($AO$347),$B$258=1),$AO$347,HLOOKUP(INDIRECT(ADDRESS(2,COLUMN())),OFFSET($BN$2,0,0,ROW()-1,60),ROW()-1,FALSE))</f>
        <v>89.206999999999994</v>
      </c>
      <c r="AP98">
        <f ca="1">IF(AND(ISNUMBER($AP$347),$B$258=1),$AP$347,HLOOKUP(INDIRECT(ADDRESS(2,COLUMN())),OFFSET($BN$2,0,0,ROW()-1,60),ROW()-1,FALSE))</f>
        <v>85.322000000000003</v>
      </c>
      <c r="AQ98">
        <f ca="1">IF(AND(ISNUMBER($AQ$347),$B$258=1),$AQ$347,HLOOKUP(INDIRECT(ADDRESS(2,COLUMN())),OFFSET($BN$2,0,0,ROW()-1,60),ROW()-1,FALSE))</f>
        <v>30.8</v>
      </c>
      <c r="AR98">
        <f ca="1">IF(AND(ISNUMBER($AR$347),$B$258=1),$AR$347,HLOOKUP(INDIRECT(ADDRESS(2,COLUMN())),OFFSET($BN$2,0,0,ROW()-1,60),ROW()-1,FALSE))</f>
        <v>82.572999999999993</v>
      </c>
      <c r="AS98">
        <f ca="1">IF(AND(ISNUMBER($AS$347),$B$258=1),$AS$347,HLOOKUP(INDIRECT(ADDRESS(2,COLUMN())),OFFSET($BN$2,0,0,ROW()-1,60),ROW()-1,FALSE))</f>
        <v>76.784999999999997</v>
      </c>
      <c r="AT98">
        <f ca="1">IF(AND(ISNUMBER($AT$347),$B$258=1),$AT$347,HLOOKUP(INDIRECT(ADDRESS(2,COLUMN())),OFFSET($BN$2,0,0,ROW()-1,60),ROW()-1,FALSE))</f>
        <v>68.709999999999994</v>
      </c>
      <c r="AU98">
        <f ca="1">IF(AND(ISNUMBER($AU$347),$B$258=1),$AU$347,HLOOKUP(INDIRECT(ADDRESS(2,COLUMN())),OFFSET($BN$2,0,0,ROW()-1,60),ROW()-1,FALSE))</f>
        <v>71.099000000000004</v>
      </c>
      <c r="AV98">
        <f ca="1">IF(AND(ISNUMBER($AV$347),$B$258=1),$AV$347,HLOOKUP(INDIRECT(ADDRESS(2,COLUMN())),OFFSET($BN$2,0,0,ROW()-1,60),ROW()-1,FALSE))</f>
        <v>63.83</v>
      </c>
      <c r="AW98">
        <f ca="1">IF(AND(ISNUMBER($AW$347),$B$258=1),$AW$347,HLOOKUP(INDIRECT(ADDRESS(2,COLUMN())),OFFSET($BN$2,0,0,ROW()-1,60),ROW()-1,FALSE))</f>
        <v>59.978999999999999</v>
      </c>
      <c r="AX98">
        <f ca="1">IF(AND(ISNUMBER($AX$347),$B$258=1),$AX$347,HLOOKUP(INDIRECT(ADDRESS(2,COLUMN())),OFFSET($BN$2,0,0,ROW()-1,60),ROW()-1,FALSE))</f>
        <v>56.207000000000001</v>
      </c>
      <c r="AY98">
        <f ca="1">IF(AND(ISNUMBER($AY$347),$B$258=1),$AY$347,HLOOKUP(INDIRECT(ADDRESS(2,COLUMN())),OFFSET($BN$2,0,0,ROW()-1,60),ROW()-1,FALSE))</f>
        <v>44.459000000000003</v>
      </c>
      <c r="AZ98">
        <f ca="1">IF(AND(ISNUMBER($AZ$347),$B$258=1),$AZ$347,HLOOKUP(INDIRECT(ADDRESS(2,COLUMN())),OFFSET($BN$2,0,0,ROW()-1,60),ROW()-1,FALSE))</f>
        <v>45.859000000000002</v>
      </c>
      <c r="BA98">
        <f ca="1">IF(AND(ISNUMBER($BA$347),$B$258=1),$BA$347,HLOOKUP(INDIRECT(ADDRESS(2,COLUMN())),OFFSET($BN$2,0,0,ROW()-1,60),ROW()-1,FALSE))</f>
        <v>45.87</v>
      </c>
      <c r="BB98">
        <f ca="1">IF(AND(ISNUMBER($BB$347),$B$258=1),$BB$347,HLOOKUP(INDIRECT(ADDRESS(2,COLUMN())),OFFSET($BN$2,0,0,ROW()-1,60),ROW()-1,FALSE))</f>
        <v>41.353999999999999</v>
      </c>
      <c r="BC98">
        <f ca="1">IF(AND(ISNUMBER($BC$347),$B$258=1),$BC$347,HLOOKUP(INDIRECT(ADDRESS(2,COLUMN())),OFFSET($BN$2,0,0,ROW()-1,60),ROW()-1,FALSE))</f>
        <v>19.751999999999999</v>
      </c>
      <c r="BD98">
        <f ca="1">IF(AND(ISNUMBER($BD$347),$B$258=1),$BD$347,HLOOKUP(INDIRECT(ADDRESS(2,COLUMN())),OFFSET($BN$2,0,0,ROW()-1,60),ROW()-1,FALSE))</f>
        <v>41.975000000000001</v>
      </c>
      <c r="BE98">
        <f ca="1">IF(AND(ISNUMBER($BE$347),$B$258=1),$BE$347,HLOOKUP(INDIRECT(ADDRESS(2,COLUMN())),OFFSET($BN$2,0,0,ROW()-1,60),ROW()-1,FALSE))</f>
        <v>19.427</v>
      </c>
      <c r="BF98">
        <f ca="1">IF(AND(ISNUMBER($BF$347),$B$258=1),$BF$347,HLOOKUP(INDIRECT(ADDRESS(2,COLUMN())),OFFSET($BN$2,0,0,ROW()-1,60),ROW()-1,FALSE))</f>
        <v>38.308999999999997</v>
      </c>
      <c r="BG98">
        <f ca="1">IF(AND(ISNUMBER($BG$347),$B$258=1),$BG$347,HLOOKUP(INDIRECT(ADDRESS(2,COLUMN())),OFFSET($BN$2,0,0,ROW()-1,60),ROW()-1,FALSE))</f>
        <v>37.299999999999997</v>
      </c>
      <c r="BH98" t="str">
        <f ca="1">IF(AND(ISNUMBER($BH$347),$B$258=1),$BH$347,HLOOKUP(INDIRECT(ADDRESS(2,COLUMN())),OFFSET($BN$2,0,0,ROW()-1,60),ROW()-1,FALSE))</f>
        <v/>
      </c>
      <c r="BI98" t="str">
        <f ca="1">IF(AND(ISNUMBER($BI$347),$B$258=1),$BI$347,HLOOKUP(INDIRECT(ADDRESS(2,COLUMN())),OFFSET($BN$2,0,0,ROW()-1,60),ROW()-1,FALSE))</f>
        <v/>
      </c>
      <c r="BJ98" t="str">
        <f ca="1">IF(AND(ISNUMBER($BJ$347),$B$258=1),$BJ$347,HLOOKUP(INDIRECT(ADDRESS(2,COLUMN())),OFFSET($BN$2,0,0,ROW()-1,60),ROW()-1,FALSE))</f>
        <v/>
      </c>
      <c r="BK98">
        <f ca="1">IF(AND(ISNUMBER($BK$347),$B$258=1),$BK$347,HLOOKUP(INDIRECT(ADDRESS(2,COLUMN())),OFFSET($BN$2,0,0,ROW()-1,60),ROW()-1,FALSE))</f>
        <v>35.998001000000002</v>
      </c>
      <c r="BL98" t="str">
        <f ca="1">IF(AND(ISNUMBER($BL$347),$B$258=1),$BL$347,HLOOKUP(INDIRECT(ADDRESS(2,COLUMN())),OFFSET($BN$2,0,0,ROW()-1,60),ROW()-1,FALSE))</f>
        <v/>
      </c>
      <c r="BM98" t="str">
        <f ca="1">IF(AND(ISNUMBER($BM$347),$B$258=1),$BM$347,HLOOKUP(INDIRECT(ADDRESS(2,COLUMN())),OFFSET($BN$2,0,0,ROW()-1,60),ROW()-1,FALSE))</f>
        <v/>
      </c>
      <c r="BN98" t="str">
        <f>""</f>
        <v/>
      </c>
      <c r="BO98">
        <f>179.224</f>
        <v>179.22399999999999</v>
      </c>
      <c r="BP98">
        <f>295.722</f>
        <v>295.72199999999998</v>
      </c>
      <c r="BQ98">
        <f>384.39</f>
        <v>384.39</v>
      </c>
      <c r="BR98">
        <f>306.231</f>
        <v>306.23099999999999</v>
      </c>
      <c r="BS98">
        <f>372.829</f>
        <v>372.82900000000001</v>
      </c>
      <c r="BT98">
        <f>401.87</f>
        <v>401.87</v>
      </c>
      <c r="BU98">
        <f>416.974</f>
        <v>416.97399999999999</v>
      </c>
      <c r="BV98">
        <f>391.264</f>
        <v>391.26400000000001</v>
      </c>
      <c r="BW98">
        <f>332.509</f>
        <v>332.50900000000001</v>
      </c>
      <c r="BX98">
        <f>392.295</f>
        <v>392.29500000000002</v>
      </c>
      <c r="BY98">
        <f>340.588</f>
        <v>340.58800000000002</v>
      </c>
      <c r="BZ98">
        <f>344.25</f>
        <v>344.25</v>
      </c>
      <c r="CA98">
        <f>284.516</f>
        <v>284.51600000000002</v>
      </c>
      <c r="CB98">
        <f>316.512</f>
        <v>316.512</v>
      </c>
      <c r="CC98">
        <f>284.245</f>
        <v>284.245</v>
      </c>
      <c r="CD98">
        <f>288.803</f>
        <v>288.803</v>
      </c>
      <c r="CE98">
        <f>265.074</f>
        <v>265.07400000000001</v>
      </c>
      <c r="CF98">
        <f>258.263</f>
        <v>258.26299999999998</v>
      </c>
      <c r="CG98">
        <f>230.666</f>
        <v>230.666</v>
      </c>
      <c r="CH98">
        <f>170.878</f>
        <v>170.87799999999999</v>
      </c>
      <c r="CI98">
        <f>205.047</f>
        <v>205.047</v>
      </c>
      <c r="CJ98">
        <f>170.725</f>
        <v>170.72499999999999</v>
      </c>
      <c r="CK98">
        <f>157.931</f>
        <v>157.93100000000001</v>
      </c>
      <c r="CL98">
        <f>163.857</f>
        <v>163.857</v>
      </c>
      <c r="CM98">
        <f>154.398</f>
        <v>154.398</v>
      </c>
      <c r="CN98">
        <f>150.376</f>
        <v>150.376</v>
      </c>
      <c r="CO98">
        <f>149.553</f>
        <v>149.553</v>
      </c>
      <c r="CP98">
        <f>71.053</f>
        <v>71.052999999999997</v>
      </c>
      <c r="CQ98">
        <f>85.07</f>
        <v>85.07</v>
      </c>
      <c r="CR98">
        <f>38.708</f>
        <v>38.707999999999998</v>
      </c>
      <c r="CS98">
        <f>92.214</f>
        <v>92.213999999999999</v>
      </c>
      <c r="CT98">
        <f>63.087</f>
        <v>63.087000000000003</v>
      </c>
      <c r="CU98">
        <f>56.29</f>
        <v>56.29</v>
      </c>
      <c r="CV98">
        <f>60.933</f>
        <v>60.933</v>
      </c>
      <c r="CW98">
        <f>89.207</f>
        <v>89.206999999999994</v>
      </c>
      <c r="CX98">
        <f>85.322</f>
        <v>85.322000000000003</v>
      </c>
      <c r="CY98">
        <f>30.8</f>
        <v>30.8</v>
      </c>
      <c r="CZ98">
        <f>82.573</f>
        <v>82.572999999999993</v>
      </c>
      <c r="DA98">
        <f>76.785</f>
        <v>76.784999999999997</v>
      </c>
      <c r="DB98">
        <f>68.71</f>
        <v>68.709999999999994</v>
      </c>
      <c r="DC98">
        <f>71.099</f>
        <v>71.099000000000004</v>
      </c>
      <c r="DD98">
        <f>63.83</f>
        <v>63.83</v>
      </c>
      <c r="DE98">
        <f>59.979</f>
        <v>59.978999999999999</v>
      </c>
      <c r="DF98">
        <f>56.207</f>
        <v>56.207000000000001</v>
      </c>
      <c r="DG98">
        <f>44.459</f>
        <v>44.459000000000003</v>
      </c>
      <c r="DH98">
        <f>45.859</f>
        <v>45.859000000000002</v>
      </c>
      <c r="DI98">
        <f>45.87</f>
        <v>45.87</v>
      </c>
      <c r="DJ98">
        <f>41.354</f>
        <v>41.353999999999999</v>
      </c>
      <c r="DK98">
        <f>19.752</f>
        <v>19.751999999999999</v>
      </c>
      <c r="DL98">
        <f>41.975</f>
        <v>41.975000000000001</v>
      </c>
      <c r="DM98">
        <f>19.427</f>
        <v>19.427</v>
      </c>
      <c r="DN98">
        <f>38.309</f>
        <v>38.308999999999997</v>
      </c>
      <c r="DO98">
        <f>37.3</f>
        <v>37.299999999999997</v>
      </c>
      <c r="DP98" t="str">
        <f>""</f>
        <v/>
      </c>
      <c r="DQ98" t="str">
        <f>""</f>
        <v/>
      </c>
      <c r="DR98" t="str">
        <f>""</f>
        <v/>
      </c>
      <c r="DS98">
        <f>35.998001</f>
        <v>35.998001000000002</v>
      </c>
      <c r="DT98" t="str">
        <f>""</f>
        <v/>
      </c>
      <c r="DU98" t="str">
        <f>""</f>
        <v/>
      </c>
    </row>
    <row r="99" spans="1:125">
      <c r="A99" t="str">
        <f>"可分配资金"</f>
        <v>可分配资金</v>
      </c>
      <c r="B99" t="str">
        <f>""</f>
        <v/>
      </c>
      <c r="E99" t="str">
        <f>"Median"</f>
        <v>Median</v>
      </c>
      <c r="F99" t="str">
        <f ca="1">IF(ISERROR(IF(MEDIAN($F$100:$F$110) = 0, "", MEDIAN($F$100:$F$110))), "", (IF(MEDIAN($F$100:$F$110) = 0, "", MEDIAN($F$100:$F$110))))</f>
        <v/>
      </c>
      <c r="G99">
        <f ca="1">IF(ISERROR(IF(MEDIAN($G$100:$G$110) = 0, "", MEDIAN($G$100:$G$110))), "", (IF(MEDIAN($G$100:$G$110) = 0, "", MEDIAN($G$100:$G$110))))</f>
        <v>109.81100000000001</v>
      </c>
      <c r="H99">
        <f ca="1">IF(ISERROR(IF(MEDIAN($H$100:$H$110) = 0, "", MEDIAN($H$100:$H$110))), "", (IF(MEDIAN($H$100:$H$110) = 0, "", MEDIAN($H$100:$H$110))))</f>
        <v>130.0325</v>
      </c>
      <c r="I99">
        <f ca="1">IF(ISERROR(IF(MEDIAN($I$100:$I$110) = 0, "", MEDIAN($I$100:$I$110))), "", (IF(MEDIAN($I$100:$I$110) = 0, "", MEDIAN($I$100:$I$110))))</f>
        <v>110.001</v>
      </c>
      <c r="J99">
        <f ca="1">IF(ISERROR(IF(MEDIAN($J$100:$J$110) = 0, "", MEDIAN($J$100:$J$110))), "", (IF(MEDIAN($J$100:$J$110) = 0, "", MEDIAN($J$100:$J$110))))</f>
        <v>93.028000000000006</v>
      </c>
      <c r="K99">
        <f ca="1">IF(ISERROR(IF(MEDIAN($K$100:$K$110) = 0, "", MEDIAN($K$100:$K$110))), "", (IF(MEDIAN($K$100:$K$110) = 0, "", MEDIAN($K$100:$K$110))))</f>
        <v>94.024000000000001</v>
      </c>
      <c r="L99">
        <f ca="1">IF(ISERROR(IF(MEDIAN($L$100:$L$110) = 0, "", MEDIAN($L$100:$L$110))), "", (IF(MEDIAN($L$100:$L$110) = 0, "", MEDIAN($L$100:$L$110))))</f>
        <v>89.486000000000004</v>
      </c>
      <c r="M99">
        <f ca="1">IF(ISERROR(IF(MEDIAN($M$100:$M$110) = 0, "", MEDIAN($M$100:$M$110))), "", (IF(MEDIAN($M$100:$M$110) = 0, "", MEDIAN($M$100:$M$110))))</f>
        <v>95.486000000000004</v>
      </c>
      <c r="N99">
        <f ca="1">IF(ISERROR(IF(MEDIAN($N$100:$N$110) = 0, "", MEDIAN($N$100:$N$110))), "", (IF(MEDIAN($N$100:$N$110) = 0, "", MEDIAN($N$100:$N$110))))</f>
        <v>91.771000000000001</v>
      </c>
      <c r="O99">
        <f ca="1">IF(ISERROR(IF(MEDIAN($O$100:$O$110) = 0, "", MEDIAN($O$100:$O$110))), "", (IF(MEDIAN($O$100:$O$110) = 0, "", MEDIAN($O$100:$O$110))))</f>
        <v>83.301000000000002</v>
      </c>
      <c r="P99">
        <f ca="1">IF(ISERROR(IF(MEDIAN($P$100:$P$110) = 0, "", MEDIAN($P$100:$P$110))), "", (IF(MEDIAN($P$100:$P$110) = 0, "", MEDIAN($P$100:$P$110))))</f>
        <v>78.653999999999996</v>
      </c>
      <c r="Q99">
        <f ca="1">IF(ISERROR(IF(MEDIAN($Q$100:$Q$110) = 0, "", MEDIAN($Q$100:$Q$110))), "", (IF(MEDIAN($Q$100:$Q$110) = 0, "", MEDIAN($Q$100:$Q$110))))</f>
        <v>76.819999999999993</v>
      </c>
      <c r="R99">
        <f ca="1">IF(ISERROR(IF(MEDIAN($R$100:$R$110) = 0, "", MEDIAN($R$100:$R$110))), "", (IF(MEDIAN($R$100:$R$110) = 0, "", MEDIAN($R$100:$R$110))))</f>
        <v>80.413999999999987</v>
      </c>
      <c r="S99">
        <f ca="1">IF(ISERROR(IF(MEDIAN($S$100:$S$110) = 0, "", MEDIAN($S$100:$S$110))), "", (IF(MEDIAN($S$100:$S$110) = 0, "", MEDIAN($S$100:$S$110))))</f>
        <v>78.998500000000007</v>
      </c>
      <c r="T99">
        <f ca="1">IF(ISERROR(IF(MEDIAN($T$100:$T$110) = 0, "", MEDIAN($T$100:$T$110))), "", (IF(MEDIAN($T$100:$T$110) = 0, "", MEDIAN($T$100:$T$110))))</f>
        <v>86.374500000000012</v>
      </c>
      <c r="U99">
        <f ca="1">IF(ISERROR(IF(MEDIAN($U$100:$U$110) = 0, "", MEDIAN($U$100:$U$110))), "", (IF(MEDIAN($U$100:$U$110) = 0, "", MEDIAN($U$100:$U$110))))</f>
        <v>73.436000000000007</v>
      </c>
      <c r="V99">
        <f ca="1">IF(ISERROR(IF(MEDIAN($V$100:$V$110) = 0, "", MEDIAN($V$100:$V$110))), "", (IF(MEDIAN($V$100:$V$110) = 0, "", MEDIAN($V$100:$V$110))))</f>
        <v>76.47</v>
      </c>
      <c r="W99">
        <f ca="1">IF(ISERROR(IF(MEDIAN($W$100:$W$110) = 0, "", MEDIAN($W$100:$W$110))), "", (IF(MEDIAN($W$100:$W$110) = 0, "", MEDIAN($W$100:$W$110))))</f>
        <v>72.576999999999998</v>
      </c>
      <c r="X99">
        <f ca="1">IF(ISERROR(IF(MEDIAN($X$100:$X$110) = 0, "", MEDIAN($X$100:$X$110))), "", (IF(MEDIAN($X$100:$X$110) = 0, "", MEDIAN($X$100:$X$110))))</f>
        <v>74.88900000000001</v>
      </c>
      <c r="Y99">
        <f ca="1">IF(ISERROR(IF(MEDIAN($Y$100:$Y$110) = 0, "", MEDIAN($Y$100:$Y$110))), "", (IF(MEDIAN($Y$100:$Y$110) = 0, "", MEDIAN($Y$100:$Y$110))))</f>
        <v>65.977000000000004</v>
      </c>
      <c r="Z99">
        <f ca="1">IF(ISERROR(IF(MEDIAN($Z$100:$Z$110) = 0, "", MEDIAN($Z$100:$Z$110))), "", (IF(MEDIAN($Z$100:$Z$110) = 0, "", MEDIAN($Z$100:$Z$110))))</f>
        <v>66.81</v>
      </c>
      <c r="AA99">
        <f ca="1">IF(ISERROR(IF(MEDIAN($AA$100:$AA$110) = 0, "", MEDIAN($AA$100:$AA$110))), "", (IF(MEDIAN($AA$100:$AA$110) = 0, "", MEDIAN($AA$100:$AA$110))))</f>
        <v>62.756</v>
      </c>
      <c r="AB99">
        <f ca="1">IF(ISERROR(IF(MEDIAN($AB$100:$AB$110) = 0, "", MEDIAN($AB$100:$AB$110))), "", (IF(MEDIAN($AB$100:$AB$110) = 0, "", MEDIAN($AB$100:$AB$110))))</f>
        <v>52.826000000000001</v>
      </c>
      <c r="AC99">
        <f ca="1">IF(ISERROR(IF(MEDIAN($AC$100:$AC$110) = 0, "", MEDIAN($AC$100:$AC$110))), "", (IF(MEDIAN($AC$100:$AC$110) = 0, "", MEDIAN($AC$100:$AC$110))))</f>
        <v>56.530500000000004</v>
      </c>
      <c r="AD99">
        <f ca="1">IF(ISERROR(IF(MEDIAN($AD$100:$AD$110) = 0, "", MEDIAN($AD$100:$AD$110))), "", (IF(MEDIAN($AD$100:$AD$110) = 0, "", MEDIAN($AD$100:$AD$110))))</f>
        <v>56.400500000000001</v>
      </c>
      <c r="AE99">
        <f ca="1">IF(ISERROR(IF(MEDIAN($AE$100:$AE$110) = 0, "", MEDIAN($AE$100:$AE$110))), "", (IF(MEDIAN($AE$100:$AE$110) = 0, "", MEDIAN($AE$100:$AE$110))))</f>
        <v>51.785499999999999</v>
      </c>
      <c r="AF99">
        <f ca="1">IF(ISERROR(IF(MEDIAN($AF$100:$AF$110) = 0, "", MEDIAN($AF$100:$AF$110))), "", (IF(MEDIAN($AF$100:$AF$110) = 0, "", MEDIAN($AF$100:$AF$110))))</f>
        <v>53.930999999999997</v>
      </c>
      <c r="AG99">
        <f ca="1">IF(ISERROR(IF(MEDIAN($AG$100:$AG$110) = 0, "", MEDIAN($AG$100:$AG$110))), "", (IF(MEDIAN($AG$100:$AG$110) = 0, "", MEDIAN($AG$100:$AG$110))))</f>
        <v>51.055</v>
      </c>
      <c r="AH99">
        <f ca="1">IF(ISERROR(IF(MEDIAN($AH$100:$AH$110) = 0, "", MEDIAN($AH$100:$AH$110))), "", (IF(MEDIAN($AH$100:$AH$110) = 0, "", MEDIAN($AH$100:$AH$110))))</f>
        <v>49.8825</v>
      </c>
      <c r="AI99">
        <f ca="1">IF(ISERROR(IF(MEDIAN($AI$100:$AI$110) = 0, "", MEDIAN($AI$100:$AI$110))), "", (IF(MEDIAN($AI$100:$AI$110) = 0, "", MEDIAN($AI$100:$AI$110))))</f>
        <v>50.671999999999997</v>
      </c>
      <c r="AJ99">
        <f ca="1">IF(ISERROR(IF(MEDIAN($AJ$100:$AJ$110) = 0, "", MEDIAN($AJ$100:$AJ$110))), "", (IF(MEDIAN($AJ$100:$AJ$110) = 0, "", MEDIAN($AJ$100:$AJ$110))))</f>
        <v>52.945999999999998</v>
      </c>
      <c r="AK99">
        <f ca="1">IF(ISERROR(IF(MEDIAN($AK$100:$AK$110) = 0, "", MEDIAN($AK$100:$AK$110))), "", (IF(MEDIAN($AK$100:$AK$110) = 0, "", MEDIAN($AK$100:$AK$110))))</f>
        <v>51.161999999999999</v>
      </c>
      <c r="AL99">
        <f ca="1">IF(ISERROR(IF(MEDIAN($AL$100:$AL$110) = 0, "", MEDIAN($AL$100:$AL$110))), "", (IF(MEDIAN($AL$100:$AL$110) = 0, "", MEDIAN($AL$100:$AL$110))))</f>
        <v>53.92</v>
      </c>
      <c r="AM99">
        <f ca="1">IF(ISERROR(IF(MEDIAN($AM$100:$AM$110) = 0, "", MEDIAN($AM$100:$AM$110))), "", (IF(MEDIAN($AM$100:$AM$110) = 0, "", MEDIAN($AM$100:$AM$110))))</f>
        <v>52.798000000000002</v>
      </c>
      <c r="AN99">
        <f ca="1">IF(ISERROR(IF(MEDIAN($AN$100:$AN$110) = 0, "", MEDIAN($AN$100:$AN$110))), "", (IF(MEDIAN($AN$100:$AN$110) = 0, "", MEDIAN($AN$100:$AN$110))))</f>
        <v>53.051000000000002</v>
      </c>
      <c r="AO99">
        <f ca="1">IF(ISERROR(IF(MEDIAN($AO$100:$AO$110) = 0, "", MEDIAN($AO$100:$AO$110))), "", (IF(MEDIAN($AO$100:$AO$110) = 0, "", MEDIAN($AO$100:$AO$110))))</f>
        <v>57.683</v>
      </c>
      <c r="AP99">
        <f ca="1">IF(ISERROR(IF(MEDIAN($AP$100:$AP$110) = 0, "", MEDIAN($AP$100:$AP$110))), "", (IF(MEDIAN($AP$100:$AP$110) = 0, "", MEDIAN($AP$100:$AP$110))))</f>
        <v>57.727499999999999</v>
      </c>
      <c r="AQ99">
        <f ca="1">IF(ISERROR(IF(MEDIAN($AQ$100:$AQ$110) = 0, "", MEDIAN($AQ$100:$AQ$110))), "", (IF(MEDIAN($AQ$100:$AQ$110) = 0, "", MEDIAN($AQ$100:$AQ$110))))</f>
        <v>54.355000000000004</v>
      </c>
      <c r="AR99">
        <f ca="1">IF(ISERROR(IF(MEDIAN($AR$100:$AR$110) = 0, "", MEDIAN($AR$100:$AR$110))), "", (IF(MEDIAN($AR$100:$AR$110) = 0, "", MEDIAN($AR$100:$AR$110))))</f>
        <v>45.328500000000005</v>
      </c>
      <c r="AS99">
        <f ca="1">IF(ISERROR(IF(MEDIAN($AS$100:$AS$110) = 0, "", MEDIAN($AS$100:$AS$110))), "", (IF(MEDIAN($AS$100:$AS$110) = 0, "", MEDIAN($AS$100:$AS$110))))</f>
        <v>45.673000000000002</v>
      </c>
      <c r="AT99">
        <f ca="1">IF(ISERROR(IF(MEDIAN($AT$100:$AT$110) = 0, "", MEDIAN($AT$100:$AT$110))), "", (IF(MEDIAN($AT$100:$AT$110) = 0, "", MEDIAN($AT$100:$AT$110))))</f>
        <v>40.335999999999999</v>
      </c>
      <c r="AU99">
        <f ca="1">IF(ISERROR(IF(MEDIAN($AU$100:$AU$110) = 0, "", MEDIAN($AU$100:$AU$110))), "", (IF(MEDIAN($AU$100:$AU$110) = 0, "", MEDIAN($AU$100:$AU$110))))</f>
        <v>41.096499999999999</v>
      </c>
      <c r="AV99">
        <f ca="1">IF(ISERROR(IF(MEDIAN($AV$100:$AV$110) = 0, "", MEDIAN($AV$100:$AV$110))), "", (IF(MEDIAN($AV$100:$AV$110) = 0, "", MEDIAN($AV$100:$AV$110))))</f>
        <v>36.518999999999998</v>
      </c>
      <c r="AW99">
        <f ca="1">IF(ISERROR(IF(MEDIAN($AW$100:$AW$110) = 0, "", MEDIAN($AW$100:$AW$110))), "", (IF(MEDIAN($AW$100:$AW$110) = 0, "", MEDIAN($AW$100:$AW$110))))</f>
        <v>36.794499999999999</v>
      </c>
      <c r="AX99">
        <f ca="1">IF(ISERROR(IF(MEDIAN($AX$100:$AX$110) = 0, "", MEDIAN($AX$100:$AX$110))), "", (IF(MEDIAN($AX$100:$AX$110) = 0, "", MEDIAN($AX$100:$AX$110))))</f>
        <v>34.469499999999996</v>
      </c>
      <c r="AY99">
        <f ca="1">IF(ISERROR(IF(MEDIAN($AY$100:$AY$110) = 0, "", MEDIAN($AY$100:$AY$110))), "", (IF(MEDIAN($AY$100:$AY$110) = 0, "", MEDIAN($AY$100:$AY$110))))</f>
        <v>37.197500000000005</v>
      </c>
      <c r="AZ99">
        <f ca="1">IF(ISERROR(IF(MEDIAN($AZ$100:$AZ$110) = 0, "", MEDIAN($AZ$100:$AZ$110))), "", (IF(MEDIAN($AZ$100:$AZ$110) = 0, "", MEDIAN($AZ$100:$AZ$110))))</f>
        <v>31.616999999999997</v>
      </c>
      <c r="BA99">
        <f ca="1">IF(ISERROR(IF(MEDIAN($BA$100:$BA$110) = 0, "", MEDIAN($BA$100:$BA$110))), "", (IF(MEDIAN($BA$100:$BA$110) = 0, "", MEDIAN($BA$100:$BA$110))))</f>
        <v>28.725000000000001</v>
      </c>
      <c r="BB99">
        <f ca="1">IF(ISERROR(IF(MEDIAN($BB$100:$BB$110) = 0, "", MEDIAN($BB$100:$BB$110))), "", (IF(MEDIAN($BB$100:$BB$110) = 0, "", MEDIAN($BB$100:$BB$110))))</f>
        <v>27.029499999999999</v>
      </c>
      <c r="BC99">
        <f ca="1">IF(ISERROR(IF(MEDIAN($BC$100:$BC$110) = 0, "", MEDIAN($BC$100:$BC$110))), "", (IF(MEDIAN($BC$100:$BC$110) = 0, "", MEDIAN($BC$100:$BC$110))))</f>
        <v>26.513500000000001</v>
      </c>
      <c r="BD99">
        <f ca="1">IF(ISERROR(IF(MEDIAN($BD$100:$BD$110) = 0, "", MEDIAN($BD$100:$BD$110))), "", (IF(MEDIAN($BD$100:$BD$110) = 0, "", MEDIAN($BD$100:$BD$110))))</f>
        <v>31.210000305000001</v>
      </c>
      <c r="BE99">
        <f ca="1">IF(ISERROR(IF(MEDIAN($BE$100:$BE$110) = 0, "", MEDIAN($BE$100:$BE$110))), "", (IF(MEDIAN($BE$100:$BE$110) = 0, "", MEDIAN($BE$100:$BE$110))))</f>
        <v>22.339500000000001</v>
      </c>
      <c r="BF99">
        <f ca="1">IF(ISERROR(IF(MEDIAN($BF$100:$BF$110) = 0, "", MEDIAN($BF$100:$BF$110))), "", (IF(MEDIAN($BF$100:$BF$110) = 0, "", MEDIAN($BF$100:$BF$110))))</f>
        <v>27.4175003</v>
      </c>
      <c r="BG99">
        <f ca="1">IF(ISERROR(IF(MEDIAN($BG$100:$BG$110) = 0, "", MEDIAN($BG$100:$BG$110))), "", (IF(MEDIAN($BG$100:$BG$110) = 0, "", MEDIAN($BG$100:$BG$110))))</f>
        <v>24.39</v>
      </c>
      <c r="BH99">
        <f ca="1">IF(ISERROR(IF(MEDIAN($BH$100:$BH$110) = 0, "", MEDIAN($BH$100:$BH$110))), "", (IF(MEDIAN($BH$100:$BH$110) = 0, "", MEDIAN($BH$100:$BH$110))))</f>
        <v>22.690500135000001</v>
      </c>
      <c r="BI99">
        <f ca="1">IF(ISERROR(IF(MEDIAN($BI$100:$BI$110) = 0, "", MEDIAN($BI$100:$BI$110))), "", (IF(MEDIAN($BI$100:$BI$110) = 0, "", MEDIAN($BI$100:$BI$110))))</f>
        <v>23.302999499999999</v>
      </c>
      <c r="BJ99">
        <f ca="1">IF(ISERROR(IF(MEDIAN($BJ$100:$BJ$110) = 0, "", MEDIAN($BJ$100:$BJ$110))), "", (IF(MEDIAN($BJ$100:$BJ$110) = 0, "", MEDIAN($BJ$100:$BJ$110))))</f>
        <v>24.87450012</v>
      </c>
      <c r="BK99">
        <f ca="1">IF(ISERROR(IF(MEDIAN($BK$100:$BK$110) = 0, "", MEDIAN($BK$100:$BK$110))), "", (IF(MEDIAN($BK$100:$BK$110) = 0, "", MEDIAN($BK$100:$BK$110))))</f>
        <v>21.03</v>
      </c>
      <c r="BL99">
        <f ca="1">IF(ISERROR(IF(MEDIAN($BL$100:$BL$110) = 0, "", MEDIAN($BL$100:$BL$110))), "", (IF(MEDIAN($BL$100:$BL$110) = 0, "", MEDIAN($BL$100:$BL$110))))</f>
        <v>34.264500614999996</v>
      </c>
      <c r="BM99">
        <f ca="1">IF(ISERROR(IF(MEDIAN($BM$100:$BM$110) = 0, "", MEDIAN($BM$100:$BM$110))), "", (IF(MEDIAN($BM$100:$BM$110) = 0, "", MEDIAN($BM$100:$BM$110))))</f>
        <v>28.18300056</v>
      </c>
      <c r="BN99" t="str">
        <f>""</f>
        <v/>
      </c>
      <c r="BO99">
        <f>109.811</f>
        <v>109.81100000000001</v>
      </c>
      <c r="BP99">
        <f>130.0325</f>
        <v>130.0325</v>
      </c>
      <c r="BQ99">
        <f>110.001</f>
        <v>110.001</v>
      </c>
      <c r="BR99">
        <f>93.028</f>
        <v>93.028000000000006</v>
      </c>
      <c r="BS99">
        <f>94.024</f>
        <v>94.024000000000001</v>
      </c>
      <c r="BT99">
        <f>89.486</f>
        <v>89.486000000000004</v>
      </c>
      <c r="BU99">
        <f>95.486</f>
        <v>95.486000000000004</v>
      </c>
      <c r="BV99">
        <f>91.771</f>
        <v>91.771000000000001</v>
      </c>
      <c r="BW99">
        <f>83.301</f>
        <v>83.301000000000002</v>
      </c>
      <c r="BX99">
        <f>78.654</f>
        <v>78.653999999999996</v>
      </c>
      <c r="BY99">
        <f>76.82</f>
        <v>76.819999999999993</v>
      </c>
      <c r="BZ99">
        <f>80.414</f>
        <v>80.414000000000001</v>
      </c>
      <c r="CA99">
        <f>78.9985</f>
        <v>78.998500000000007</v>
      </c>
      <c r="CB99">
        <f>86.3745</f>
        <v>86.374499999999998</v>
      </c>
      <c r="CC99">
        <f>73.436</f>
        <v>73.436000000000007</v>
      </c>
      <c r="CD99">
        <f>76.47</f>
        <v>76.47</v>
      </c>
      <c r="CE99">
        <f>72.577</f>
        <v>72.576999999999998</v>
      </c>
      <c r="CF99">
        <f>74.889</f>
        <v>74.888999999999996</v>
      </c>
      <c r="CG99">
        <f>65.977</f>
        <v>65.977000000000004</v>
      </c>
      <c r="CH99">
        <f>66.81</f>
        <v>66.81</v>
      </c>
      <c r="CI99">
        <f>62.756</f>
        <v>62.756</v>
      </c>
      <c r="CJ99">
        <f>52.826</f>
        <v>52.826000000000001</v>
      </c>
      <c r="CK99">
        <f>56.5305</f>
        <v>56.530500000000004</v>
      </c>
      <c r="CL99">
        <f>56.4005</f>
        <v>56.400500000000001</v>
      </c>
      <c r="CM99">
        <f>51.7855</f>
        <v>51.785499999999999</v>
      </c>
      <c r="CN99">
        <f>53.931</f>
        <v>53.930999999999997</v>
      </c>
      <c r="CO99">
        <f>51.055</f>
        <v>51.055</v>
      </c>
      <c r="CP99">
        <f>49.8825</f>
        <v>49.8825</v>
      </c>
      <c r="CQ99">
        <f>50.672</f>
        <v>50.671999999999997</v>
      </c>
      <c r="CR99">
        <f>52.946</f>
        <v>52.945999999999998</v>
      </c>
      <c r="CS99">
        <f>51.162</f>
        <v>51.161999999999999</v>
      </c>
      <c r="CT99">
        <f>53.92</f>
        <v>53.92</v>
      </c>
      <c r="CU99">
        <f>52.798</f>
        <v>52.798000000000002</v>
      </c>
      <c r="CV99">
        <f>53.051</f>
        <v>53.051000000000002</v>
      </c>
      <c r="CW99">
        <f>57.683</f>
        <v>57.683</v>
      </c>
      <c r="CX99">
        <f>57.7275</f>
        <v>57.727499999999999</v>
      </c>
      <c r="CY99">
        <f>54.355</f>
        <v>54.354999999999997</v>
      </c>
      <c r="CZ99">
        <f>45.3285</f>
        <v>45.328499999999998</v>
      </c>
      <c r="DA99">
        <f>45.673</f>
        <v>45.673000000000002</v>
      </c>
      <c r="DB99">
        <f>40.336</f>
        <v>40.335999999999999</v>
      </c>
      <c r="DC99">
        <f>41.0965</f>
        <v>41.096499999999999</v>
      </c>
      <c r="DD99">
        <f>36.519</f>
        <v>36.518999999999998</v>
      </c>
      <c r="DE99">
        <f>36.7945</f>
        <v>36.794499999999999</v>
      </c>
      <c r="DF99">
        <f>34.4695</f>
        <v>34.469499999999996</v>
      </c>
      <c r="DG99">
        <f>37.1975</f>
        <v>37.197499999999998</v>
      </c>
      <c r="DH99">
        <f>31.617</f>
        <v>31.617000000000001</v>
      </c>
      <c r="DI99">
        <f>28.725</f>
        <v>28.725000000000001</v>
      </c>
      <c r="DJ99">
        <f>27.0295</f>
        <v>27.029499999999999</v>
      </c>
      <c r="DK99">
        <f>26.5135</f>
        <v>26.513500000000001</v>
      </c>
      <c r="DL99">
        <f>31.21000031</f>
        <v>31.210000310000002</v>
      </c>
      <c r="DM99">
        <f>22.3395</f>
        <v>22.339500000000001</v>
      </c>
      <c r="DN99">
        <f>27.4175003</f>
        <v>27.4175003</v>
      </c>
      <c r="DO99">
        <f>24.39</f>
        <v>24.39</v>
      </c>
      <c r="DP99">
        <f>22.69050014</f>
        <v>22.690500140000001</v>
      </c>
      <c r="DQ99">
        <f>23.3029995</f>
        <v>23.302999499999999</v>
      </c>
      <c r="DR99">
        <f>24.87450012</f>
        <v>24.87450012</v>
      </c>
      <c r="DS99">
        <f>21.03</f>
        <v>21.03</v>
      </c>
      <c r="DT99">
        <f>34.26450062</f>
        <v>34.26450062</v>
      </c>
      <c r="DU99">
        <f>28.18300056</f>
        <v>28.18300056</v>
      </c>
    </row>
    <row r="100" spans="1:125">
      <c r="A100" t="str">
        <f>"    Alexandria Real Estate Equitie"</f>
        <v xml:space="preserve">    Alexandria Real Estate Equitie</v>
      </c>
      <c r="B100" t="str">
        <f>"ARE US Equity"</f>
        <v>ARE US Equity</v>
      </c>
      <c r="C100" t="str">
        <f t="shared" ref="C100:C110" si="24">"F0578"</f>
        <v>F0578</v>
      </c>
      <c r="D100" t="str">
        <f t="shared" ref="D100:D110" si="25">"FUNDS_AVAILABLE_FOR_DISTRIBUTION"</f>
        <v>FUNDS_AVAILABLE_FOR_DISTRIBUTION</v>
      </c>
      <c r="E100" t="str">
        <f t="shared" ref="E100:E110" si="26">"动态"</f>
        <v>动态</v>
      </c>
      <c r="F100" t="str">
        <f ca="1">IF(AND(ISNUMBER($F$348),$B$258=1),$F$348,HLOOKUP(INDIRECT(ADDRESS(2,COLUMN())),OFFSET($BN$2,0,0,ROW()-1,60),ROW()-1,FALSE))</f>
        <v/>
      </c>
      <c r="G100">
        <f ca="1">IF(AND(ISNUMBER($G$348),$B$258=1),$G$348,HLOOKUP(INDIRECT(ADDRESS(2,COLUMN())),OFFSET($BN$2,0,0,ROW()-1,60),ROW()-1,FALSE))</f>
        <v>106.581</v>
      </c>
      <c r="H100">
        <f ca="1">IF(AND(ISNUMBER($H$348),$B$258=1),$H$348,HLOOKUP(INDIRECT(ADDRESS(2,COLUMN())),OFFSET($BN$2,0,0,ROW()-1,60),ROW()-1,FALSE))</f>
        <v>143.56700000000001</v>
      </c>
      <c r="I100">
        <f ca="1">IF(AND(ISNUMBER($I$348),$B$258=1),$I$348,HLOOKUP(INDIRECT(ADDRESS(2,COLUMN())),OFFSET($BN$2,0,0,ROW()-1,60),ROW()-1,FALSE))</f>
        <v>110.001</v>
      </c>
      <c r="J100">
        <f ca="1">IF(AND(ISNUMBER($J$348),$B$258=1),$J$348,HLOOKUP(INDIRECT(ADDRESS(2,COLUMN())),OFFSET($BN$2,0,0,ROW()-1,60),ROW()-1,FALSE))</f>
        <v>79.501999999999995</v>
      </c>
      <c r="K100">
        <f ca="1">IF(AND(ISNUMBER($K$348),$B$258=1),$K$348,HLOOKUP(INDIRECT(ADDRESS(2,COLUMN())),OFFSET($BN$2,0,0,ROW()-1,60),ROW()-1,FALSE))</f>
        <v>94.024000000000001</v>
      </c>
      <c r="L100">
        <f ca="1">IF(AND(ISNUMBER($L$348),$B$258=1),$L$348,HLOOKUP(INDIRECT(ADDRESS(2,COLUMN())),OFFSET($BN$2,0,0,ROW()-1,60),ROW()-1,FALSE))</f>
        <v>89.486000000000004</v>
      </c>
      <c r="M100">
        <f ca="1">IF(AND(ISNUMBER($M$348),$B$258=1),$M$348,HLOOKUP(INDIRECT(ADDRESS(2,COLUMN())),OFFSET($BN$2,0,0,ROW()-1,60),ROW()-1,FALSE))</f>
        <v>95.486000000000004</v>
      </c>
      <c r="N100">
        <f ca="1">IF(AND(ISNUMBER($N$348),$B$258=1),$N$348,HLOOKUP(INDIRECT(ADDRESS(2,COLUMN())),OFFSET($BN$2,0,0,ROW()-1,60),ROW()-1,FALSE))</f>
        <v>91.771000000000001</v>
      </c>
      <c r="O100">
        <f ca="1">IF(AND(ISNUMBER($O$348),$B$258=1),$O$348,HLOOKUP(INDIRECT(ADDRESS(2,COLUMN())),OFFSET($BN$2,0,0,ROW()-1,60),ROW()-1,FALSE))</f>
        <v>83.301000000000002</v>
      </c>
      <c r="P100">
        <f ca="1">IF(AND(ISNUMBER($P$348),$B$258=1),$P$348,HLOOKUP(INDIRECT(ADDRESS(2,COLUMN())),OFFSET($BN$2,0,0,ROW()-1,60),ROW()-1,FALSE))</f>
        <v>78.653999999999996</v>
      </c>
      <c r="Q100">
        <f ca="1">IF(AND(ISNUMBER($Q$348),$B$258=1),$Q$348,HLOOKUP(INDIRECT(ADDRESS(2,COLUMN())),OFFSET($BN$2,0,0,ROW()-1,60),ROW()-1,FALSE))</f>
        <v>76.819999999999993</v>
      </c>
      <c r="R100">
        <f ca="1">IF(AND(ISNUMBER($R$348),$B$258=1),$R$348,HLOOKUP(INDIRECT(ADDRESS(2,COLUMN())),OFFSET($BN$2,0,0,ROW()-1,60),ROW()-1,FALSE))</f>
        <v>78.572999999999993</v>
      </c>
      <c r="S100">
        <f ca="1">IF(AND(ISNUMBER($S$348),$B$258=1),$S$348,HLOOKUP(INDIRECT(ADDRESS(2,COLUMN())),OFFSET($BN$2,0,0,ROW()-1,60),ROW()-1,FALSE))</f>
        <v>77.957999999999998</v>
      </c>
      <c r="T100">
        <f ca="1">IF(AND(ISNUMBER($T$348),$B$258=1),$T$348,HLOOKUP(INDIRECT(ADDRESS(2,COLUMN())),OFFSET($BN$2,0,0,ROW()-1,60),ROW()-1,FALSE))</f>
        <v>91.444000000000003</v>
      </c>
      <c r="U100">
        <f ca="1">IF(AND(ISNUMBER($U$348),$B$258=1),$U$348,HLOOKUP(INDIRECT(ADDRESS(2,COLUMN())),OFFSET($BN$2,0,0,ROW()-1,60),ROW()-1,FALSE))</f>
        <v>72.506</v>
      </c>
      <c r="V100">
        <f ca="1">IF(AND(ISNUMBER($V$348),$B$258=1),$V$348,HLOOKUP(INDIRECT(ADDRESS(2,COLUMN())),OFFSET($BN$2,0,0,ROW()-1,60),ROW()-1,FALSE))</f>
        <v>71.337999999999994</v>
      </c>
      <c r="W100">
        <f ca="1">IF(AND(ISNUMBER($W$348),$B$258=1),$W$348,HLOOKUP(INDIRECT(ADDRESS(2,COLUMN())),OFFSET($BN$2,0,0,ROW()-1,60),ROW()-1,FALSE))</f>
        <v>71.816999999999993</v>
      </c>
      <c r="X100">
        <f ca="1">IF(AND(ISNUMBER($X$348),$B$258=1),$X$348,HLOOKUP(INDIRECT(ADDRESS(2,COLUMN())),OFFSET($BN$2,0,0,ROW()-1,60),ROW()-1,FALSE))</f>
        <v>79.98</v>
      </c>
      <c r="Y100">
        <f ca="1">IF(AND(ISNUMBER($Y$348),$B$258=1),$Y$348,HLOOKUP(INDIRECT(ADDRESS(2,COLUMN())),OFFSET($BN$2,0,0,ROW()-1,60),ROW()-1,FALSE))</f>
        <v>66.778000000000006</v>
      </c>
      <c r="Z100">
        <f ca="1">IF(AND(ISNUMBER($Z$348),$B$258=1),$Z$348,HLOOKUP(INDIRECT(ADDRESS(2,COLUMN())),OFFSET($BN$2,0,0,ROW()-1,60),ROW()-1,FALSE))</f>
        <v>67.965000000000003</v>
      </c>
      <c r="AA100">
        <f ca="1">IF(AND(ISNUMBER($AA$348),$B$258=1),$AA$348,HLOOKUP(INDIRECT(ADDRESS(2,COLUMN())),OFFSET($BN$2,0,0,ROW()-1,60),ROW()-1,FALSE))</f>
        <v>66.295000000000002</v>
      </c>
      <c r="AB100">
        <f ca="1">IF(AND(ISNUMBER($AB$348),$B$258=1),$AB$348,HLOOKUP(INDIRECT(ADDRESS(2,COLUMN())),OFFSET($BN$2,0,0,ROW()-1,60),ROW()-1,FALSE))</f>
        <v>65.016999999999996</v>
      </c>
      <c r="AC100">
        <f ca="1">IF(AND(ISNUMBER($AC$348),$B$258=1),$AC$348,HLOOKUP(INDIRECT(ADDRESS(2,COLUMN())),OFFSET($BN$2,0,0,ROW()-1,60),ROW()-1,FALSE))</f>
        <v>63.951000000000001</v>
      </c>
      <c r="AD100">
        <f ca="1">IF(AND(ISNUMBER($AD$348),$B$258=1),$AD$348,HLOOKUP(INDIRECT(ADDRESS(2,COLUMN())),OFFSET($BN$2,0,0,ROW()-1,60),ROW()-1,FALSE))</f>
        <v>62.457000000000001</v>
      </c>
      <c r="AE100">
        <f ca="1">IF(AND(ISNUMBER($AE$348),$B$258=1),$AE$348,HLOOKUP(INDIRECT(ADDRESS(2,COLUMN())),OFFSET($BN$2,0,0,ROW()-1,60),ROW()-1,FALSE))</f>
        <v>58.936</v>
      </c>
      <c r="AF100">
        <f ca="1">IF(AND(ISNUMBER($AF$348),$B$258=1),$AF$348,HLOOKUP(INDIRECT(ADDRESS(2,COLUMN())),OFFSET($BN$2,0,0,ROW()-1,60),ROW()-1,FALSE))</f>
        <v>65.043999999999997</v>
      </c>
      <c r="AG100">
        <f ca="1">IF(AND(ISNUMBER($AG$348),$B$258=1),$AG$348,HLOOKUP(INDIRECT(ADDRESS(2,COLUMN())),OFFSET($BN$2,0,0,ROW()-1,60),ROW()-1,FALSE))</f>
        <v>67.671000000000006</v>
      </c>
      <c r="AH100">
        <f ca="1">IF(AND(ISNUMBER($AH$348),$B$258=1),$AH$348,HLOOKUP(INDIRECT(ADDRESS(2,COLUMN())),OFFSET($BN$2,0,0,ROW()-1,60),ROW()-1,FALSE))</f>
        <v>58.813000000000002</v>
      </c>
      <c r="AI100">
        <f ca="1">IF(AND(ISNUMBER($AI$348),$B$258=1),$AI$348,HLOOKUP(INDIRECT(ADDRESS(2,COLUMN())),OFFSET($BN$2,0,0,ROW()-1,60),ROW()-1,FALSE))</f>
        <v>56.274000000000001</v>
      </c>
      <c r="AJ100">
        <f ca="1">IF(AND(ISNUMBER($AJ$348),$B$258=1),$AJ$348,HLOOKUP(INDIRECT(ADDRESS(2,COLUMN())),OFFSET($BN$2,0,0,ROW()-1,60),ROW()-1,FALSE))</f>
        <v>55.194000000000003</v>
      </c>
      <c r="AK100">
        <f ca="1">IF(AND(ISNUMBER($AK$348),$B$258=1),$AK$348,HLOOKUP(INDIRECT(ADDRESS(2,COLUMN())),OFFSET($BN$2,0,0,ROW()-1,60),ROW()-1,FALSE))</f>
        <v>54.048999999999999</v>
      </c>
      <c r="AL100">
        <f ca="1">IF(AND(ISNUMBER($AL$348),$B$258=1),$AL$348,HLOOKUP(INDIRECT(ADDRESS(2,COLUMN())),OFFSET($BN$2,0,0,ROW()-1,60),ROW()-1,FALSE))</f>
        <v>56.402000000000001</v>
      </c>
      <c r="AM100">
        <f ca="1">IF(AND(ISNUMBER($AM$348),$B$258=1),$AM$348,HLOOKUP(INDIRECT(ADDRESS(2,COLUMN())),OFFSET($BN$2,0,0,ROW()-1,60),ROW()-1,FALSE))</f>
        <v>54.119</v>
      </c>
      <c r="AN100">
        <f ca="1">IF(AND(ISNUMBER($AN$348),$B$258=1),$AN$348,HLOOKUP(INDIRECT(ADDRESS(2,COLUMN())),OFFSET($BN$2,0,0,ROW()-1,60),ROW()-1,FALSE))</f>
        <v>56.776000000000003</v>
      </c>
      <c r="AO100">
        <f ca="1">IF(AND(ISNUMBER($AO$348),$B$258=1),$AO$348,HLOOKUP(INDIRECT(ADDRESS(2,COLUMN())),OFFSET($BN$2,0,0,ROW()-1,60),ROW()-1,FALSE))</f>
        <v>63.073</v>
      </c>
      <c r="AP100">
        <f ca="1">IF(AND(ISNUMBER($AP$348),$B$258=1),$AP$348,HLOOKUP(INDIRECT(ADDRESS(2,COLUMN())),OFFSET($BN$2,0,0,ROW()-1,60),ROW()-1,FALSE))</f>
        <v>63.716999999999999</v>
      </c>
      <c r="AQ100">
        <f ca="1">IF(AND(ISNUMBER($AQ$348),$B$258=1),$AQ$348,HLOOKUP(INDIRECT(ADDRESS(2,COLUMN())),OFFSET($BN$2,0,0,ROW()-1,60),ROW()-1,FALSE))</f>
        <v>59.667000000000002</v>
      </c>
      <c r="AR100">
        <f ca="1">IF(AND(ISNUMBER($AR$348),$B$258=1),$AR$348,HLOOKUP(INDIRECT(ADDRESS(2,COLUMN())),OFFSET($BN$2,0,0,ROW()-1,60),ROW()-1,FALSE))</f>
        <v>42.999000000000002</v>
      </c>
      <c r="AS100">
        <f ca="1">IF(AND(ISNUMBER($AS$348),$B$258=1),$AS$348,HLOOKUP(INDIRECT(ADDRESS(2,COLUMN())),OFFSET($BN$2,0,0,ROW()-1,60),ROW()-1,FALSE))</f>
        <v>48.95</v>
      </c>
      <c r="AT100">
        <f ca="1">IF(AND(ISNUMBER($AT$348),$B$258=1),$AT$348,HLOOKUP(INDIRECT(ADDRESS(2,COLUMN())),OFFSET($BN$2,0,0,ROW()-1,60),ROW()-1,FALSE))</f>
        <v>41.648000000000003</v>
      </c>
      <c r="AU100">
        <f ca="1">IF(AND(ISNUMBER($AU$348),$B$258=1),$AU$348,HLOOKUP(INDIRECT(ADDRESS(2,COLUMN())),OFFSET($BN$2,0,0,ROW()-1,60),ROW()-1,FALSE))</f>
        <v>46.323999999999998</v>
      </c>
      <c r="AV100">
        <f ca="1">IF(AND(ISNUMBER($AV$348),$B$258=1),$AV$348,HLOOKUP(INDIRECT(ADDRESS(2,COLUMN())),OFFSET($BN$2,0,0,ROW()-1,60),ROW()-1,FALSE))</f>
        <v>38.387999999999998</v>
      </c>
      <c r="AW100">
        <f ca="1">IF(AND(ISNUMBER($AW$348),$B$258=1),$AW$348,HLOOKUP(INDIRECT(ADDRESS(2,COLUMN())),OFFSET($BN$2,0,0,ROW()-1,60),ROW()-1,FALSE))</f>
        <v>38.99</v>
      </c>
      <c r="AX100">
        <f ca="1">IF(AND(ISNUMBER($AX$348),$B$258=1),$AX$348,HLOOKUP(INDIRECT(ADDRESS(2,COLUMN())),OFFSET($BN$2,0,0,ROW()-1,60),ROW()-1,FALSE))</f>
        <v>37.545999999999999</v>
      </c>
      <c r="AY100">
        <f ca="1">IF(AND(ISNUMBER($AY$348),$B$258=1),$AY$348,HLOOKUP(INDIRECT(ADDRESS(2,COLUMN())),OFFSET($BN$2,0,0,ROW()-1,60),ROW()-1,FALSE))</f>
        <v>39.054000000000002</v>
      </c>
      <c r="AZ100">
        <f ca="1">IF(AND(ISNUMBER($AZ$348),$B$258=1),$AZ$348,HLOOKUP(INDIRECT(ADDRESS(2,COLUMN())),OFFSET($BN$2,0,0,ROW()-1,60),ROW()-1,FALSE))</f>
        <v>35.229999999999997</v>
      </c>
      <c r="BA100">
        <f ca="1">IF(AND(ISNUMBER($BA$348),$B$258=1),$BA$348,HLOOKUP(INDIRECT(ADDRESS(2,COLUMN())),OFFSET($BN$2,0,0,ROW()-1,60),ROW()-1,FALSE))</f>
        <v>29.227</v>
      </c>
      <c r="BB100">
        <f ca="1">IF(AND(ISNUMBER($BB$348),$B$258=1),$BB$348,HLOOKUP(INDIRECT(ADDRESS(2,COLUMN())),OFFSET($BN$2,0,0,ROW()-1,60),ROW()-1,FALSE))</f>
        <v>28.154</v>
      </c>
      <c r="BC100">
        <f ca="1">IF(AND(ISNUMBER($BC$348),$B$258=1),$BC$348,HLOOKUP(INDIRECT(ADDRESS(2,COLUMN())),OFFSET($BN$2,0,0,ROW()-1,60),ROW()-1,FALSE))</f>
        <v>27.591999999999999</v>
      </c>
      <c r="BD100">
        <f ca="1">IF(AND(ISNUMBER($BD$348),$B$258=1),$BD$348,HLOOKUP(INDIRECT(ADDRESS(2,COLUMN())),OFFSET($BN$2,0,0,ROW()-1,60),ROW()-1,FALSE))</f>
        <v>25.969000000000001</v>
      </c>
      <c r="BE100">
        <f ca="1">IF(AND(ISNUMBER($BE$348),$B$258=1),$BE$348,HLOOKUP(INDIRECT(ADDRESS(2,COLUMN())),OFFSET($BN$2,0,0,ROW()-1,60),ROW()-1,FALSE))</f>
        <v>25.501000000000001</v>
      </c>
      <c r="BF100">
        <f ca="1">IF(AND(ISNUMBER($BF$348),$B$258=1),$BF$348,HLOOKUP(INDIRECT(ADDRESS(2,COLUMN())),OFFSET($BN$2,0,0,ROW()-1,60),ROW()-1,FALSE))</f>
        <v>23.608000000000001</v>
      </c>
      <c r="BG100">
        <f ca="1">IF(AND(ISNUMBER($BG$348),$B$258=1),$BG$348,HLOOKUP(INDIRECT(ADDRESS(2,COLUMN())),OFFSET($BN$2,0,0,ROW()-1,60),ROW()-1,FALSE))</f>
        <v>23.391999999999999</v>
      </c>
      <c r="BH100">
        <f ca="1">IF(AND(ISNUMBER($BH$348),$B$258=1),$BH$348,HLOOKUP(INDIRECT(ADDRESS(2,COLUMN())),OFFSET($BN$2,0,0,ROW()-1,60),ROW()-1,FALSE))</f>
        <v>21.943999999999999</v>
      </c>
      <c r="BI100">
        <f ca="1">IF(AND(ISNUMBER($BI$348),$B$258=1),$BI$348,HLOOKUP(INDIRECT(ADDRESS(2,COLUMN())),OFFSET($BN$2,0,0,ROW()-1,60),ROW()-1,FALSE))</f>
        <v>19.815000000000001</v>
      </c>
      <c r="BJ100">
        <f ca="1">IF(AND(ISNUMBER($BJ$348),$B$258=1),$BJ$348,HLOOKUP(INDIRECT(ADDRESS(2,COLUMN())),OFFSET($BN$2,0,0,ROW()-1,60),ROW()-1,FALSE))</f>
        <v>21.469000000000001</v>
      </c>
      <c r="BK100">
        <f ca="1">IF(AND(ISNUMBER($BK$348),$B$258=1),$BK$348,HLOOKUP(INDIRECT(ADDRESS(2,COLUMN())),OFFSET($BN$2,0,0,ROW()-1,60),ROW()-1,FALSE))</f>
        <v>21.03</v>
      </c>
      <c r="BL100">
        <f ca="1">IF(AND(ISNUMBER($BL$348),$B$258=1),$BL$348,HLOOKUP(INDIRECT(ADDRESS(2,COLUMN())),OFFSET($BN$2,0,0,ROW()-1,60),ROW()-1,FALSE))</f>
        <v>60.33</v>
      </c>
      <c r="BM100">
        <f ca="1">IF(AND(ISNUMBER($BM$348),$B$258=1),$BM$348,HLOOKUP(INDIRECT(ADDRESS(2,COLUMN())),OFFSET($BN$2,0,0,ROW()-1,60),ROW()-1,FALSE))</f>
        <v>20.084</v>
      </c>
      <c r="BN100" t="str">
        <f>""</f>
        <v/>
      </c>
      <c r="BO100">
        <f>106.581</f>
        <v>106.581</v>
      </c>
      <c r="BP100">
        <f>143.567</f>
        <v>143.56700000000001</v>
      </c>
      <c r="BQ100">
        <f>110.001</f>
        <v>110.001</v>
      </c>
      <c r="BR100">
        <f>79.502</f>
        <v>79.501999999999995</v>
      </c>
      <c r="BS100">
        <f>94.024</f>
        <v>94.024000000000001</v>
      </c>
      <c r="BT100">
        <f>89.486</f>
        <v>89.486000000000004</v>
      </c>
      <c r="BU100">
        <f>95.486</f>
        <v>95.486000000000004</v>
      </c>
      <c r="BV100">
        <f>91.771</f>
        <v>91.771000000000001</v>
      </c>
      <c r="BW100">
        <f>83.301</f>
        <v>83.301000000000002</v>
      </c>
      <c r="BX100">
        <f>78.654</f>
        <v>78.653999999999996</v>
      </c>
      <c r="BY100">
        <f>76.82</f>
        <v>76.819999999999993</v>
      </c>
      <c r="BZ100">
        <f>78.573</f>
        <v>78.572999999999993</v>
      </c>
      <c r="CA100">
        <f>77.958</f>
        <v>77.957999999999998</v>
      </c>
      <c r="CB100">
        <f>91.444</f>
        <v>91.444000000000003</v>
      </c>
      <c r="CC100">
        <f>72.506</f>
        <v>72.506</v>
      </c>
      <c r="CD100">
        <f>71.338</f>
        <v>71.337999999999994</v>
      </c>
      <c r="CE100">
        <f>71.817</f>
        <v>71.816999999999993</v>
      </c>
      <c r="CF100">
        <f>79.98</f>
        <v>79.98</v>
      </c>
      <c r="CG100">
        <f>66.778</f>
        <v>66.778000000000006</v>
      </c>
      <c r="CH100">
        <f>67.965</f>
        <v>67.965000000000003</v>
      </c>
      <c r="CI100">
        <f>66.295</f>
        <v>66.295000000000002</v>
      </c>
      <c r="CJ100">
        <f>65.017</f>
        <v>65.016999999999996</v>
      </c>
      <c r="CK100">
        <f>63.951</f>
        <v>63.951000000000001</v>
      </c>
      <c r="CL100">
        <f>62.457</f>
        <v>62.457000000000001</v>
      </c>
      <c r="CM100">
        <f>58.936</f>
        <v>58.936</v>
      </c>
      <c r="CN100">
        <f>65.044</f>
        <v>65.043999999999997</v>
      </c>
      <c r="CO100">
        <f>67.671</f>
        <v>67.671000000000006</v>
      </c>
      <c r="CP100">
        <f>58.813</f>
        <v>58.813000000000002</v>
      </c>
      <c r="CQ100">
        <f>56.274</f>
        <v>56.274000000000001</v>
      </c>
      <c r="CR100">
        <f>55.194</f>
        <v>55.194000000000003</v>
      </c>
      <c r="CS100">
        <f>54.049</f>
        <v>54.048999999999999</v>
      </c>
      <c r="CT100">
        <f>56.402</f>
        <v>56.402000000000001</v>
      </c>
      <c r="CU100">
        <f>54.119</f>
        <v>54.119</v>
      </c>
      <c r="CV100">
        <f>56.776</f>
        <v>56.776000000000003</v>
      </c>
      <c r="CW100">
        <f>63.073</f>
        <v>63.073</v>
      </c>
      <c r="CX100">
        <f>63.717</f>
        <v>63.716999999999999</v>
      </c>
      <c r="CY100">
        <f>59.667</f>
        <v>59.667000000000002</v>
      </c>
      <c r="CZ100">
        <f>42.999</f>
        <v>42.999000000000002</v>
      </c>
      <c r="DA100">
        <f>48.95</f>
        <v>48.95</v>
      </c>
      <c r="DB100">
        <f>41.648</f>
        <v>41.648000000000003</v>
      </c>
      <c r="DC100">
        <f>46.324</f>
        <v>46.323999999999998</v>
      </c>
      <c r="DD100">
        <f>38.388</f>
        <v>38.387999999999998</v>
      </c>
      <c r="DE100">
        <f>38.99</f>
        <v>38.99</v>
      </c>
      <c r="DF100">
        <f>37.546</f>
        <v>37.545999999999999</v>
      </c>
      <c r="DG100">
        <f>39.054</f>
        <v>39.054000000000002</v>
      </c>
      <c r="DH100">
        <f>35.23</f>
        <v>35.229999999999997</v>
      </c>
      <c r="DI100">
        <f>29.227</f>
        <v>29.227</v>
      </c>
      <c r="DJ100">
        <f>28.154</f>
        <v>28.154</v>
      </c>
      <c r="DK100">
        <f>27.592</f>
        <v>27.591999999999999</v>
      </c>
      <c r="DL100">
        <f>25.969</f>
        <v>25.969000000000001</v>
      </c>
      <c r="DM100">
        <f>25.501</f>
        <v>25.501000000000001</v>
      </c>
      <c r="DN100">
        <f>23.608</f>
        <v>23.608000000000001</v>
      </c>
      <c r="DO100">
        <f>23.392</f>
        <v>23.391999999999999</v>
      </c>
      <c r="DP100">
        <f>21.944</f>
        <v>21.943999999999999</v>
      </c>
      <c r="DQ100">
        <f>19.815</f>
        <v>19.815000000000001</v>
      </c>
      <c r="DR100">
        <f>21.469</f>
        <v>21.469000000000001</v>
      </c>
      <c r="DS100">
        <f>21.03</f>
        <v>21.03</v>
      </c>
      <c r="DT100">
        <f>60.33</f>
        <v>60.33</v>
      </c>
      <c r="DU100">
        <f>20.084</f>
        <v>20.084</v>
      </c>
    </row>
    <row r="101" spans="1:125">
      <c r="A101" t="str">
        <f>"    Care Capital Properties Inc"</f>
        <v xml:space="preserve">    Care Capital Properties Inc</v>
      </c>
      <c r="B101" t="str">
        <f>"CCP US Equity"</f>
        <v>CCP US Equity</v>
      </c>
      <c r="C101" t="str">
        <f t="shared" si="24"/>
        <v>F0578</v>
      </c>
      <c r="D101" t="str">
        <f t="shared" si="25"/>
        <v>FUNDS_AVAILABLE_FOR_DISTRIBUTION</v>
      </c>
      <c r="E101" t="str">
        <f t="shared" si="26"/>
        <v>动态</v>
      </c>
      <c r="F101" t="str">
        <f ca="1">IF(AND(ISNUMBER($F$349),$B$258=1),$F$349,HLOOKUP(INDIRECT(ADDRESS(2,COLUMN())),OFFSET($BN$2,0,0,ROW()-1,60),ROW()-1,FALSE))</f>
        <v/>
      </c>
      <c r="G101" t="str">
        <f ca="1">IF(AND(ISNUMBER($G$349),$B$258=1),$G$349,HLOOKUP(INDIRECT(ADDRESS(2,COLUMN())),OFFSET($BN$2,0,0,ROW()-1,60),ROW()-1,FALSE))</f>
        <v/>
      </c>
      <c r="H101" t="str">
        <f ca="1">IF(AND(ISNUMBER($H$349),$B$258=1),$H$349,HLOOKUP(INDIRECT(ADDRESS(2,COLUMN())),OFFSET($BN$2,0,0,ROW()-1,60),ROW()-1,FALSE))</f>
        <v/>
      </c>
      <c r="I101">
        <f ca="1">IF(AND(ISNUMBER($I$349),$B$258=1),$I$349,HLOOKUP(INDIRECT(ADDRESS(2,COLUMN())),OFFSET($BN$2,0,0,ROW()-1,60),ROW()-1,FALSE))</f>
        <v>61.253</v>
      </c>
      <c r="J101">
        <f ca="1">IF(AND(ISNUMBER($J$349),$B$258=1),$J$349,HLOOKUP(INDIRECT(ADDRESS(2,COLUMN())),OFFSET($BN$2,0,0,ROW()-1,60),ROW()-1,FALSE))</f>
        <v>54.1</v>
      </c>
      <c r="K101">
        <f ca="1">IF(AND(ISNUMBER($K$349),$B$258=1),$K$349,HLOOKUP(INDIRECT(ADDRESS(2,COLUMN())),OFFSET($BN$2,0,0,ROW()-1,60),ROW()-1,FALSE))</f>
        <v>66.781000000000006</v>
      </c>
      <c r="L101">
        <f ca="1">IF(AND(ISNUMBER($L$349),$B$258=1),$L$349,HLOOKUP(INDIRECT(ADDRESS(2,COLUMN())),OFFSET($BN$2,0,0,ROW()-1,60),ROW()-1,FALSE))</f>
        <v>62.177</v>
      </c>
      <c r="M101">
        <f ca="1">IF(AND(ISNUMBER($M$349),$B$258=1),$M$349,HLOOKUP(INDIRECT(ADDRESS(2,COLUMN())),OFFSET($BN$2,0,0,ROW()-1,60),ROW()-1,FALSE))</f>
        <v>66.254999999999995</v>
      </c>
      <c r="N101">
        <f ca="1">IF(AND(ISNUMBER($N$349),$B$258=1),$N$349,HLOOKUP(INDIRECT(ADDRESS(2,COLUMN())),OFFSET($BN$2,0,0,ROW()-1,60),ROW()-1,FALSE))</f>
        <v>64.543999999999997</v>
      </c>
      <c r="O101">
        <f ca="1">IF(AND(ISNUMBER($O$349),$B$258=1),$O$349,HLOOKUP(INDIRECT(ADDRESS(2,COLUMN())),OFFSET($BN$2,0,0,ROW()-1,60),ROW()-1,FALSE))</f>
        <v>66.385999999999996</v>
      </c>
      <c r="P101">
        <f ca="1">IF(AND(ISNUMBER($P$349),$B$258=1),$P$349,HLOOKUP(INDIRECT(ADDRESS(2,COLUMN())),OFFSET($BN$2,0,0,ROW()-1,60),ROW()-1,FALSE))</f>
        <v>62.875</v>
      </c>
      <c r="Q101">
        <f ca="1">IF(AND(ISNUMBER($Q$349),$B$258=1),$Q$349,HLOOKUP(INDIRECT(ADDRESS(2,COLUMN())),OFFSET($BN$2,0,0,ROW()-1,60),ROW()-1,FALSE))</f>
        <v>66.674999999999997</v>
      </c>
      <c r="R101" t="str">
        <f ca="1">IF(AND(ISNUMBER($R$349),$B$258=1),$R$349,HLOOKUP(INDIRECT(ADDRESS(2,COLUMN())),OFFSET($BN$2,0,0,ROW()-1,60),ROW()-1,FALSE))</f>
        <v/>
      </c>
      <c r="S101" t="str">
        <f ca="1">IF(AND(ISNUMBER($S$349),$B$258=1),$S$349,HLOOKUP(INDIRECT(ADDRESS(2,COLUMN())),OFFSET($BN$2,0,0,ROW()-1,60),ROW()-1,FALSE))</f>
        <v/>
      </c>
      <c r="T101" t="str">
        <f ca="1">IF(AND(ISNUMBER($T$349),$B$258=1),$T$349,HLOOKUP(INDIRECT(ADDRESS(2,COLUMN())),OFFSET($BN$2,0,0,ROW()-1,60),ROW()-1,FALSE))</f>
        <v/>
      </c>
      <c r="U101" t="str">
        <f ca="1">IF(AND(ISNUMBER($U$349),$B$258=1),$U$349,HLOOKUP(INDIRECT(ADDRESS(2,COLUMN())),OFFSET($BN$2,0,0,ROW()-1,60),ROW()-1,FALSE))</f>
        <v/>
      </c>
      <c r="V101" t="str">
        <f ca="1">IF(AND(ISNUMBER($V$349),$B$258=1),$V$349,HLOOKUP(INDIRECT(ADDRESS(2,COLUMN())),OFFSET($BN$2,0,0,ROW()-1,60),ROW()-1,FALSE))</f>
        <v/>
      </c>
      <c r="W101" t="str">
        <f ca="1">IF(AND(ISNUMBER($W$349),$B$258=1),$W$349,HLOOKUP(INDIRECT(ADDRESS(2,COLUMN())),OFFSET($BN$2,0,0,ROW()-1,60),ROW()-1,FALSE))</f>
        <v/>
      </c>
      <c r="X101" t="str">
        <f ca="1">IF(AND(ISNUMBER($X$349),$B$258=1),$X$349,HLOOKUP(INDIRECT(ADDRESS(2,COLUMN())),OFFSET($BN$2,0,0,ROW()-1,60),ROW()-1,FALSE))</f>
        <v/>
      </c>
      <c r="Y101" t="str">
        <f ca="1">IF(AND(ISNUMBER($Y$349),$B$258=1),$Y$349,HLOOKUP(INDIRECT(ADDRESS(2,COLUMN())),OFFSET($BN$2,0,0,ROW()-1,60),ROW()-1,FALSE))</f>
        <v/>
      </c>
      <c r="Z101" t="str">
        <f ca="1">IF(AND(ISNUMBER($Z$349),$B$258=1),$Z$349,HLOOKUP(INDIRECT(ADDRESS(2,COLUMN())),OFFSET($BN$2,0,0,ROW()-1,60),ROW()-1,FALSE))</f>
        <v/>
      </c>
      <c r="AA101" t="str">
        <f ca="1">IF(AND(ISNUMBER($AA$349),$B$258=1),$AA$349,HLOOKUP(INDIRECT(ADDRESS(2,COLUMN())),OFFSET($BN$2,0,0,ROW()-1,60),ROW()-1,FALSE))</f>
        <v/>
      </c>
      <c r="AB101" t="str">
        <f ca="1">IF(AND(ISNUMBER($AB$349),$B$258=1),$AB$349,HLOOKUP(INDIRECT(ADDRESS(2,COLUMN())),OFFSET($BN$2,0,0,ROW()-1,60),ROW()-1,FALSE))</f>
        <v/>
      </c>
      <c r="AC101" t="str">
        <f ca="1">IF(AND(ISNUMBER($AC$349),$B$258=1),$AC$349,HLOOKUP(INDIRECT(ADDRESS(2,COLUMN())),OFFSET($BN$2,0,0,ROW()-1,60),ROW()-1,FALSE))</f>
        <v/>
      </c>
      <c r="AD101" t="str">
        <f ca="1">IF(AND(ISNUMBER($AD$349),$B$258=1),$AD$349,HLOOKUP(INDIRECT(ADDRESS(2,COLUMN())),OFFSET($BN$2,0,0,ROW()-1,60),ROW()-1,FALSE))</f>
        <v/>
      </c>
      <c r="AE101" t="str">
        <f ca="1">IF(AND(ISNUMBER($AE$349),$B$258=1),$AE$349,HLOOKUP(INDIRECT(ADDRESS(2,COLUMN())),OFFSET($BN$2,0,0,ROW()-1,60),ROW()-1,FALSE))</f>
        <v/>
      </c>
      <c r="AF101" t="str">
        <f ca="1">IF(AND(ISNUMBER($AF$349),$B$258=1),$AF$349,HLOOKUP(INDIRECT(ADDRESS(2,COLUMN())),OFFSET($BN$2,0,0,ROW()-1,60),ROW()-1,FALSE))</f>
        <v/>
      </c>
      <c r="AG101" t="str">
        <f ca="1">IF(AND(ISNUMBER($AG$349),$B$258=1),$AG$349,HLOOKUP(INDIRECT(ADDRESS(2,COLUMN())),OFFSET($BN$2,0,0,ROW()-1,60),ROW()-1,FALSE))</f>
        <v/>
      </c>
      <c r="AH101" t="str">
        <f ca="1">IF(AND(ISNUMBER($AH$349),$B$258=1),$AH$349,HLOOKUP(INDIRECT(ADDRESS(2,COLUMN())),OFFSET($BN$2,0,0,ROW()-1,60),ROW()-1,FALSE))</f>
        <v/>
      </c>
      <c r="AI101" t="str">
        <f ca="1">IF(AND(ISNUMBER($AI$349),$B$258=1),$AI$349,HLOOKUP(INDIRECT(ADDRESS(2,COLUMN())),OFFSET($BN$2,0,0,ROW()-1,60),ROW()-1,FALSE))</f>
        <v/>
      </c>
      <c r="AJ101" t="str">
        <f ca="1">IF(AND(ISNUMBER($AJ$349),$B$258=1),$AJ$349,HLOOKUP(INDIRECT(ADDRESS(2,COLUMN())),OFFSET($BN$2,0,0,ROW()-1,60),ROW()-1,FALSE))</f>
        <v/>
      </c>
      <c r="AK101" t="str">
        <f ca="1">IF(AND(ISNUMBER($AK$349),$B$258=1),$AK$349,HLOOKUP(INDIRECT(ADDRESS(2,COLUMN())),OFFSET($BN$2,0,0,ROW()-1,60),ROW()-1,FALSE))</f>
        <v/>
      </c>
      <c r="AL101" t="str">
        <f ca="1">IF(AND(ISNUMBER($AL$349),$B$258=1),$AL$349,HLOOKUP(INDIRECT(ADDRESS(2,COLUMN())),OFFSET($BN$2,0,0,ROW()-1,60),ROW()-1,FALSE))</f>
        <v/>
      </c>
      <c r="AM101" t="str">
        <f ca="1">IF(AND(ISNUMBER($AM$349),$B$258=1),$AM$349,HLOOKUP(INDIRECT(ADDRESS(2,COLUMN())),OFFSET($BN$2,0,0,ROW()-1,60),ROW()-1,FALSE))</f>
        <v/>
      </c>
      <c r="AN101" t="str">
        <f ca="1">IF(AND(ISNUMBER($AN$349),$B$258=1),$AN$349,HLOOKUP(INDIRECT(ADDRESS(2,COLUMN())),OFFSET($BN$2,0,0,ROW()-1,60),ROW()-1,FALSE))</f>
        <v/>
      </c>
      <c r="AO101" t="str">
        <f ca="1">IF(AND(ISNUMBER($AO$349),$B$258=1),$AO$349,HLOOKUP(INDIRECT(ADDRESS(2,COLUMN())),OFFSET($BN$2,0,0,ROW()-1,60),ROW()-1,FALSE))</f>
        <v/>
      </c>
      <c r="AP101" t="str">
        <f ca="1">IF(AND(ISNUMBER($AP$349),$B$258=1),$AP$349,HLOOKUP(INDIRECT(ADDRESS(2,COLUMN())),OFFSET($BN$2,0,0,ROW()-1,60),ROW()-1,FALSE))</f>
        <v/>
      </c>
      <c r="AQ101" t="str">
        <f ca="1">IF(AND(ISNUMBER($AQ$349),$B$258=1),$AQ$349,HLOOKUP(INDIRECT(ADDRESS(2,COLUMN())),OFFSET($BN$2,0,0,ROW()-1,60),ROW()-1,FALSE))</f>
        <v/>
      </c>
      <c r="AR101" t="str">
        <f ca="1">IF(AND(ISNUMBER($AR$349),$B$258=1),$AR$349,HLOOKUP(INDIRECT(ADDRESS(2,COLUMN())),OFFSET($BN$2,0,0,ROW()-1,60),ROW()-1,FALSE))</f>
        <v/>
      </c>
      <c r="AS101" t="str">
        <f ca="1">IF(AND(ISNUMBER($AS$349),$B$258=1),$AS$349,HLOOKUP(INDIRECT(ADDRESS(2,COLUMN())),OFFSET($BN$2,0,0,ROW()-1,60),ROW()-1,FALSE))</f>
        <v/>
      </c>
      <c r="AT101" t="str">
        <f ca="1">IF(AND(ISNUMBER($AT$349),$B$258=1),$AT$349,HLOOKUP(INDIRECT(ADDRESS(2,COLUMN())),OFFSET($BN$2,0,0,ROW()-1,60),ROW()-1,FALSE))</f>
        <v/>
      </c>
      <c r="AU101" t="str">
        <f ca="1">IF(AND(ISNUMBER($AU$349),$B$258=1),$AU$349,HLOOKUP(INDIRECT(ADDRESS(2,COLUMN())),OFFSET($BN$2,0,0,ROW()-1,60),ROW()-1,FALSE))</f>
        <v/>
      </c>
      <c r="AV101" t="str">
        <f ca="1">IF(AND(ISNUMBER($AV$349),$B$258=1),$AV$349,HLOOKUP(INDIRECT(ADDRESS(2,COLUMN())),OFFSET($BN$2,0,0,ROW()-1,60),ROW()-1,FALSE))</f>
        <v/>
      </c>
      <c r="AW101" t="str">
        <f ca="1">IF(AND(ISNUMBER($AW$349),$B$258=1),$AW$349,HLOOKUP(INDIRECT(ADDRESS(2,COLUMN())),OFFSET($BN$2,0,0,ROW()-1,60),ROW()-1,FALSE))</f>
        <v/>
      </c>
      <c r="AX101" t="str">
        <f ca="1">IF(AND(ISNUMBER($AX$349),$B$258=1),$AX$349,HLOOKUP(INDIRECT(ADDRESS(2,COLUMN())),OFFSET($BN$2,0,0,ROW()-1,60),ROW()-1,FALSE))</f>
        <v/>
      </c>
      <c r="AY101" t="str">
        <f ca="1">IF(AND(ISNUMBER($AY$349),$B$258=1),$AY$349,HLOOKUP(INDIRECT(ADDRESS(2,COLUMN())),OFFSET($BN$2,0,0,ROW()-1,60),ROW()-1,FALSE))</f>
        <v/>
      </c>
      <c r="AZ101" t="str">
        <f ca="1">IF(AND(ISNUMBER($AZ$349),$B$258=1),$AZ$349,HLOOKUP(INDIRECT(ADDRESS(2,COLUMN())),OFFSET($BN$2,0,0,ROW()-1,60),ROW()-1,FALSE))</f>
        <v/>
      </c>
      <c r="BA101" t="str">
        <f ca="1">IF(AND(ISNUMBER($BA$349),$B$258=1),$BA$349,HLOOKUP(INDIRECT(ADDRESS(2,COLUMN())),OFFSET($BN$2,0,0,ROW()-1,60),ROW()-1,FALSE))</f>
        <v/>
      </c>
      <c r="BB101" t="str">
        <f ca="1">IF(AND(ISNUMBER($BB$349),$B$258=1),$BB$349,HLOOKUP(INDIRECT(ADDRESS(2,COLUMN())),OFFSET($BN$2,0,0,ROW()-1,60),ROW()-1,FALSE))</f>
        <v/>
      </c>
      <c r="BC101" t="str">
        <f ca="1">IF(AND(ISNUMBER($BC$349),$B$258=1),$BC$349,HLOOKUP(INDIRECT(ADDRESS(2,COLUMN())),OFFSET($BN$2,0,0,ROW()-1,60),ROW()-1,FALSE))</f>
        <v/>
      </c>
      <c r="BD101" t="str">
        <f ca="1">IF(AND(ISNUMBER($BD$349),$B$258=1),$BD$349,HLOOKUP(INDIRECT(ADDRESS(2,COLUMN())),OFFSET($BN$2,0,0,ROW()-1,60),ROW()-1,FALSE))</f>
        <v/>
      </c>
      <c r="BE101" t="str">
        <f ca="1">IF(AND(ISNUMBER($BE$349),$B$258=1),$BE$349,HLOOKUP(INDIRECT(ADDRESS(2,COLUMN())),OFFSET($BN$2,0,0,ROW()-1,60),ROW()-1,FALSE))</f>
        <v/>
      </c>
      <c r="BF101" t="str">
        <f ca="1">IF(AND(ISNUMBER($BF$349),$B$258=1),$BF$349,HLOOKUP(INDIRECT(ADDRESS(2,COLUMN())),OFFSET($BN$2,0,0,ROW()-1,60),ROW()-1,FALSE))</f>
        <v/>
      </c>
      <c r="BG101" t="str">
        <f ca="1">IF(AND(ISNUMBER($BG$349),$B$258=1),$BG$349,HLOOKUP(INDIRECT(ADDRESS(2,COLUMN())),OFFSET($BN$2,0,0,ROW()-1,60),ROW()-1,FALSE))</f>
        <v/>
      </c>
      <c r="BH101" t="str">
        <f ca="1">IF(AND(ISNUMBER($BH$349),$B$258=1),$BH$349,HLOOKUP(INDIRECT(ADDRESS(2,COLUMN())),OFFSET($BN$2,0,0,ROW()-1,60),ROW()-1,FALSE))</f>
        <v/>
      </c>
      <c r="BI101" t="str">
        <f ca="1">IF(AND(ISNUMBER($BI$349),$B$258=1),$BI$349,HLOOKUP(INDIRECT(ADDRESS(2,COLUMN())),OFFSET($BN$2,0,0,ROW()-1,60),ROW()-1,FALSE))</f>
        <v/>
      </c>
      <c r="BJ101" t="str">
        <f ca="1">IF(AND(ISNUMBER($BJ$349),$B$258=1),$BJ$349,HLOOKUP(INDIRECT(ADDRESS(2,COLUMN())),OFFSET($BN$2,0,0,ROW()-1,60),ROW()-1,FALSE))</f>
        <v/>
      </c>
      <c r="BK101" t="str">
        <f ca="1">IF(AND(ISNUMBER($BK$349),$B$258=1),$BK$349,HLOOKUP(INDIRECT(ADDRESS(2,COLUMN())),OFFSET($BN$2,0,0,ROW()-1,60),ROW()-1,FALSE))</f>
        <v/>
      </c>
      <c r="BL101" t="str">
        <f ca="1">IF(AND(ISNUMBER($BL$349),$B$258=1),$BL$349,HLOOKUP(INDIRECT(ADDRESS(2,COLUMN())),OFFSET($BN$2,0,0,ROW()-1,60),ROW()-1,FALSE))</f>
        <v/>
      </c>
      <c r="BM101" t="str">
        <f ca="1">IF(AND(ISNUMBER($BM$349),$B$258=1),$BM$349,HLOOKUP(INDIRECT(ADDRESS(2,COLUMN())),OFFSET($BN$2,0,0,ROW()-1,60),ROW()-1,FALSE))</f>
        <v/>
      </c>
      <c r="BN101" t="str">
        <f>""</f>
        <v/>
      </c>
      <c r="BO101" t="str">
        <f>""</f>
        <v/>
      </c>
      <c r="BP101" t="str">
        <f>""</f>
        <v/>
      </c>
      <c r="BQ101">
        <f>61.253</f>
        <v>61.253</v>
      </c>
      <c r="BR101">
        <f>54.1</f>
        <v>54.1</v>
      </c>
      <c r="BS101">
        <f>66.781</f>
        <v>66.781000000000006</v>
      </c>
      <c r="BT101">
        <f>62.177</f>
        <v>62.177</v>
      </c>
      <c r="BU101">
        <f>66.255</f>
        <v>66.254999999999995</v>
      </c>
      <c r="BV101">
        <f>64.544</f>
        <v>64.543999999999997</v>
      </c>
      <c r="BW101">
        <f>66.386</f>
        <v>66.385999999999996</v>
      </c>
      <c r="BX101">
        <f>62.875</f>
        <v>62.875</v>
      </c>
      <c r="BY101">
        <f>66.675</f>
        <v>66.674999999999997</v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  <c r="CH101" t="str">
        <f>""</f>
        <v/>
      </c>
      <c r="CI101" t="str">
        <f>""</f>
        <v/>
      </c>
      <c r="CJ101" t="str">
        <f>""</f>
        <v/>
      </c>
      <c r="CK101" t="str">
        <f>""</f>
        <v/>
      </c>
      <c r="CL101" t="str">
        <f>""</f>
        <v/>
      </c>
      <c r="CM101" t="str">
        <f>""</f>
        <v/>
      </c>
      <c r="CN101" t="str">
        <f>""</f>
        <v/>
      </c>
      <c r="CO101" t="str">
        <f>""</f>
        <v/>
      </c>
      <c r="CP101" t="str">
        <f>""</f>
        <v/>
      </c>
      <c r="CQ101" t="str">
        <f>""</f>
        <v/>
      </c>
      <c r="CR101" t="str">
        <f>""</f>
        <v/>
      </c>
      <c r="CS101" t="str">
        <f>""</f>
        <v/>
      </c>
      <c r="CT101" t="str">
        <f>""</f>
        <v/>
      </c>
      <c r="CU101" t="str">
        <f>""</f>
        <v/>
      </c>
      <c r="CV101" t="str">
        <f>""</f>
        <v/>
      </c>
      <c r="CW101" t="str">
        <f>""</f>
        <v/>
      </c>
      <c r="CX101" t="str">
        <f>""</f>
        <v/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 t="str">
        <f>""</f>
        <v/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  <c r="DT101" t="str">
        <f>""</f>
        <v/>
      </c>
      <c r="DU101" t="str">
        <f>""</f>
        <v/>
      </c>
    </row>
    <row r="102" spans="1:125">
      <c r="A102" t="str">
        <f>"    HCP Inc"</f>
        <v xml:space="preserve">    HCP Inc</v>
      </c>
      <c r="B102" t="str">
        <f>"HCP US Equity"</f>
        <v>HCP US Equity</v>
      </c>
      <c r="C102" t="str">
        <f t="shared" si="24"/>
        <v>F0578</v>
      </c>
      <c r="D102" t="str">
        <f t="shared" si="25"/>
        <v>FUNDS_AVAILABLE_FOR_DISTRIBUTION</v>
      </c>
      <c r="E102" t="str">
        <f t="shared" si="26"/>
        <v>动态</v>
      </c>
      <c r="F102" t="str">
        <f ca="1">IF(AND(ISNUMBER($F$350),$B$258=1),$F$350,HLOOKUP(INDIRECT(ADDRESS(2,COLUMN())),OFFSET($BN$2,0,0,ROW()-1,60),ROW()-1,FALSE))</f>
        <v/>
      </c>
      <c r="G102">
        <f ca="1">IF(AND(ISNUMBER($G$350),$B$258=1),$G$350,HLOOKUP(INDIRECT(ADDRESS(2,COLUMN())),OFFSET($BN$2,0,0,ROW()-1,60),ROW()-1,FALSE))</f>
        <v>182.60300000000001</v>
      </c>
      <c r="H102">
        <f ca="1">IF(AND(ISNUMBER($H$350),$B$258=1),$H$350,HLOOKUP(INDIRECT(ADDRESS(2,COLUMN())),OFFSET($BN$2,0,0,ROW()-1,60),ROW()-1,FALSE))</f>
        <v>202.40700000000001</v>
      </c>
      <c r="I102">
        <f ca="1">IF(AND(ISNUMBER($I$350),$B$258=1),$I$350,HLOOKUP(INDIRECT(ADDRESS(2,COLUMN())),OFFSET($BN$2,0,0,ROW()-1,60),ROW()-1,FALSE))</f>
        <v>200.15700000000001</v>
      </c>
      <c r="J102">
        <f ca="1">IF(AND(ISNUMBER($J$350),$B$258=1),$J$350,HLOOKUP(INDIRECT(ADDRESS(2,COLUMN())),OFFSET($BN$2,0,0,ROW()-1,60),ROW()-1,FALSE))</f>
        <v>221.358</v>
      </c>
      <c r="K102">
        <f ca="1">IF(AND(ISNUMBER($K$350),$B$258=1),$K$350,HLOOKUP(INDIRECT(ADDRESS(2,COLUMN())),OFFSET($BN$2,0,0,ROW()-1,60),ROW()-1,FALSE))</f>
        <v>251.251</v>
      </c>
      <c r="L102">
        <f ca="1">IF(AND(ISNUMBER($L$350),$B$258=1),$L$350,HLOOKUP(INDIRECT(ADDRESS(2,COLUMN())),OFFSET($BN$2,0,0,ROW()-1,60),ROW()-1,FALSE))</f>
        <v>319.916</v>
      </c>
      <c r="M102">
        <f ca="1">IF(AND(ISNUMBER($M$350),$B$258=1),$M$350,HLOOKUP(INDIRECT(ADDRESS(2,COLUMN())),OFFSET($BN$2,0,0,ROW()-1,60),ROW()-1,FALSE))</f>
        <v>340.88799999999998</v>
      </c>
      <c r="N102">
        <f ca="1">IF(AND(ISNUMBER($N$350),$B$258=1),$N$350,HLOOKUP(INDIRECT(ADDRESS(2,COLUMN())),OFFSET($BN$2,0,0,ROW()-1,60),ROW()-1,FALSE))</f>
        <v>312.62099999999998</v>
      </c>
      <c r="O102">
        <f ca="1">IF(AND(ISNUMBER($O$350),$B$258=1),$O$350,HLOOKUP(INDIRECT(ADDRESS(2,COLUMN())),OFFSET($BN$2,0,0,ROW()-1,60),ROW()-1,FALSE))</f>
        <v>313.58800000000002</v>
      </c>
      <c r="P102">
        <f ca="1">IF(AND(ISNUMBER($P$350),$B$258=1),$P$350,HLOOKUP(INDIRECT(ADDRESS(2,COLUMN())),OFFSET($BN$2,0,0,ROW()-1,60),ROW()-1,FALSE))</f>
        <v>312.31099999999998</v>
      </c>
      <c r="Q102">
        <f ca="1">IF(AND(ISNUMBER($Q$350),$B$258=1),$Q$350,HLOOKUP(INDIRECT(ADDRESS(2,COLUMN())),OFFSET($BN$2,0,0,ROW()-1,60),ROW()-1,FALSE))</f>
        <v>322.18200000000002</v>
      </c>
      <c r="R102">
        <f ca="1">IF(AND(ISNUMBER($R$350),$B$258=1),$R$350,HLOOKUP(INDIRECT(ADDRESS(2,COLUMN())),OFFSET($BN$2,0,0,ROW()-1,60),ROW()-1,FALSE))</f>
        <v>319.58100000000002</v>
      </c>
      <c r="S102">
        <f ca="1">IF(AND(ISNUMBER($S$350),$B$258=1),$S$350,HLOOKUP(INDIRECT(ADDRESS(2,COLUMN())),OFFSET($BN$2,0,0,ROW()-1,60),ROW()-1,FALSE))</f>
        <v>308.43599999999998</v>
      </c>
      <c r="T102">
        <f ca="1">IF(AND(ISNUMBER($T$350),$B$258=1),$T$350,HLOOKUP(INDIRECT(ADDRESS(2,COLUMN())),OFFSET($BN$2,0,0,ROW()-1,60),ROW()-1,FALSE))</f>
        <v>300.44299999999998</v>
      </c>
      <c r="U102">
        <f ca="1">IF(AND(ISNUMBER($U$350),$B$258=1),$U$350,HLOOKUP(INDIRECT(ADDRESS(2,COLUMN())),OFFSET($BN$2,0,0,ROW()-1,60),ROW()-1,FALSE))</f>
        <v>284.649</v>
      </c>
      <c r="V102">
        <f ca="1">IF(AND(ISNUMBER($V$350),$B$258=1),$V$350,HLOOKUP(INDIRECT(ADDRESS(2,COLUMN())),OFFSET($BN$2,0,0,ROW()-1,60),ROW()-1,FALSE))</f>
        <v>290.93599999999998</v>
      </c>
      <c r="W102">
        <f ca="1">IF(AND(ISNUMBER($W$350),$B$258=1),$W$350,HLOOKUP(INDIRECT(ADDRESS(2,COLUMN())),OFFSET($BN$2,0,0,ROW()-1,60),ROW()-1,FALSE))</f>
        <v>360.09399999999999</v>
      </c>
      <c r="X102">
        <f ca="1">IF(AND(ISNUMBER($X$350),$B$258=1),$X$350,HLOOKUP(INDIRECT(ADDRESS(2,COLUMN())),OFFSET($BN$2,0,0,ROW()-1,60),ROW()-1,FALSE))</f>
        <v>311.18099999999998</v>
      </c>
      <c r="Y102">
        <f ca="1">IF(AND(ISNUMBER($Y$350),$B$258=1),$Y$350,HLOOKUP(INDIRECT(ADDRESS(2,COLUMN())),OFFSET($BN$2,0,0,ROW()-1,60),ROW()-1,FALSE))</f>
        <v>287.71100000000001</v>
      </c>
      <c r="Z102">
        <f ca="1">IF(AND(ISNUMBER($Z$350),$B$258=1),$Z$350,HLOOKUP(INDIRECT(ADDRESS(2,COLUMN())),OFFSET($BN$2,0,0,ROW()-1,60),ROW()-1,FALSE))</f>
        <v>286.70999999999998</v>
      </c>
      <c r="AA102">
        <f ca="1">IF(AND(ISNUMBER($AA$350),$B$258=1),$AA$350,HLOOKUP(INDIRECT(ADDRESS(2,COLUMN())),OFFSET($BN$2,0,0,ROW()-1,60),ROW()-1,FALSE))</f>
        <v>257.47199999999998</v>
      </c>
      <c r="AB102">
        <f ca="1">IF(AND(ISNUMBER($AB$350),$B$258=1),$AB$350,HLOOKUP(INDIRECT(ADDRESS(2,COLUMN())),OFFSET($BN$2,0,0,ROW()-1,60),ROW()-1,FALSE))</f>
        <v>239.42699999999999</v>
      </c>
      <c r="AC102">
        <f ca="1">IF(AND(ISNUMBER($AC$350),$B$258=1),$AC$350,HLOOKUP(INDIRECT(ADDRESS(2,COLUMN())),OFFSET($BN$2,0,0,ROW()-1,60),ROW()-1,FALSE))</f>
        <v>237.97399999999999</v>
      </c>
      <c r="AD102">
        <f ca="1">IF(AND(ISNUMBER($AD$350),$B$258=1),$AD$350,HLOOKUP(INDIRECT(ADDRESS(2,COLUMN())),OFFSET($BN$2,0,0,ROW()-1,60),ROW()-1,FALSE))</f>
        <v>227.44499999999999</v>
      </c>
      <c r="AE102">
        <f ca="1">IF(AND(ISNUMBER($AE$350),$B$258=1),$AE$350,HLOOKUP(INDIRECT(ADDRESS(2,COLUMN())),OFFSET($BN$2,0,0,ROW()-1,60),ROW()-1,FALSE))</f>
        <v>202.89</v>
      </c>
      <c r="AF102">
        <f ca="1">IF(AND(ISNUMBER($AF$350),$B$258=1),$AF$350,HLOOKUP(INDIRECT(ADDRESS(2,COLUMN())),OFFSET($BN$2,0,0,ROW()-1,60),ROW()-1,FALSE))</f>
        <v>219.37299999999999</v>
      </c>
      <c r="AG102">
        <f ca="1">IF(AND(ISNUMBER($AG$350),$B$258=1),$AG$350,HLOOKUP(INDIRECT(ADDRESS(2,COLUMN())),OFFSET($BN$2,0,0,ROW()-1,60),ROW()-1,FALSE))</f>
        <v>266.26299999999998</v>
      </c>
      <c r="AH102">
        <f ca="1">IF(AND(ISNUMBER($AH$350),$B$258=1),$AH$350,HLOOKUP(INDIRECT(ADDRESS(2,COLUMN())),OFFSET($BN$2,0,0,ROW()-1,60),ROW()-1,FALSE))</f>
        <v>159.58500000000001</v>
      </c>
      <c r="AI102">
        <f ca="1">IF(AND(ISNUMBER($AI$350),$B$258=1),$AI$350,HLOOKUP(INDIRECT(ADDRESS(2,COLUMN())),OFFSET($BN$2,0,0,ROW()-1,60),ROW()-1,FALSE))</f>
        <v>174.279</v>
      </c>
      <c r="AJ102">
        <f ca="1">IF(AND(ISNUMBER($AJ$350),$B$258=1),$AJ$350,HLOOKUP(INDIRECT(ADDRESS(2,COLUMN())),OFFSET($BN$2,0,0,ROW()-1,60),ROW()-1,FALSE))</f>
        <v>139.33199999999999</v>
      </c>
      <c r="AK102">
        <f ca="1">IF(AND(ISNUMBER($AK$350),$B$258=1),$AK$350,HLOOKUP(INDIRECT(ADDRESS(2,COLUMN())),OFFSET($BN$2,0,0,ROW()-1,60),ROW()-1,FALSE))</f>
        <v>139.71100000000001</v>
      </c>
      <c r="AL102">
        <f ca="1">IF(AND(ISNUMBER($AL$350),$B$258=1),$AL$350,HLOOKUP(INDIRECT(ADDRESS(2,COLUMN())),OFFSET($BN$2,0,0,ROW()-1,60),ROW()-1,FALSE))</f>
        <v>143.233</v>
      </c>
      <c r="AM102">
        <f ca="1">IF(AND(ISNUMBER($AM$350),$B$258=1),$AM$350,HLOOKUP(INDIRECT(ADDRESS(2,COLUMN())),OFFSET($BN$2,0,0,ROW()-1,60),ROW()-1,FALSE))</f>
        <v>139.89699999999999</v>
      </c>
      <c r="AN102">
        <f ca="1">IF(AND(ISNUMBER($AN$350),$B$258=1),$AN$350,HLOOKUP(INDIRECT(ADDRESS(2,COLUMN())),OFFSET($BN$2,0,0,ROW()-1,60),ROW()-1,FALSE))</f>
        <v>247.56399999999999</v>
      </c>
      <c r="AO102">
        <f ca="1">IF(AND(ISNUMBER($AO$350),$B$258=1),$AO$350,HLOOKUP(INDIRECT(ADDRESS(2,COLUMN())),OFFSET($BN$2,0,0,ROW()-1,60),ROW()-1,FALSE))</f>
        <v>126.461</v>
      </c>
      <c r="AP102">
        <f ca="1">IF(AND(ISNUMBER($AP$350),$B$258=1),$AP$350,HLOOKUP(INDIRECT(ADDRESS(2,COLUMN())),OFFSET($BN$2,0,0,ROW()-1,60),ROW()-1,FALSE))</f>
        <v>116.569</v>
      </c>
      <c r="AQ102">
        <f ca="1">IF(AND(ISNUMBER($AQ$350),$B$258=1),$AQ$350,HLOOKUP(INDIRECT(ADDRESS(2,COLUMN())),OFFSET($BN$2,0,0,ROW()-1,60),ROW()-1,FALSE))</f>
        <v>100.15600000000001</v>
      </c>
      <c r="AR102">
        <f ca="1">IF(AND(ISNUMBER($AR$350),$B$258=1),$AR$350,HLOOKUP(INDIRECT(ADDRESS(2,COLUMN())),OFFSET($BN$2,0,0,ROW()-1,60),ROW()-1,FALSE))</f>
        <v>162.22999999999999</v>
      </c>
      <c r="AS102">
        <f ca="1">IF(AND(ISNUMBER($AS$350),$B$258=1),$AS$350,HLOOKUP(INDIRECT(ADDRESS(2,COLUMN())),OFFSET($BN$2,0,0,ROW()-1,60),ROW()-1,FALSE))</f>
        <v>112.33199999999999</v>
      </c>
      <c r="AT102">
        <f ca="1">IF(AND(ISNUMBER($AT$350),$B$258=1),$AT$350,HLOOKUP(INDIRECT(ADDRESS(2,COLUMN())),OFFSET($BN$2,0,0,ROW()-1,60),ROW()-1,FALSE))</f>
        <v>116.072</v>
      </c>
      <c r="AU102">
        <f ca="1">IF(AND(ISNUMBER($AU$350),$B$258=1),$AU$350,HLOOKUP(INDIRECT(ADDRESS(2,COLUMN())),OFFSET($BN$2,0,0,ROW()-1,60),ROW()-1,FALSE))</f>
        <v>95.573999999999998</v>
      </c>
      <c r="AV102">
        <f ca="1">IF(AND(ISNUMBER($AV$350),$B$258=1),$AV$350,HLOOKUP(INDIRECT(ADDRESS(2,COLUMN())),OFFSET($BN$2,0,0,ROW()-1,60),ROW()-1,FALSE))</f>
        <v>97.274000000000001</v>
      </c>
      <c r="AW102">
        <f ca="1">IF(AND(ISNUMBER($AW$350),$B$258=1),$AW$350,HLOOKUP(INDIRECT(ADDRESS(2,COLUMN())),OFFSET($BN$2,0,0,ROW()-1,60),ROW()-1,FALSE))</f>
        <v>102.41177999999999</v>
      </c>
      <c r="AX102">
        <f ca="1">IF(AND(ISNUMBER($AX$350),$B$258=1),$AX$350,HLOOKUP(INDIRECT(ADDRESS(2,COLUMN())),OFFSET($BN$2,0,0,ROW()-1,60),ROW()-1,FALSE))</f>
        <v>97.337999999999994</v>
      </c>
      <c r="AY102">
        <f ca="1">IF(AND(ISNUMBER($AY$350),$B$258=1),$AY$350,HLOOKUP(INDIRECT(ADDRESS(2,COLUMN())),OFFSET($BN$2,0,0,ROW()-1,60),ROW()-1,FALSE))</f>
        <v>83.147999999999996</v>
      </c>
      <c r="AZ102">
        <f ca="1">IF(AND(ISNUMBER($AZ$350),$B$258=1),$AZ$350,HLOOKUP(INDIRECT(ADDRESS(2,COLUMN())),OFFSET($BN$2,0,0,ROW()-1,60),ROW()-1,FALSE))</f>
        <v>68.039090000000002</v>
      </c>
      <c r="BA102">
        <f ca="1">IF(AND(ISNUMBER($BA$350),$B$258=1),$BA$350,HLOOKUP(INDIRECT(ADDRESS(2,COLUMN())),OFFSET($BN$2,0,0,ROW()-1,60),ROW()-1,FALSE))</f>
        <v>63.55</v>
      </c>
      <c r="BB102">
        <f ca="1">IF(AND(ISNUMBER($BB$350),$B$258=1),$BB$350,HLOOKUP(INDIRECT(ADDRESS(2,COLUMN())),OFFSET($BN$2,0,0,ROW()-1,60),ROW()-1,FALSE))</f>
        <v>65.289000000000001</v>
      </c>
      <c r="BC102">
        <f ca="1">IF(AND(ISNUMBER($BC$350),$B$258=1),$BC$350,HLOOKUP(INDIRECT(ADDRESS(2,COLUMN())),OFFSET($BN$2,0,0,ROW()-1,60),ROW()-1,FALSE))</f>
        <v>68.177000000000007</v>
      </c>
      <c r="BD102">
        <f ca="1">IF(AND(ISNUMBER($BD$350),$B$258=1),$BD$350,HLOOKUP(INDIRECT(ADDRESS(2,COLUMN())),OFFSET($BN$2,0,0,ROW()-1,60),ROW()-1,FALSE))</f>
        <v>68.766999999999996</v>
      </c>
      <c r="BE102">
        <f ca="1">IF(AND(ISNUMBER($BE$350),$B$258=1),$BE$350,HLOOKUP(INDIRECT(ADDRESS(2,COLUMN())),OFFSET($BN$2,0,0,ROW()-1,60),ROW()-1,FALSE))</f>
        <v>5.38</v>
      </c>
      <c r="BF102">
        <f ca="1">IF(AND(ISNUMBER($BF$350),$B$258=1),$BF$350,HLOOKUP(INDIRECT(ADDRESS(2,COLUMN())),OFFSET($BN$2,0,0,ROW()-1,60),ROW()-1,FALSE))</f>
        <v>61.033999999999999</v>
      </c>
      <c r="BG102">
        <f ca="1">IF(AND(ISNUMBER($BG$350),$B$258=1),$BG$350,HLOOKUP(INDIRECT(ADDRESS(2,COLUMN())),OFFSET($BN$2,0,0,ROW()-1,60),ROW()-1,FALSE))</f>
        <v>62.793999999999997</v>
      </c>
      <c r="BH102">
        <f ca="1">IF(AND(ISNUMBER($BH$350),$B$258=1),$BH$350,HLOOKUP(INDIRECT(ADDRESS(2,COLUMN())),OFFSET($BN$2,0,0,ROW()-1,60),ROW()-1,FALSE))</f>
        <v>-111.976</v>
      </c>
      <c r="BI102" t="str">
        <f ca="1">IF(AND(ISNUMBER($BI$350),$B$258=1),$BI$350,HLOOKUP(INDIRECT(ADDRESS(2,COLUMN())),OFFSET($BN$2,0,0,ROW()-1,60),ROW()-1,FALSE))</f>
        <v/>
      </c>
      <c r="BJ102" t="str">
        <f ca="1">IF(AND(ISNUMBER($BJ$350),$B$258=1),$BJ$350,HLOOKUP(INDIRECT(ADDRESS(2,COLUMN())),OFFSET($BN$2,0,0,ROW()-1,60),ROW()-1,FALSE))</f>
        <v/>
      </c>
      <c r="BK102">
        <f ca="1">IF(AND(ISNUMBER($BK$350),$B$258=1),$BK$350,HLOOKUP(INDIRECT(ADDRESS(2,COLUMN())),OFFSET($BN$2,0,0,ROW()-1,60),ROW()-1,FALSE))</f>
        <v>64.463997000000006</v>
      </c>
      <c r="BL102">
        <f ca="1">IF(AND(ISNUMBER($BL$350),$B$258=1),$BL$350,HLOOKUP(INDIRECT(ADDRESS(2,COLUMN())),OFFSET($BN$2,0,0,ROW()-1,60),ROW()-1,FALSE))</f>
        <v>-93.093999999999994</v>
      </c>
      <c r="BM102">
        <f ca="1">IF(AND(ISNUMBER($BM$350),$B$258=1),$BM$350,HLOOKUP(INDIRECT(ADDRESS(2,COLUMN())),OFFSET($BN$2,0,0,ROW()-1,60),ROW()-1,FALSE))</f>
        <v>44.088000000000001</v>
      </c>
      <c r="BN102" t="str">
        <f>""</f>
        <v/>
      </c>
      <c r="BO102">
        <f>182.603</f>
        <v>182.60300000000001</v>
      </c>
      <c r="BP102">
        <f>202.407</f>
        <v>202.40700000000001</v>
      </c>
      <c r="BQ102">
        <f>200.157</f>
        <v>200.15700000000001</v>
      </c>
      <c r="BR102">
        <f>221.358</f>
        <v>221.358</v>
      </c>
      <c r="BS102">
        <f>251.251</f>
        <v>251.251</v>
      </c>
      <c r="BT102">
        <f>319.916</f>
        <v>319.916</v>
      </c>
      <c r="BU102">
        <f>340.888</f>
        <v>340.88799999999998</v>
      </c>
      <c r="BV102">
        <f>312.621</f>
        <v>312.62099999999998</v>
      </c>
      <c r="BW102">
        <f>313.588</f>
        <v>313.58800000000002</v>
      </c>
      <c r="BX102">
        <f>312.311</f>
        <v>312.31099999999998</v>
      </c>
      <c r="BY102">
        <f>322.182</f>
        <v>322.18200000000002</v>
      </c>
      <c r="BZ102">
        <f>319.581</f>
        <v>319.58100000000002</v>
      </c>
      <c r="CA102">
        <f>308.436</f>
        <v>308.43599999999998</v>
      </c>
      <c r="CB102">
        <f>300.443</f>
        <v>300.44299999999998</v>
      </c>
      <c r="CC102">
        <f>284.649</f>
        <v>284.649</v>
      </c>
      <c r="CD102">
        <f>290.936</f>
        <v>290.93599999999998</v>
      </c>
      <c r="CE102">
        <f>360.094</f>
        <v>360.09399999999999</v>
      </c>
      <c r="CF102">
        <f>311.181</f>
        <v>311.18099999999998</v>
      </c>
      <c r="CG102">
        <f>287.711</f>
        <v>287.71100000000001</v>
      </c>
      <c r="CH102">
        <f>286.71</f>
        <v>286.70999999999998</v>
      </c>
      <c r="CI102">
        <f>257.472</f>
        <v>257.47199999999998</v>
      </c>
      <c r="CJ102">
        <f>239.427</f>
        <v>239.42699999999999</v>
      </c>
      <c r="CK102">
        <f>237.974</f>
        <v>237.97399999999999</v>
      </c>
      <c r="CL102">
        <f>227.445</f>
        <v>227.44499999999999</v>
      </c>
      <c r="CM102">
        <f>202.89</f>
        <v>202.89</v>
      </c>
      <c r="CN102">
        <f>219.373</f>
        <v>219.37299999999999</v>
      </c>
      <c r="CO102">
        <f>266.263</f>
        <v>266.26299999999998</v>
      </c>
      <c r="CP102">
        <f>159.585</f>
        <v>159.58500000000001</v>
      </c>
      <c r="CQ102">
        <f>174.279</f>
        <v>174.279</v>
      </c>
      <c r="CR102">
        <f>139.332</f>
        <v>139.33199999999999</v>
      </c>
      <c r="CS102">
        <f>139.711</f>
        <v>139.71100000000001</v>
      </c>
      <c r="CT102">
        <f>143.233</f>
        <v>143.233</v>
      </c>
      <c r="CU102">
        <f>139.897</f>
        <v>139.89699999999999</v>
      </c>
      <c r="CV102">
        <f>247.564</f>
        <v>247.56399999999999</v>
      </c>
      <c r="CW102">
        <f>126.461</f>
        <v>126.461</v>
      </c>
      <c r="CX102">
        <f>116.569</f>
        <v>116.569</v>
      </c>
      <c r="CY102">
        <f>100.156</f>
        <v>100.15600000000001</v>
      </c>
      <c r="CZ102">
        <f>162.23</f>
        <v>162.22999999999999</v>
      </c>
      <c r="DA102">
        <f>112.332</f>
        <v>112.33199999999999</v>
      </c>
      <c r="DB102">
        <f>116.072</f>
        <v>116.072</v>
      </c>
      <c r="DC102">
        <f>95.574</f>
        <v>95.573999999999998</v>
      </c>
      <c r="DD102">
        <f>97.274</f>
        <v>97.274000000000001</v>
      </c>
      <c r="DE102">
        <f>102.41178</f>
        <v>102.41177999999999</v>
      </c>
      <c r="DF102">
        <f>97.338</f>
        <v>97.337999999999994</v>
      </c>
      <c r="DG102">
        <f>83.148</f>
        <v>83.147999999999996</v>
      </c>
      <c r="DH102">
        <f>68.03909</f>
        <v>68.039090000000002</v>
      </c>
      <c r="DI102">
        <f>63.55</f>
        <v>63.55</v>
      </c>
      <c r="DJ102">
        <f>65.289</f>
        <v>65.289000000000001</v>
      </c>
      <c r="DK102">
        <f>68.177</f>
        <v>68.177000000000007</v>
      </c>
      <c r="DL102">
        <f>68.767</f>
        <v>68.766999999999996</v>
      </c>
      <c r="DM102">
        <f>5.38</f>
        <v>5.38</v>
      </c>
      <c r="DN102">
        <f>61.034</f>
        <v>61.033999999999999</v>
      </c>
      <c r="DO102">
        <f>62.794</f>
        <v>62.793999999999997</v>
      </c>
      <c r="DP102">
        <f>-111.976</f>
        <v>-111.976</v>
      </c>
      <c r="DQ102" t="str">
        <f>""</f>
        <v/>
      </c>
      <c r="DR102" t="str">
        <f>""</f>
        <v/>
      </c>
      <c r="DS102">
        <f>64.463997</f>
        <v>64.463997000000006</v>
      </c>
      <c r="DT102">
        <f>-93.094</f>
        <v>-93.093999999999994</v>
      </c>
      <c r="DU102">
        <f>44.088</f>
        <v>44.088000000000001</v>
      </c>
    </row>
    <row r="103" spans="1:125">
      <c r="A103" t="str">
        <f>"    Healthcare Realty Trust Inc"</f>
        <v xml:space="preserve">    Healthcare Realty Trust Inc</v>
      </c>
      <c r="B103" t="str">
        <f>"HR US Equity"</f>
        <v>HR US Equity</v>
      </c>
      <c r="C103" t="str">
        <f t="shared" si="24"/>
        <v>F0578</v>
      </c>
      <c r="D103" t="str">
        <f t="shared" si="25"/>
        <v>FUNDS_AVAILABLE_FOR_DISTRIBUTION</v>
      </c>
      <c r="E103" t="str">
        <f t="shared" si="26"/>
        <v>动态</v>
      </c>
      <c r="F103" t="str">
        <f ca="1">IF(AND(ISNUMBER($F$351),$B$258=1),$F$351,HLOOKUP(INDIRECT(ADDRESS(2,COLUMN())),OFFSET($BN$2,0,0,ROW()-1,60),ROW()-1,FALSE))</f>
        <v/>
      </c>
      <c r="G103">
        <f ca="1">IF(AND(ISNUMBER($G$351),$B$258=1),$G$351,HLOOKUP(INDIRECT(ADDRESS(2,COLUMN())),OFFSET($BN$2,0,0,ROW()-1,60),ROW()-1,FALSE))</f>
        <v>34.509</v>
      </c>
      <c r="H103">
        <f ca="1">IF(AND(ISNUMBER($H$351),$B$258=1),$H$351,HLOOKUP(INDIRECT(ADDRESS(2,COLUMN())),OFFSET($BN$2,0,0,ROW()-1,60),ROW()-1,FALSE))</f>
        <v>37.378999999999998</v>
      </c>
      <c r="I103">
        <f ca="1">IF(AND(ISNUMBER($I$351),$B$258=1),$I$351,HLOOKUP(INDIRECT(ADDRESS(2,COLUMN())),OFFSET($BN$2,0,0,ROW()-1,60),ROW()-1,FALSE))</f>
        <v>37.454000000000001</v>
      </c>
      <c r="J103">
        <f ca="1">IF(AND(ISNUMBER($J$351),$B$258=1),$J$351,HLOOKUP(INDIRECT(ADDRESS(2,COLUMN())),OFFSET($BN$2,0,0,ROW()-1,60),ROW()-1,FALSE))</f>
        <v>37.984000000000002</v>
      </c>
      <c r="K103">
        <f ca="1">IF(AND(ISNUMBER($K$351),$B$258=1),$K$351,HLOOKUP(INDIRECT(ADDRESS(2,COLUMN())),OFFSET($BN$2,0,0,ROW()-1,60),ROW()-1,FALSE))</f>
        <v>37.264000000000003</v>
      </c>
      <c r="L103">
        <f ca="1">IF(AND(ISNUMBER($L$351),$B$258=1),$L$351,HLOOKUP(INDIRECT(ADDRESS(2,COLUMN())),OFFSET($BN$2,0,0,ROW()-1,60),ROW()-1,FALSE))</f>
        <v>45.121000000000002</v>
      </c>
      <c r="M103">
        <f ca="1">IF(AND(ISNUMBER($M$351),$B$258=1),$M$351,HLOOKUP(INDIRECT(ADDRESS(2,COLUMN())),OFFSET($BN$2,0,0,ROW()-1,60),ROW()-1,FALSE))</f>
        <v>44.088999999999999</v>
      </c>
      <c r="N103">
        <f ca="1">IF(AND(ISNUMBER($N$351),$B$258=1),$N$351,HLOOKUP(INDIRECT(ADDRESS(2,COLUMN())),OFFSET($BN$2,0,0,ROW()-1,60),ROW()-1,FALSE))</f>
        <v>41.662999999999997</v>
      </c>
      <c r="O103">
        <f ca="1">IF(AND(ISNUMBER($O$351),$B$258=1),$O$351,HLOOKUP(INDIRECT(ADDRESS(2,COLUMN())),OFFSET($BN$2,0,0,ROW()-1,60),ROW()-1,FALSE))</f>
        <v>34.527000000000001</v>
      </c>
      <c r="P103">
        <f ca="1">IF(AND(ISNUMBER($P$351),$B$258=1),$P$351,HLOOKUP(INDIRECT(ADDRESS(2,COLUMN())),OFFSET($BN$2,0,0,ROW()-1,60),ROW()-1,FALSE))</f>
        <v>40.741999999999997</v>
      </c>
      <c r="Q103">
        <f ca="1">IF(AND(ISNUMBER($Q$351),$B$258=1),$Q$351,HLOOKUP(INDIRECT(ADDRESS(2,COLUMN())),OFFSET($BN$2,0,0,ROW()-1,60),ROW()-1,FALSE))</f>
        <v>38.988</v>
      </c>
      <c r="R103">
        <f ca="1">IF(AND(ISNUMBER($R$351),$B$258=1),$R$351,HLOOKUP(INDIRECT(ADDRESS(2,COLUMN())),OFFSET($BN$2,0,0,ROW()-1,60),ROW()-1,FALSE))</f>
        <v>38.259</v>
      </c>
      <c r="S103">
        <f ca="1">IF(AND(ISNUMBER($S$351),$B$258=1),$S$351,HLOOKUP(INDIRECT(ADDRESS(2,COLUMN())),OFFSET($BN$2,0,0,ROW()-1,60),ROW()-1,FALSE))</f>
        <v>38.444000000000003</v>
      </c>
      <c r="T103">
        <f ca="1">IF(AND(ISNUMBER($T$351),$B$258=1),$T$351,HLOOKUP(INDIRECT(ADDRESS(2,COLUMN())),OFFSET($BN$2,0,0,ROW()-1,60),ROW()-1,FALSE))</f>
        <v>36.689</v>
      </c>
      <c r="U103">
        <f ca="1">IF(AND(ISNUMBER($U$351),$B$258=1),$U$351,HLOOKUP(INDIRECT(ADDRESS(2,COLUMN())),OFFSET($BN$2,0,0,ROW()-1,60),ROW()-1,FALSE))</f>
        <v>34.22</v>
      </c>
      <c r="V103">
        <f ca="1">IF(AND(ISNUMBER($V$351),$B$258=1),$V$351,HLOOKUP(INDIRECT(ADDRESS(2,COLUMN())),OFFSET($BN$2,0,0,ROW()-1,60),ROW()-1,FALSE))</f>
        <v>33.524999999999999</v>
      </c>
      <c r="W103">
        <f ca="1">IF(AND(ISNUMBER($W$351),$B$258=1),$W$351,HLOOKUP(INDIRECT(ADDRESS(2,COLUMN())),OFFSET($BN$2,0,0,ROW()-1,60),ROW()-1,FALSE))</f>
        <v>32.920999999999999</v>
      </c>
      <c r="X103">
        <f ca="1">IF(AND(ISNUMBER($X$351),$B$258=1),$X$351,HLOOKUP(INDIRECT(ADDRESS(2,COLUMN())),OFFSET($BN$2,0,0,ROW()-1,60),ROW()-1,FALSE))</f>
        <v>30.555</v>
      </c>
      <c r="Y103">
        <f ca="1">IF(AND(ISNUMBER($Y$351),$B$258=1),$Y$351,HLOOKUP(INDIRECT(ADDRESS(2,COLUMN())),OFFSET($BN$2,0,0,ROW()-1,60),ROW()-1,FALSE))</f>
        <v>28.149000000000001</v>
      </c>
      <c r="Z103">
        <f ca="1">IF(AND(ISNUMBER($Z$351),$B$258=1),$Z$351,HLOOKUP(INDIRECT(ADDRESS(2,COLUMN())),OFFSET($BN$2,0,0,ROW()-1,60),ROW()-1,FALSE))</f>
        <v>29.704999999999998</v>
      </c>
      <c r="AA103">
        <f ca="1">IF(AND(ISNUMBER($AA$351),$B$258=1),$AA$351,HLOOKUP(INDIRECT(ADDRESS(2,COLUMN())),OFFSET($BN$2,0,0,ROW()-1,60),ROW()-1,FALSE))</f>
        <v>28.856999999999999</v>
      </c>
      <c r="AB103">
        <f ca="1">IF(AND(ISNUMBER($AB$351),$B$258=1),$AB$351,HLOOKUP(INDIRECT(ADDRESS(2,COLUMN())),OFFSET($BN$2,0,0,ROW()-1,60),ROW()-1,FALSE))</f>
        <v>26.681000000000001</v>
      </c>
      <c r="AC103">
        <f ca="1">IF(AND(ISNUMBER($AC$351),$B$258=1),$AC$351,HLOOKUP(INDIRECT(ADDRESS(2,COLUMN())),OFFSET($BN$2,0,0,ROW()-1,60),ROW()-1,FALSE))</f>
        <v>27.474</v>
      </c>
      <c r="AD103">
        <f ca="1">IF(AND(ISNUMBER($AD$351),$B$258=1),$AD$351,HLOOKUP(INDIRECT(ADDRESS(2,COLUMN())),OFFSET($BN$2,0,0,ROW()-1,60),ROW()-1,FALSE))</f>
        <v>28.344999999999999</v>
      </c>
      <c r="AE103">
        <f ca="1">IF(AND(ISNUMBER($AE$351),$B$258=1),$AE$351,HLOOKUP(INDIRECT(ADDRESS(2,COLUMN())),OFFSET($BN$2,0,0,ROW()-1,60),ROW()-1,FALSE))</f>
        <v>25.984999999999999</v>
      </c>
      <c r="AF103">
        <f ca="1">IF(AND(ISNUMBER($AF$351),$B$258=1),$AF$351,HLOOKUP(INDIRECT(ADDRESS(2,COLUMN())),OFFSET($BN$2,0,0,ROW()-1,60),ROW()-1,FALSE))</f>
        <v>23.22</v>
      </c>
      <c r="AG103">
        <f ca="1">IF(AND(ISNUMBER($AG$351),$B$258=1),$AG$351,HLOOKUP(INDIRECT(ADDRESS(2,COLUMN())),OFFSET($BN$2,0,0,ROW()-1,60),ROW()-1,FALSE))</f>
        <v>23.082000000000001</v>
      </c>
      <c r="AH103">
        <f ca="1">IF(AND(ISNUMBER($AH$351),$B$258=1),$AH$351,HLOOKUP(INDIRECT(ADDRESS(2,COLUMN())),OFFSET($BN$2,0,0,ROW()-1,60),ROW()-1,FALSE))</f>
        <v>15.317</v>
      </c>
      <c r="AI103">
        <f ca="1">IF(AND(ISNUMBER($AI$351),$B$258=1),$AI$351,HLOOKUP(INDIRECT(ADDRESS(2,COLUMN())),OFFSET($BN$2,0,0,ROW()-1,60),ROW()-1,FALSE))</f>
        <v>19.939</v>
      </c>
      <c r="AJ103">
        <f ca="1">IF(AND(ISNUMBER($AJ$351),$B$258=1),$AJ$351,HLOOKUP(INDIRECT(ADDRESS(2,COLUMN())),OFFSET($BN$2,0,0,ROW()-1,60),ROW()-1,FALSE))</f>
        <v>12.519</v>
      </c>
      <c r="AK103">
        <f ca="1">IF(AND(ISNUMBER($AK$351),$B$258=1),$AK$351,HLOOKUP(INDIRECT(ADDRESS(2,COLUMN())),OFFSET($BN$2,0,0,ROW()-1,60),ROW()-1,FALSE))</f>
        <v>22.95</v>
      </c>
      <c r="AL103">
        <f ca="1">IF(AND(ISNUMBER($AL$351),$B$258=1),$AL$351,HLOOKUP(INDIRECT(ADDRESS(2,COLUMN())),OFFSET($BN$2,0,0,ROW()-1,60),ROW()-1,FALSE))</f>
        <v>20.465</v>
      </c>
      <c r="AM103">
        <f ca="1">IF(AND(ISNUMBER($AM$351),$B$258=1),$AM$351,HLOOKUP(INDIRECT(ADDRESS(2,COLUMN())),OFFSET($BN$2,0,0,ROW()-1,60),ROW()-1,FALSE))</f>
        <v>21.334</v>
      </c>
      <c r="AN103">
        <f ca="1">IF(AND(ISNUMBER($AN$351),$B$258=1),$AN$351,HLOOKUP(INDIRECT(ADDRESS(2,COLUMN())),OFFSET($BN$2,0,0,ROW()-1,60),ROW()-1,FALSE))</f>
        <v>26.806000000000001</v>
      </c>
      <c r="AO103">
        <f ca="1">IF(AND(ISNUMBER($AO$351),$B$258=1),$AO$351,HLOOKUP(INDIRECT(ADDRESS(2,COLUMN())),OFFSET($BN$2,0,0,ROW()-1,60),ROW()-1,FALSE))</f>
        <v>27.024999999999999</v>
      </c>
      <c r="AP103">
        <f ca="1">IF(AND(ISNUMBER($AP$351),$B$258=1),$AP$351,HLOOKUP(INDIRECT(ADDRESS(2,COLUMN())),OFFSET($BN$2,0,0,ROW()-1,60),ROW()-1,FALSE))</f>
        <v>23.725999999999999</v>
      </c>
      <c r="AQ103">
        <f ca="1">IF(AND(ISNUMBER($AQ$351),$B$258=1),$AQ$351,HLOOKUP(INDIRECT(ADDRESS(2,COLUMN())),OFFSET($BN$2,0,0,ROW()-1,60),ROW()-1,FALSE))</f>
        <v>28.966000000000001</v>
      </c>
      <c r="AR103">
        <f ca="1">IF(AND(ISNUMBER($AR$351),$B$258=1),$AR$351,HLOOKUP(INDIRECT(ADDRESS(2,COLUMN())),OFFSET($BN$2,0,0,ROW()-1,60),ROW()-1,FALSE))</f>
        <v>20.991</v>
      </c>
      <c r="AS103">
        <f ca="1">IF(AND(ISNUMBER($AS$351),$B$258=1),$AS$351,HLOOKUP(INDIRECT(ADDRESS(2,COLUMN())),OFFSET($BN$2,0,0,ROW()-1,60),ROW()-1,FALSE))</f>
        <v>20.617999999999999</v>
      </c>
      <c r="AT103">
        <f ca="1">IF(AND(ISNUMBER($AT$351),$B$258=1),$AT$351,HLOOKUP(INDIRECT(ADDRESS(2,COLUMN())),OFFSET($BN$2,0,0,ROW()-1,60),ROW()-1,FALSE))</f>
        <v>21.172999999999998</v>
      </c>
      <c r="AU103">
        <f ca="1">IF(AND(ISNUMBER($AU$351),$B$258=1),$AU$351,HLOOKUP(INDIRECT(ADDRESS(2,COLUMN())),OFFSET($BN$2,0,0,ROW()-1,60),ROW()-1,FALSE))</f>
        <v>20.472999999999999</v>
      </c>
      <c r="AV103">
        <f ca="1">IF(AND(ISNUMBER($AV$351),$B$258=1),$AV$351,HLOOKUP(INDIRECT(ADDRESS(2,COLUMN())),OFFSET($BN$2,0,0,ROW()-1,60),ROW()-1,FALSE))</f>
        <v>19.559999999999999</v>
      </c>
      <c r="AW103">
        <f ca="1">IF(AND(ISNUMBER($AW$351),$B$258=1),$AW$351,HLOOKUP(INDIRECT(ADDRESS(2,COLUMN())),OFFSET($BN$2,0,0,ROW()-1,60),ROW()-1,FALSE))</f>
        <v>20.097999999999999</v>
      </c>
      <c r="AX103">
        <f ca="1">IF(AND(ISNUMBER($AX$351),$B$258=1),$AX$351,HLOOKUP(INDIRECT(ADDRESS(2,COLUMN())),OFFSET($BN$2,0,0,ROW()-1,60),ROW()-1,FALSE))</f>
        <v>25.623999999999999</v>
      </c>
      <c r="AY103">
        <f ca="1">IF(AND(ISNUMBER($AY$351),$B$258=1),$AY$351,HLOOKUP(INDIRECT(ADDRESS(2,COLUMN())),OFFSET($BN$2,0,0,ROW()-1,60),ROW()-1,FALSE))</f>
        <v>27.548999999999999</v>
      </c>
      <c r="AZ103">
        <f ca="1">IF(AND(ISNUMBER($AZ$351),$B$258=1),$AZ$351,HLOOKUP(INDIRECT(ADDRESS(2,COLUMN())),OFFSET($BN$2,0,0,ROW()-1,60),ROW()-1,FALSE))</f>
        <v>28.004000000000001</v>
      </c>
      <c r="BA103">
        <f ca="1">IF(AND(ISNUMBER($BA$351),$B$258=1),$BA$351,HLOOKUP(INDIRECT(ADDRESS(2,COLUMN())),OFFSET($BN$2,0,0,ROW()-1,60),ROW()-1,FALSE))</f>
        <v>27.65</v>
      </c>
      <c r="BB103">
        <f ca="1">IF(AND(ISNUMBER($BB$351),$B$258=1),$BB$351,HLOOKUP(INDIRECT(ADDRESS(2,COLUMN())),OFFSET($BN$2,0,0,ROW()-1,60),ROW()-1,FALSE))</f>
        <v>25.905000000000001</v>
      </c>
      <c r="BC103">
        <f ca="1">IF(AND(ISNUMBER($BC$351),$B$258=1),$BC$351,HLOOKUP(INDIRECT(ADDRESS(2,COLUMN())),OFFSET($BN$2,0,0,ROW()-1,60),ROW()-1,FALSE))</f>
        <v>26.722000000000001</v>
      </c>
      <c r="BD103">
        <f ca="1">IF(AND(ISNUMBER($BD$351),$B$258=1),$BD$351,HLOOKUP(INDIRECT(ADDRESS(2,COLUMN())),OFFSET($BN$2,0,0,ROW()-1,60),ROW()-1,FALSE))</f>
        <v>26.56</v>
      </c>
      <c r="BE103">
        <f ca="1">IF(AND(ISNUMBER($BE$351),$B$258=1),$BE$351,HLOOKUP(INDIRECT(ADDRESS(2,COLUMN())),OFFSET($BN$2,0,0,ROW()-1,60),ROW()-1,FALSE))</f>
        <v>25.251999999999999</v>
      </c>
      <c r="BF103">
        <f ca="1">IF(AND(ISNUMBER($BF$351),$B$258=1),$BF$351,HLOOKUP(INDIRECT(ADDRESS(2,COLUMN())),OFFSET($BN$2,0,0,ROW()-1,60),ROW()-1,FALSE))</f>
        <v>29.408999999999999</v>
      </c>
      <c r="BG103">
        <f ca="1">IF(AND(ISNUMBER($BG$351),$B$258=1),$BG$351,HLOOKUP(INDIRECT(ADDRESS(2,COLUMN())),OFFSET($BN$2,0,0,ROW()-1,60),ROW()-1,FALSE))</f>
        <v>20.742000000000001</v>
      </c>
      <c r="BH103">
        <f ca="1">IF(AND(ISNUMBER($BH$351),$B$258=1),$BH$351,HLOOKUP(INDIRECT(ADDRESS(2,COLUMN())),OFFSET($BN$2,0,0,ROW()-1,60),ROW()-1,FALSE))</f>
        <v>29.675000000000001</v>
      </c>
      <c r="BI103">
        <f ca="1">IF(AND(ISNUMBER($BI$351),$B$258=1),$BI$351,HLOOKUP(INDIRECT(ADDRESS(2,COLUMN())),OFFSET($BN$2,0,0,ROW()-1,60),ROW()-1,FALSE))</f>
        <v>27.635999999999999</v>
      </c>
      <c r="BJ103">
        <f ca="1">IF(AND(ISNUMBER($BJ$351),$B$258=1),$BJ$351,HLOOKUP(INDIRECT(ADDRESS(2,COLUMN())),OFFSET($BN$2,0,0,ROW()-1,60),ROW()-1,FALSE))</f>
        <v>26.055</v>
      </c>
      <c r="BK103">
        <f ca="1">IF(AND(ISNUMBER($BK$351),$B$258=1),$BK$351,HLOOKUP(INDIRECT(ADDRESS(2,COLUMN())),OFFSET($BN$2,0,0,ROW()-1,60),ROW()-1,FALSE))</f>
        <v>18.768000000000001</v>
      </c>
      <c r="BL103">
        <f ca="1">IF(AND(ISNUMBER($BL$351),$B$258=1),$BL$351,HLOOKUP(INDIRECT(ADDRESS(2,COLUMN())),OFFSET($BN$2,0,0,ROW()-1,60),ROW()-1,FALSE))</f>
        <v>28.218000409999998</v>
      </c>
      <c r="BM103">
        <f ca="1">IF(AND(ISNUMBER($BM$351),$B$258=1),$BM$351,HLOOKUP(INDIRECT(ADDRESS(2,COLUMN())),OFFSET($BN$2,0,0,ROW()-1,60),ROW()-1,FALSE))</f>
        <v>28.18300056</v>
      </c>
      <c r="BN103" t="str">
        <f>""</f>
        <v/>
      </c>
      <c r="BO103">
        <f>34.509</f>
        <v>34.509</v>
      </c>
      <c r="BP103">
        <f>37.379</f>
        <v>37.378999999999998</v>
      </c>
      <c r="BQ103">
        <f>37.454</f>
        <v>37.454000000000001</v>
      </c>
      <c r="BR103">
        <f>37.984</f>
        <v>37.984000000000002</v>
      </c>
      <c r="BS103">
        <f>37.264</f>
        <v>37.264000000000003</v>
      </c>
      <c r="BT103">
        <f>45.121</f>
        <v>45.121000000000002</v>
      </c>
      <c r="BU103">
        <f>44.089</f>
        <v>44.088999999999999</v>
      </c>
      <c r="BV103">
        <f>41.663</f>
        <v>41.662999999999997</v>
      </c>
      <c r="BW103">
        <f>34.527</f>
        <v>34.527000000000001</v>
      </c>
      <c r="BX103">
        <f>40.742</f>
        <v>40.741999999999997</v>
      </c>
      <c r="BY103">
        <f>38.988</f>
        <v>38.988</v>
      </c>
      <c r="BZ103">
        <f>38.259</f>
        <v>38.259</v>
      </c>
      <c r="CA103">
        <f>38.444</f>
        <v>38.444000000000003</v>
      </c>
      <c r="CB103">
        <f>36.689</f>
        <v>36.689</v>
      </c>
      <c r="CC103">
        <f>34.22</f>
        <v>34.22</v>
      </c>
      <c r="CD103">
        <f>33.525</f>
        <v>33.524999999999999</v>
      </c>
      <c r="CE103">
        <f>32.921</f>
        <v>32.920999999999999</v>
      </c>
      <c r="CF103">
        <f>30.555</f>
        <v>30.555</v>
      </c>
      <c r="CG103">
        <f>28.149</f>
        <v>28.149000000000001</v>
      </c>
      <c r="CH103">
        <f>29.705</f>
        <v>29.704999999999998</v>
      </c>
      <c r="CI103">
        <f>28.857</f>
        <v>28.856999999999999</v>
      </c>
      <c r="CJ103">
        <f>26.681</f>
        <v>26.681000000000001</v>
      </c>
      <c r="CK103">
        <f>27.474</f>
        <v>27.474</v>
      </c>
      <c r="CL103">
        <f>28.345</f>
        <v>28.344999999999999</v>
      </c>
      <c r="CM103">
        <f>25.985</f>
        <v>25.984999999999999</v>
      </c>
      <c r="CN103">
        <f>23.22</f>
        <v>23.22</v>
      </c>
      <c r="CO103">
        <f>23.082</f>
        <v>23.082000000000001</v>
      </c>
      <c r="CP103">
        <f>15.317</f>
        <v>15.317</v>
      </c>
      <c r="CQ103">
        <f>19.939</f>
        <v>19.939</v>
      </c>
      <c r="CR103">
        <f>12.519</f>
        <v>12.519</v>
      </c>
      <c r="CS103">
        <f>22.95</f>
        <v>22.95</v>
      </c>
      <c r="CT103">
        <f>20.465</f>
        <v>20.465</v>
      </c>
      <c r="CU103">
        <f>21.334</f>
        <v>21.334</v>
      </c>
      <c r="CV103">
        <f>26.806</f>
        <v>26.806000000000001</v>
      </c>
      <c r="CW103">
        <f>27.025</f>
        <v>27.024999999999999</v>
      </c>
      <c r="CX103">
        <f>23.726</f>
        <v>23.725999999999999</v>
      </c>
      <c r="CY103">
        <f>28.966</f>
        <v>28.966000000000001</v>
      </c>
      <c r="CZ103">
        <f>20.991</f>
        <v>20.991</v>
      </c>
      <c r="DA103">
        <f>20.618</f>
        <v>20.617999999999999</v>
      </c>
      <c r="DB103">
        <f>21.173</f>
        <v>21.172999999999998</v>
      </c>
      <c r="DC103">
        <f>20.473</f>
        <v>20.472999999999999</v>
      </c>
      <c r="DD103">
        <f>19.56</f>
        <v>19.559999999999999</v>
      </c>
      <c r="DE103">
        <f>20.098</f>
        <v>20.097999999999999</v>
      </c>
      <c r="DF103">
        <f>25.624</f>
        <v>25.623999999999999</v>
      </c>
      <c r="DG103">
        <f>27.549</f>
        <v>27.548999999999999</v>
      </c>
      <c r="DH103">
        <f>28.004</f>
        <v>28.004000000000001</v>
      </c>
      <c r="DI103">
        <f>27.65</f>
        <v>27.65</v>
      </c>
      <c r="DJ103">
        <f>25.905</f>
        <v>25.905000000000001</v>
      </c>
      <c r="DK103">
        <f>26.722</f>
        <v>26.722000000000001</v>
      </c>
      <c r="DL103">
        <f>26.56</f>
        <v>26.56</v>
      </c>
      <c r="DM103">
        <f>25.252</f>
        <v>25.251999999999999</v>
      </c>
      <c r="DN103">
        <f>29.409</f>
        <v>29.408999999999999</v>
      </c>
      <c r="DO103">
        <f>20.742</f>
        <v>20.742000000000001</v>
      </c>
      <c r="DP103">
        <f>29.675</f>
        <v>29.675000000000001</v>
      </c>
      <c r="DQ103">
        <f>27.636</f>
        <v>27.635999999999999</v>
      </c>
      <c r="DR103">
        <f>26.055</f>
        <v>26.055</v>
      </c>
      <c r="DS103">
        <f>18.768</f>
        <v>18.768000000000001</v>
      </c>
      <c r="DT103">
        <f>28.21800041</f>
        <v>28.218000409999998</v>
      </c>
      <c r="DU103">
        <f>28.18300056</f>
        <v>28.18300056</v>
      </c>
    </row>
    <row r="104" spans="1:125">
      <c r="A104" t="str">
        <f>"    Healthcare Trust of America In"</f>
        <v xml:space="preserve">    Healthcare Trust of America In</v>
      </c>
      <c r="B104" t="str">
        <f>"HTA US Equity"</f>
        <v>HTA US Equity</v>
      </c>
      <c r="C104" t="str">
        <f t="shared" si="24"/>
        <v>F0578</v>
      </c>
      <c r="D104" t="str">
        <f t="shared" si="25"/>
        <v>FUNDS_AVAILABLE_FOR_DISTRIBUTION</v>
      </c>
      <c r="E104" t="str">
        <f t="shared" si="26"/>
        <v>动态</v>
      </c>
      <c r="F104" t="str">
        <f ca="1">IF(AND(ISNUMBER($F$352),$B$258=1),$F$352,HLOOKUP(INDIRECT(ADDRESS(2,COLUMN())),OFFSET($BN$2,0,0,ROW()-1,60),ROW()-1,FALSE))</f>
        <v/>
      </c>
      <c r="G104">
        <f ca="1">IF(AND(ISNUMBER($G$352),$B$258=1),$G$352,HLOOKUP(INDIRECT(ADDRESS(2,COLUMN())),OFFSET($BN$2,0,0,ROW()-1,60),ROW()-1,FALSE))</f>
        <v>72.61</v>
      </c>
      <c r="H104">
        <f ca="1">IF(AND(ISNUMBER($H$352),$B$258=1),$H$352,HLOOKUP(INDIRECT(ADDRESS(2,COLUMN())),OFFSET($BN$2,0,0,ROW()-1,60),ROW()-1,FALSE))</f>
        <v>74.766999999999996</v>
      </c>
      <c r="I104">
        <f ca="1">IF(AND(ISNUMBER($I$352),$B$258=1),$I$352,HLOOKUP(INDIRECT(ADDRESS(2,COLUMN())),OFFSET($BN$2,0,0,ROW()-1,60),ROW()-1,FALSE))</f>
        <v>60.618000000000002</v>
      </c>
      <c r="J104">
        <f ca="1">IF(AND(ISNUMBER($J$352),$B$258=1),$J$352,HLOOKUP(INDIRECT(ADDRESS(2,COLUMN())),OFFSET($BN$2,0,0,ROW()-1,60),ROW()-1,FALSE))</f>
        <v>52.581000000000003</v>
      </c>
      <c r="K104">
        <f ca="1">IF(AND(ISNUMBER($K$352),$B$258=1),$K$352,HLOOKUP(INDIRECT(ADDRESS(2,COLUMN())),OFFSET($BN$2,0,0,ROW()-1,60),ROW()-1,FALSE))</f>
        <v>52.197000000000003</v>
      </c>
      <c r="L104">
        <f ca="1">IF(AND(ISNUMBER($L$352),$B$258=1),$L$352,HLOOKUP(INDIRECT(ADDRESS(2,COLUMN())),OFFSET($BN$2,0,0,ROW()-1,60),ROW()-1,FALSE))</f>
        <v>49.222000000000001</v>
      </c>
      <c r="M104">
        <f ca="1">IF(AND(ISNUMBER($M$352),$B$258=1),$M$352,HLOOKUP(INDIRECT(ADDRESS(2,COLUMN())),OFFSET($BN$2,0,0,ROW()-1,60),ROW()-1,FALSE))</f>
        <v>50.061</v>
      </c>
      <c r="N104">
        <f ca="1">IF(AND(ISNUMBER($N$352),$B$258=1),$N$352,HLOOKUP(INDIRECT(ADDRESS(2,COLUMN())),OFFSET($BN$2,0,0,ROW()-1,60),ROW()-1,FALSE))</f>
        <v>48.295999999999999</v>
      </c>
      <c r="O104">
        <f ca="1">IF(AND(ISNUMBER($O$352),$B$258=1),$O$352,HLOOKUP(INDIRECT(ADDRESS(2,COLUMN())),OFFSET($BN$2,0,0,ROW()-1,60),ROW()-1,FALSE))</f>
        <v>44.889000000000003</v>
      </c>
      <c r="P104">
        <f ca="1">IF(AND(ISNUMBER($P$352),$B$258=1),$P$352,HLOOKUP(INDIRECT(ADDRESS(2,COLUMN())),OFFSET($BN$2,0,0,ROW()-1,60),ROW()-1,FALSE))</f>
        <v>44.683</v>
      </c>
      <c r="Q104">
        <f ca="1">IF(AND(ISNUMBER($Q$352),$B$258=1),$Q$352,HLOOKUP(INDIRECT(ADDRESS(2,COLUMN())),OFFSET($BN$2,0,0,ROW()-1,60),ROW()-1,FALSE))</f>
        <v>44.445999999999998</v>
      </c>
      <c r="R104">
        <f ca="1">IF(AND(ISNUMBER($R$352),$B$258=1),$R$352,HLOOKUP(INDIRECT(ADDRESS(2,COLUMN())),OFFSET($BN$2,0,0,ROW()-1,60),ROW()-1,FALSE))</f>
        <v>44.305999999999997</v>
      </c>
      <c r="S104">
        <f ca="1">IF(AND(ISNUMBER($S$352),$B$258=1),$S$352,HLOOKUP(INDIRECT(ADDRESS(2,COLUMN())),OFFSET($BN$2,0,0,ROW()-1,60),ROW()-1,FALSE))</f>
        <v>39.972000000000001</v>
      </c>
      <c r="T104">
        <f ca="1">IF(AND(ISNUMBER($T$352),$B$258=1),$T$352,HLOOKUP(INDIRECT(ADDRESS(2,COLUMN())),OFFSET($BN$2,0,0,ROW()-1,60),ROW()-1,FALSE))</f>
        <v>37.164000000000001</v>
      </c>
      <c r="U104">
        <f ca="1">IF(AND(ISNUMBER($U$352),$B$258=1),$U$352,HLOOKUP(INDIRECT(ADDRESS(2,COLUMN())),OFFSET($BN$2,0,0,ROW()-1,60),ROW()-1,FALSE))</f>
        <v>39.284999999999997</v>
      </c>
      <c r="V104">
        <f ca="1">IF(AND(ISNUMBER($V$352),$B$258=1),$V$352,HLOOKUP(INDIRECT(ADDRESS(2,COLUMN())),OFFSET($BN$2,0,0,ROW()-1,60),ROW()-1,FALSE))</f>
        <v>38.726999999999997</v>
      </c>
      <c r="W104">
        <f ca="1">IF(AND(ISNUMBER($W$352),$B$258=1),$W$352,HLOOKUP(INDIRECT(ADDRESS(2,COLUMN())),OFFSET($BN$2,0,0,ROW()-1,60),ROW()-1,FALSE))</f>
        <v>34.927999999999997</v>
      </c>
      <c r="X104">
        <f ca="1">IF(AND(ISNUMBER($X$352),$B$258=1),$X$352,HLOOKUP(INDIRECT(ADDRESS(2,COLUMN())),OFFSET($BN$2,0,0,ROW()-1,60),ROW()-1,FALSE))</f>
        <v>33.777000000000001</v>
      </c>
      <c r="Y104">
        <f ca="1">IF(AND(ISNUMBER($Y$352),$B$258=1),$Y$352,HLOOKUP(INDIRECT(ADDRESS(2,COLUMN())),OFFSET($BN$2,0,0,ROW()-1,60),ROW()-1,FALSE))</f>
        <v>32.002000000000002</v>
      </c>
      <c r="Z104">
        <f ca="1">IF(AND(ISNUMBER($Z$352),$B$258=1),$Z$352,HLOOKUP(INDIRECT(ADDRESS(2,COLUMN())),OFFSET($BN$2,0,0,ROW()-1,60),ROW()-1,FALSE))</f>
        <v>31.544</v>
      </c>
      <c r="AA104">
        <f ca="1">IF(AND(ISNUMBER($AA$352),$B$258=1),$AA$352,HLOOKUP(INDIRECT(ADDRESS(2,COLUMN())),OFFSET($BN$2,0,0,ROW()-1,60),ROW()-1,FALSE))</f>
        <v>30.390999999999998</v>
      </c>
      <c r="AB104">
        <f ca="1">IF(AND(ISNUMBER($AB$352),$B$258=1),$AB$352,HLOOKUP(INDIRECT(ADDRESS(2,COLUMN())),OFFSET($BN$2,0,0,ROW()-1,60),ROW()-1,FALSE))</f>
        <v>29.044</v>
      </c>
      <c r="AC104">
        <f ca="1">IF(AND(ISNUMBER($AC$352),$B$258=1),$AC$352,HLOOKUP(INDIRECT(ADDRESS(2,COLUMN())),OFFSET($BN$2,0,0,ROW()-1,60),ROW()-1,FALSE))</f>
        <v>14.49</v>
      </c>
      <c r="AD104">
        <f ca="1">IF(AND(ISNUMBER($AD$352),$B$258=1),$AD$352,HLOOKUP(INDIRECT(ADDRESS(2,COLUMN())),OFFSET($BN$2,0,0,ROW()-1,60),ROW()-1,FALSE))</f>
        <v>27.843</v>
      </c>
      <c r="AE104">
        <f ca="1">IF(AND(ISNUMBER($AE$352),$B$258=1),$AE$352,HLOOKUP(INDIRECT(ADDRESS(2,COLUMN())),OFFSET($BN$2,0,0,ROW()-1,60),ROW()-1,FALSE))</f>
        <v>19.696999999999999</v>
      </c>
      <c r="AF104">
        <f ca="1">IF(AND(ISNUMBER($AF$352),$B$258=1),$AF$352,HLOOKUP(INDIRECT(ADDRESS(2,COLUMN())),OFFSET($BN$2,0,0,ROW()-1,60),ROW()-1,FALSE))</f>
        <v>24.478999999999999</v>
      </c>
      <c r="AG104">
        <f ca="1">IF(AND(ISNUMBER($AG$352),$B$258=1),$AG$352,HLOOKUP(INDIRECT(ADDRESS(2,COLUMN())),OFFSET($BN$2,0,0,ROW()-1,60),ROW()-1,FALSE))</f>
        <v>25.327999999999999</v>
      </c>
      <c r="AH104">
        <f ca="1">IF(AND(ISNUMBER($AH$352),$B$258=1),$AH$352,HLOOKUP(INDIRECT(ADDRESS(2,COLUMN())),OFFSET($BN$2,0,0,ROW()-1,60),ROW()-1,FALSE))</f>
        <v>28.190999999999999</v>
      </c>
      <c r="AI104">
        <f ca="1">IF(AND(ISNUMBER($AI$352),$B$258=1),$AI$352,HLOOKUP(INDIRECT(ADDRESS(2,COLUMN())),OFFSET($BN$2,0,0,ROW()-1,60),ROW()-1,FALSE))</f>
        <v>24.44</v>
      </c>
      <c r="AJ104">
        <f ca="1">IF(AND(ISNUMBER($AJ$352),$B$258=1),$AJ$352,HLOOKUP(INDIRECT(ADDRESS(2,COLUMN())),OFFSET($BN$2,0,0,ROW()-1,60),ROW()-1,FALSE))</f>
        <v>21.39</v>
      </c>
      <c r="AK104">
        <f ca="1">IF(AND(ISNUMBER($AK$352),$B$258=1),$AK$352,HLOOKUP(INDIRECT(ADDRESS(2,COLUMN())),OFFSET($BN$2,0,0,ROW()-1,60),ROW()-1,FALSE))</f>
        <v>22.259</v>
      </c>
      <c r="AL104">
        <f ca="1">IF(AND(ISNUMBER($AL$352),$B$258=1),$AL$352,HLOOKUP(INDIRECT(ADDRESS(2,COLUMN())),OFFSET($BN$2,0,0,ROW()-1,60),ROW()-1,FALSE))</f>
        <v>20.132999999999999</v>
      </c>
      <c r="AM104" t="str">
        <f ca="1">IF(AND(ISNUMBER($AM$352),$B$258=1),$AM$352,HLOOKUP(INDIRECT(ADDRESS(2,COLUMN())),OFFSET($BN$2,0,0,ROW()-1,60),ROW()-1,FALSE))</f>
        <v/>
      </c>
      <c r="AN104" t="str">
        <f ca="1">IF(AND(ISNUMBER($AN$352),$B$258=1),$AN$352,HLOOKUP(INDIRECT(ADDRESS(2,COLUMN())),OFFSET($BN$2,0,0,ROW()-1,60),ROW()-1,FALSE))</f>
        <v/>
      </c>
      <c r="AO104" t="str">
        <f ca="1">IF(AND(ISNUMBER($AO$352),$B$258=1),$AO$352,HLOOKUP(INDIRECT(ADDRESS(2,COLUMN())),OFFSET($BN$2,0,0,ROW()-1,60),ROW()-1,FALSE))</f>
        <v/>
      </c>
      <c r="AP104" t="str">
        <f ca="1">IF(AND(ISNUMBER($AP$352),$B$258=1),$AP$352,HLOOKUP(INDIRECT(ADDRESS(2,COLUMN())),OFFSET($BN$2,0,0,ROW()-1,60),ROW()-1,FALSE))</f>
        <v/>
      </c>
      <c r="AQ104" t="str">
        <f ca="1">IF(AND(ISNUMBER($AQ$352),$B$258=1),$AQ$352,HLOOKUP(INDIRECT(ADDRESS(2,COLUMN())),OFFSET($BN$2,0,0,ROW()-1,60),ROW()-1,FALSE))</f>
        <v/>
      </c>
      <c r="AR104" t="str">
        <f ca="1">IF(AND(ISNUMBER($AR$352),$B$258=1),$AR$352,HLOOKUP(INDIRECT(ADDRESS(2,COLUMN())),OFFSET($BN$2,0,0,ROW()-1,60),ROW()-1,FALSE))</f>
        <v/>
      </c>
      <c r="AS104" t="str">
        <f ca="1">IF(AND(ISNUMBER($AS$352),$B$258=1),$AS$352,HLOOKUP(INDIRECT(ADDRESS(2,COLUMN())),OFFSET($BN$2,0,0,ROW()-1,60),ROW()-1,FALSE))</f>
        <v/>
      </c>
      <c r="AT104" t="str">
        <f ca="1">IF(AND(ISNUMBER($AT$352),$B$258=1),$AT$352,HLOOKUP(INDIRECT(ADDRESS(2,COLUMN())),OFFSET($BN$2,0,0,ROW()-1,60),ROW()-1,FALSE))</f>
        <v/>
      </c>
      <c r="AU104" t="str">
        <f ca="1">IF(AND(ISNUMBER($AU$352),$B$258=1),$AU$352,HLOOKUP(INDIRECT(ADDRESS(2,COLUMN())),OFFSET($BN$2,0,0,ROW()-1,60),ROW()-1,FALSE))</f>
        <v/>
      </c>
      <c r="AV104" t="str">
        <f ca="1">IF(AND(ISNUMBER($AV$352),$B$258=1),$AV$352,HLOOKUP(INDIRECT(ADDRESS(2,COLUMN())),OFFSET($BN$2,0,0,ROW()-1,60),ROW()-1,FALSE))</f>
        <v/>
      </c>
      <c r="AW104" t="str">
        <f ca="1">IF(AND(ISNUMBER($AW$352),$B$258=1),$AW$352,HLOOKUP(INDIRECT(ADDRESS(2,COLUMN())),OFFSET($BN$2,0,0,ROW()-1,60),ROW()-1,FALSE))</f>
        <v/>
      </c>
      <c r="AX104" t="str">
        <f ca="1">IF(AND(ISNUMBER($AX$352),$B$258=1),$AX$352,HLOOKUP(INDIRECT(ADDRESS(2,COLUMN())),OFFSET($BN$2,0,0,ROW()-1,60),ROW()-1,FALSE))</f>
        <v/>
      </c>
      <c r="AY104" t="str">
        <f ca="1">IF(AND(ISNUMBER($AY$352),$B$258=1),$AY$352,HLOOKUP(INDIRECT(ADDRESS(2,COLUMN())),OFFSET($BN$2,0,0,ROW()-1,60),ROW()-1,FALSE))</f>
        <v/>
      </c>
      <c r="AZ104" t="str">
        <f ca="1">IF(AND(ISNUMBER($AZ$352),$B$258=1),$AZ$352,HLOOKUP(INDIRECT(ADDRESS(2,COLUMN())),OFFSET($BN$2,0,0,ROW()-1,60),ROW()-1,FALSE))</f>
        <v/>
      </c>
      <c r="BA104" t="str">
        <f ca="1">IF(AND(ISNUMBER($BA$352),$B$258=1),$BA$352,HLOOKUP(INDIRECT(ADDRESS(2,COLUMN())),OFFSET($BN$2,0,0,ROW()-1,60),ROW()-1,FALSE))</f>
        <v/>
      </c>
      <c r="BB104" t="str">
        <f ca="1">IF(AND(ISNUMBER($BB$352),$B$258=1),$BB$352,HLOOKUP(INDIRECT(ADDRESS(2,COLUMN())),OFFSET($BN$2,0,0,ROW()-1,60),ROW()-1,FALSE))</f>
        <v/>
      </c>
      <c r="BC104" t="str">
        <f ca="1">IF(AND(ISNUMBER($BC$352),$B$258=1),$BC$352,HLOOKUP(INDIRECT(ADDRESS(2,COLUMN())),OFFSET($BN$2,0,0,ROW()-1,60),ROW()-1,FALSE))</f>
        <v/>
      </c>
      <c r="BD104" t="str">
        <f ca="1">IF(AND(ISNUMBER($BD$352),$B$258=1),$BD$352,HLOOKUP(INDIRECT(ADDRESS(2,COLUMN())),OFFSET($BN$2,0,0,ROW()-1,60),ROW()-1,FALSE))</f>
        <v/>
      </c>
      <c r="BE104" t="str">
        <f ca="1">IF(AND(ISNUMBER($BE$352),$B$258=1),$BE$352,HLOOKUP(INDIRECT(ADDRESS(2,COLUMN())),OFFSET($BN$2,0,0,ROW()-1,60),ROW()-1,FALSE))</f>
        <v/>
      </c>
      <c r="BF104" t="str">
        <f ca="1">IF(AND(ISNUMBER($BF$352),$B$258=1),$BF$352,HLOOKUP(INDIRECT(ADDRESS(2,COLUMN())),OFFSET($BN$2,0,0,ROW()-1,60),ROW()-1,FALSE))</f>
        <v/>
      </c>
      <c r="BG104" t="str">
        <f ca="1">IF(AND(ISNUMBER($BG$352),$B$258=1),$BG$352,HLOOKUP(INDIRECT(ADDRESS(2,COLUMN())),OFFSET($BN$2,0,0,ROW()-1,60),ROW()-1,FALSE))</f>
        <v/>
      </c>
      <c r="BH104" t="str">
        <f ca="1">IF(AND(ISNUMBER($BH$352),$B$258=1),$BH$352,HLOOKUP(INDIRECT(ADDRESS(2,COLUMN())),OFFSET($BN$2,0,0,ROW()-1,60),ROW()-1,FALSE))</f>
        <v/>
      </c>
      <c r="BI104" t="str">
        <f ca="1">IF(AND(ISNUMBER($BI$352),$B$258=1),$BI$352,HLOOKUP(INDIRECT(ADDRESS(2,COLUMN())),OFFSET($BN$2,0,0,ROW()-1,60),ROW()-1,FALSE))</f>
        <v/>
      </c>
      <c r="BJ104" t="str">
        <f ca="1">IF(AND(ISNUMBER($BJ$352),$B$258=1),$BJ$352,HLOOKUP(INDIRECT(ADDRESS(2,COLUMN())),OFFSET($BN$2,0,0,ROW()-1,60),ROW()-1,FALSE))</f>
        <v/>
      </c>
      <c r="BK104" t="str">
        <f ca="1">IF(AND(ISNUMBER($BK$352),$B$258=1),$BK$352,HLOOKUP(INDIRECT(ADDRESS(2,COLUMN())),OFFSET($BN$2,0,0,ROW()-1,60),ROW()-1,FALSE))</f>
        <v/>
      </c>
      <c r="BL104" t="str">
        <f ca="1">IF(AND(ISNUMBER($BL$352),$B$258=1),$BL$352,HLOOKUP(INDIRECT(ADDRESS(2,COLUMN())),OFFSET($BN$2,0,0,ROW()-1,60),ROW()-1,FALSE))</f>
        <v/>
      </c>
      <c r="BM104" t="str">
        <f ca="1">IF(AND(ISNUMBER($BM$352),$B$258=1),$BM$352,HLOOKUP(INDIRECT(ADDRESS(2,COLUMN())),OFFSET($BN$2,0,0,ROW()-1,60),ROW()-1,FALSE))</f>
        <v/>
      </c>
      <c r="BN104" t="str">
        <f>""</f>
        <v/>
      </c>
      <c r="BO104">
        <f>72.61</f>
        <v>72.61</v>
      </c>
      <c r="BP104">
        <f>74.767</f>
        <v>74.766999999999996</v>
      </c>
      <c r="BQ104">
        <f>60.618</f>
        <v>60.618000000000002</v>
      </c>
      <c r="BR104">
        <f>52.581</f>
        <v>52.581000000000003</v>
      </c>
      <c r="BS104">
        <f>52.197</f>
        <v>52.197000000000003</v>
      </c>
      <c r="BT104">
        <f>49.222</f>
        <v>49.222000000000001</v>
      </c>
      <c r="BU104">
        <f>50.061</f>
        <v>50.061</v>
      </c>
      <c r="BV104">
        <f>48.296</f>
        <v>48.295999999999999</v>
      </c>
      <c r="BW104">
        <f>44.889</f>
        <v>44.889000000000003</v>
      </c>
      <c r="BX104">
        <f>44.683</f>
        <v>44.683</v>
      </c>
      <c r="BY104">
        <f>44.446</f>
        <v>44.445999999999998</v>
      </c>
      <c r="BZ104">
        <f>44.306</f>
        <v>44.305999999999997</v>
      </c>
      <c r="CA104">
        <f>39.972</f>
        <v>39.972000000000001</v>
      </c>
      <c r="CB104">
        <f>37.164</f>
        <v>37.164000000000001</v>
      </c>
      <c r="CC104">
        <f>39.285</f>
        <v>39.284999999999997</v>
      </c>
      <c r="CD104">
        <f>38.727</f>
        <v>38.726999999999997</v>
      </c>
      <c r="CE104">
        <f>34.928</f>
        <v>34.927999999999997</v>
      </c>
      <c r="CF104">
        <f>33.777</f>
        <v>33.777000000000001</v>
      </c>
      <c r="CG104">
        <f>32.002</f>
        <v>32.002000000000002</v>
      </c>
      <c r="CH104">
        <f>31.544</f>
        <v>31.544</v>
      </c>
      <c r="CI104">
        <f>30.391</f>
        <v>30.390999999999998</v>
      </c>
      <c r="CJ104">
        <f>29.044</f>
        <v>29.044</v>
      </c>
      <c r="CK104">
        <f>14.49</f>
        <v>14.49</v>
      </c>
      <c r="CL104">
        <f>27.843</f>
        <v>27.843</v>
      </c>
      <c r="CM104">
        <f>19.697</f>
        <v>19.696999999999999</v>
      </c>
      <c r="CN104">
        <f>24.479</f>
        <v>24.478999999999999</v>
      </c>
      <c r="CO104">
        <f>25.328</f>
        <v>25.327999999999999</v>
      </c>
      <c r="CP104">
        <f>28.191</f>
        <v>28.190999999999999</v>
      </c>
      <c r="CQ104">
        <f>24.44</f>
        <v>24.44</v>
      </c>
      <c r="CR104">
        <f>21.39</f>
        <v>21.39</v>
      </c>
      <c r="CS104">
        <f>22.259</f>
        <v>22.259</v>
      </c>
      <c r="CT104">
        <f>20.133</f>
        <v>20.132999999999999</v>
      </c>
      <c r="CU104" t="str">
        <f>""</f>
        <v/>
      </c>
      <c r="CV104" t="str">
        <f>""</f>
        <v/>
      </c>
      <c r="CW104" t="str">
        <f>""</f>
        <v/>
      </c>
      <c r="CX104" t="str">
        <f>""</f>
        <v/>
      </c>
      <c r="CY104" t="str">
        <f>""</f>
        <v/>
      </c>
      <c r="CZ104" t="str">
        <f>""</f>
        <v/>
      </c>
      <c r="DA104" t="str">
        <f>""</f>
        <v/>
      </c>
      <c r="DB104" t="str">
        <f>""</f>
        <v/>
      </c>
      <c r="DC104" t="str">
        <f>""</f>
        <v/>
      </c>
      <c r="DD104" t="str">
        <f>""</f>
        <v/>
      </c>
      <c r="DE104" t="str">
        <f>""</f>
        <v/>
      </c>
      <c r="DF104" t="str">
        <f>""</f>
        <v/>
      </c>
      <c r="DG104" t="str">
        <f>""</f>
        <v/>
      </c>
      <c r="DH104" t="str">
        <f>""</f>
        <v/>
      </c>
      <c r="DI104" t="str">
        <f>""</f>
        <v/>
      </c>
      <c r="DJ104" t="str">
        <f>""</f>
        <v/>
      </c>
      <c r="DK104" t="str">
        <f>""</f>
        <v/>
      </c>
      <c r="DL104" t="str">
        <f>""</f>
        <v/>
      </c>
      <c r="DM104" t="str">
        <f>""</f>
        <v/>
      </c>
      <c r="DN104" t="str">
        <f>""</f>
        <v/>
      </c>
      <c r="DO104" t="str">
        <f>""</f>
        <v/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  <c r="DT104" t="str">
        <f>""</f>
        <v/>
      </c>
      <c r="DU104" t="str">
        <f>""</f>
        <v/>
      </c>
    </row>
    <row r="105" spans="1:125">
      <c r="A105" t="str">
        <f>"    Medical Properties Trust Inc"</f>
        <v xml:space="preserve">    Medical Properties Trust Inc</v>
      </c>
      <c r="B105" t="str">
        <f>"MPW US Equity"</f>
        <v>MPW US Equity</v>
      </c>
      <c r="C105" t="str">
        <f t="shared" si="24"/>
        <v>F0578</v>
      </c>
      <c r="D105" t="str">
        <f t="shared" si="25"/>
        <v>FUNDS_AVAILABLE_FOR_DISTRIBUTION</v>
      </c>
      <c r="E105" t="str">
        <f t="shared" si="26"/>
        <v>动态</v>
      </c>
      <c r="F105" t="str">
        <f ca="1">IF(AND(ISNUMBER($F$353),$B$258=1),$F$353,HLOOKUP(INDIRECT(ADDRESS(2,COLUMN())),OFFSET($BN$2,0,0,ROW()-1,60),ROW()-1,FALSE))</f>
        <v/>
      </c>
      <c r="G105">
        <f ca="1">IF(AND(ISNUMBER($G$353),$B$258=1),$G$353,HLOOKUP(INDIRECT(ADDRESS(2,COLUMN())),OFFSET($BN$2,0,0,ROW()-1,60),ROW()-1,FALSE))</f>
        <v>112.49299999999999</v>
      </c>
      <c r="H105">
        <f ca="1">IF(AND(ISNUMBER($H$353),$B$258=1),$H$353,HLOOKUP(INDIRECT(ADDRESS(2,COLUMN())),OFFSET($BN$2,0,0,ROW()-1,60),ROW()-1,FALSE))</f>
        <v>103.773</v>
      </c>
      <c r="I105">
        <f ca="1">IF(AND(ISNUMBER($I$353),$B$258=1),$I$353,HLOOKUP(INDIRECT(ADDRESS(2,COLUMN())),OFFSET($BN$2,0,0,ROW()-1,60),ROW()-1,FALSE))</f>
        <v>98.578999999999994</v>
      </c>
      <c r="J105">
        <f ca="1">IF(AND(ISNUMBER($J$353),$B$258=1),$J$353,HLOOKUP(INDIRECT(ADDRESS(2,COLUMN())),OFFSET($BN$2,0,0,ROW()-1,60),ROW()-1,FALSE))</f>
        <v>93.028000000000006</v>
      </c>
      <c r="K105">
        <f ca="1">IF(AND(ISNUMBER($K$353),$B$258=1),$K$353,HLOOKUP(INDIRECT(ADDRESS(2,COLUMN())),OFFSET($BN$2,0,0,ROW()-1,60),ROW()-1,FALSE))</f>
        <v>91.33</v>
      </c>
      <c r="L105">
        <f ca="1">IF(AND(ISNUMBER($L$353),$B$258=1),$L$353,HLOOKUP(INDIRECT(ADDRESS(2,COLUMN())),OFFSET($BN$2,0,0,ROW()-1,60),ROW()-1,FALSE))</f>
        <v>67.397999999999996</v>
      </c>
      <c r="M105">
        <f ca="1">IF(AND(ISNUMBER($M$353),$B$258=1),$M$353,HLOOKUP(INDIRECT(ADDRESS(2,COLUMN())),OFFSET($BN$2,0,0,ROW()-1,60),ROW()-1,FALSE))</f>
        <v>67.900000000000006</v>
      </c>
      <c r="N105">
        <f ca="1">IF(AND(ISNUMBER($N$353),$B$258=1),$N$353,HLOOKUP(INDIRECT(ADDRESS(2,COLUMN())),OFFSET($BN$2,0,0,ROW()-1,60),ROW()-1,FALSE))</f>
        <v>75.852999999999994</v>
      </c>
      <c r="O105">
        <f ca="1">IF(AND(ISNUMBER($O$353),$B$258=1),$O$353,HLOOKUP(INDIRECT(ADDRESS(2,COLUMN())),OFFSET($BN$2,0,0,ROW()-1,60),ROW()-1,FALSE))</f>
        <v>75.418000000000006</v>
      </c>
      <c r="P105">
        <f ca="1">IF(AND(ISNUMBER($P$353),$B$258=1),$P$353,HLOOKUP(INDIRECT(ADDRESS(2,COLUMN())),OFFSET($BN$2,0,0,ROW()-1,60),ROW()-1,FALSE))</f>
        <v>66.394999999999996</v>
      </c>
      <c r="Q105">
        <f ca="1">IF(AND(ISNUMBER($Q$353),$B$258=1),$Q$353,HLOOKUP(INDIRECT(ADDRESS(2,COLUMN())),OFFSET($BN$2,0,0,ROW()-1,60),ROW()-1,FALSE))</f>
        <v>59.686</v>
      </c>
      <c r="R105">
        <f ca="1">IF(AND(ISNUMBER($R$353),$B$258=1),$R$353,HLOOKUP(INDIRECT(ADDRESS(2,COLUMN())),OFFSET($BN$2,0,0,ROW()-1,60),ROW()-1,FALSE))</f>
        <v>54.212000000000003</v>
      </c>
      <c r="S105">
        <f ca="1">IF(AND(ISNUMBER($S$353),$B$258=1),$S$353,HLOOKUP(INDIRECT(ADDRESS(2,COLUMN())),OFFSET($BN$2,0,0,ROW()-1,60),ROW()-1,FALSE))</f>
        <v>45.078161999999999</v>
      </c>
      <c r="T105">
        <f ca="1">IF(AND(ISNUMBER($T$353),$B$258=1),$T$353,HLOOKUP(INDIRECT(ADDRESS(2,COLUMN())),OFFSET($BN$2,0,0,ROW()-1,60),ROW()-1,FALSE))</f>
        <v>42.626106999999998</v>
      </c>
      <c r="U105">
        <f ca="1">IF(AND(ISNUMBER($U$353),$B$258=1),$U$353,HLOOKUP(INDIRECT(ADDRESS(2,COLUMN())),OFFSET($BN$2,0,0,ROW()-1,60),ROW()-1,FALSE))</f>
        <v>42.588611</v>
      </c>
      <c r="V105">
        <f ca="1">IF(AND(ISNUMBER($V$353),$B$258=1),$V$353,HLOOKUP(INDIRECT(ADDRESS(2,COLUMN())),OFFSET($BN$2,0,0,ROW()-1,60),ROW()-1,FALSE))</f>
        <v>40.769264999999997</v>
      </c>
      <c r="W105">
        <f ca="1">IF(AND(ISNUMBER($W$353),$B$258=1),$W$353,HLOOKUP(INDIRECT(ADDRESS(2,COLUMN())),OFFSET($BN$2,0,0,ROW()-1,60),ROW()-1,FALSE))</f>
        <v>36.842419999999997</v>
      </c>
      <c r="X105">
        <f ca="1">IF(AND(ISNUMBER($X$353),$B$258=1),$X$353,HLOOKUP(INDIRECT(ADDRESS(2,COLUMN())),OFFSET($BN$2,0,0,ROW()-1,60),ROW()-1,FALSE))</f>
        <v>36.375793000000002</v>
      </c>
      <c r="Y105">
        <f ca="1">IF(AND(ISNUMBER($Y$353),$B$258=1),$Y$353,HLOOKUP(INDIRECT(ADDRESS(2,COLUMN())),OFFSET($BN$2,0,0,ROW()-1,60),ROW()-1,FALSE))</f>
        <v>34.749440999999997</v>
      </c>
      <c r="Z105">
        <f ca="1">IF(AND(ISNUMBER($Z$353),$B$258=1),$Z$353,HLOOKUP(INDIRECT(ADDRESS(2,COLUMN())),OFFSET($BN$2,0,0,ROW()-1,60),ROW()-1,FALSE))</f>
        <v>33.423959000000004</v>
      </c>
      <c r="AA105">
        <f ca="1">IF(AND(ISNUMBER($AA$353),$B$258=1),$AA$353,HLOOKUP(INDIRECT(ADDRESS(2,COLUMN())),OFFSET($BN$2,0,0,ROW()-1,60),ROW()-1,FALSE))</f>
        <v>32.740788000000002</v>
      </c>
      <c r="AB105">
        <f ca="1">IF(AND(ISNUMBER($AB$353),$B$258=1),$AB$353,HLOOKUP(INDIRECT(ADDRESS(2,COLUMN())),OFFSET($BN$2,0,0,ROW()-1,60),ROW()-1,FALSE))</f>
        <v>31.969252000000001</v>
      </c>
      <c r="AC105">
        <f ca="1">IF(AND(ISNUMBER($AC$353),$B$258=1),$AC$353,HLOOKUP(INDIRECT(ADDRESS(2,COLUMN())),OFFSET($BN$2,0,0,ROW()-1,60),ROW()-1,FALSE))</f>
        <v>29.701899999999998</v>
      </c>
      <c r="AD105">
        <f ca="1">IF(AND(ISNUMBER($AD$353),$B$258=1),$AD$353,HLOOKUP(INDIRECT(ADDRESS(2,COLUMN())),OFFSET($BN$2,0,0,ROW()-1,60),ROW()-1,FALSE))</f>
        <v>23.163142000000001</v>
      </c>
      <c r="AE105">
        <f ca="1">IF(AND(ISNUMBER($AE$353),$B$258=1),$AE$353,HLOOKUP(INDIRECT(ADDRESS(2,COLUMN())),OFFSET($BN$2,0,0,ROW()-1,60),ROW()-1,FALSE))</f>
        <v>24.280626999999999</v>
      </c>
      <c r="AF105">
        <f ca="1">IF(AND(ISNUMBER($AF$353),$B$258=1),$AF$353,HLOOKUP(INDIRECT(ADDRESS(2,COLUMN())),OFFSET($BN$2,0,0,ROW()-1,60),ROW()-1,FALSE))</f>
        <v>19.847933000000001</v>
      </c>
      <c r="AG105">
        <f ca="1">IF(AND(ISNUMBER($AG$353),$B$258=1),$AG$353,HLOOKUP(INDIRECT(ADDRESS(2,COLUMN())),OFFSET($BN$2,0,0,ROW()-1,60),ROW()-1,FALSE))</f>
        <v>17.782924999999999</v>
      </c>
      <c r="AH105">
        <f ca="1">IF(AND(ISNUMBER($AH$353),$B$258=1),$AH$353,HLOOKUP(INDIRECT(ADDRESS(2,COLUMN())),OFFSET($BN$2,0,0,ROW()-1,60),ROW()-1,FALSE))</f>
        <v>21.181961999999999</v>
      </c>
      <c r="AI105">
        <f ca="1">IF(AND(ISNUMBER($AI$353),$B$258=1),$AI$353,HLOOKUP(INDIRECT(ADDRESS(2,COLUMN())),OFFSET($BN$2,0,0,ROW()-1,60),ROW()-1,FALSE))</f>
        <v>18.632942</v>
      </c>
      <c r="AJ105">
        <f ca="1">IF(AND(ISNUMBER($AJ$353),$B$258=1),$AJ$353,HLOOKUP(INDIRECT(ADDRESS(2,COLUMN())),OFFSET($BN$2,0,0,ROW()-1,60),ROW()-1,FALSE))</f>
        <v>17.310105</v>
      </c>
      <c r="AK105">
        <f ca="1">IF(AND(ISNUMBER($AK$353),$B$258=1),$AK$353,HLOOKUP(INDIRECT(ADDRESS(2,COLUMN())),OFFSET($BN$2,0,0,ROW()-1,60),ROW()-1,FALSE))</f>
        <v>28.628176</v>
      </c>
      <c r="AL105">
        <f ca="1">IF(AND(ISNUMBER($AL$353),$B$258=1),$AL$353,HLOOKUP(INDIRECT(ADDRESS(2,COLUMN())),OFFSET($BN$2,0,0,ROW()-1,60),ROW()-1,FALSE))</f>
        <v>16.95234</v>
      </c>
      <c r="AM105">
        <f ca="1">IF(AND(ISNUMBER($AM$353),$B$258=1),$AM$353,HLOOKUP(INDIRECT(ADDRESS(2,COLUMN())),OFFSET($BN$2,0,0,ROW()-1,60),ROW()-1,FALSE))</f>
        <v>13.297698</v>
      </c>
      <c r="AN105">
        <f ca="1">IF(AND(ISNUMBER($AN$353),$B$258=1),$AN$353,HLOOKUP(INDIRECT(ADDRESS(2,COLUMN())),OFFSET($BN$2,0,0,ROW()-1,60),ROW()-1,FALSE))</f>
        <v>16.082445</v>
      </c>
      <c r="AO105">
        <f ca="1">IF(AND(ISNUMBER($AO$353),$B$258=1),$AO$353,HLOOKUP(INDIRECT(ADDRESS(2,COLUMN())),OFFSET($BN$2,0,0,ROW()-1,60),ROW()-1,FALSE))</f>
        <v>16.226143</v>
      </c>
      <c r="AP105">
        <f ca="1">IF(AND(ISNUMBER($AP$353),$B$258=1),$AP$353,HLOOKUP(INDIRECT(ADDRESS(2,COLUMN())),OFFSET($BN$2,0,0,ROW()-1,60),ROW()-1,FALSE))</f>
        <v>18.444210000000002</v>
      </c>
      <c r="AQ105">
        <f ca="1">IF(AND(ISNUMBER($AQ$353),$B$258=1),$AQ$353,HLOOKUP(INDIRECT(ADDRESS(2,COLUMN())),OFFSET($BN$2,0,0,ROW()-1,60),ROW()-1,FALSE))</f>
        <v>16.533187999999999</v>
      </c>
      <c r="AR105">
        <f ca="1">IF(AND(ISNUMBER($AR$353),$B$258=1),$AR$353,HLOOKUP(INDIRECT(ADDRESS(2,COLUMN())),OFFSET($BN$2,0,0,ROW()-1,60),ROW()-1,FALSE))</f>
        <v>20.223890999999998</v>
      </c>
      <c r="AS105">
        <f ca="1">IF(AND(ISNUMBER($AS$353),$B$258=1),$AS$353,HLOOKUP(INDIRECT(ADDRESS(2,COLUMN())),OFFSET($BN$2,0,0,ROW()-1,60),ROW()-1,FALSE))</f>
        <v>24.634741000000002</v>
      </c>
      <c r="AT105">
        <f ca="1">IF(AND(ISNUMBER($AT$353),$B$258=1),$AT$353,HLOOKUP(INDIRECT(ADDRESS(2,COLUMN())),OFFSET($BN$2,0,0,ROW()-1,60),ROW()-1,FALSE))</f>
        <v>16.511133999999998</v>
      </c>
      <c r="AU105">
        <f ca="1">IF(AND(ISNUMBER($AU$353),$B$258=1),$AU$353,HLOOKUP(INDIRECT(ADDRESS(2,COLUMN())),OFFSET($BN$2,0,0,ROW()-1,60),ROW()-1,FALSE))</f>
        <v>11.813859000000001</v>
      </c>
      <c r="AV105">
        <f ca="1">IF(AND(ISNUMBER($AV$353),$B$258=1),$AV$353,HLOOKUP(INDIRECT(ADDRESS(2,COLUMN())),OFFSET($BN$2,0,0,ROW()-1,60),ROW()-1,FALSE))</f>
        <v>12.743684</v>
      </c>
      <c r="AW105">
        <f ca="1">IF(AND(ISNUMBER($AW$353),$B$258=1),$AW$353,HLOOKUP(INDIRECT(ADDRESS(2,COLUMN())),OFFSET($BN$2,0,0,ROW()-1,60),ROW()-1,FALSE))</f>
        <v>11.730346000000001</v>
      </c>
      <c r="AX105">
        <f ca="1">IF(AND(ISNUMBER($AX$353),$B$258=1),$AX$353,HLOOKUP(INDIRECT(ADDRESS(2,COLUMN())),OFFSET($BN$2,0,0,ROW()-1,60),ROW()-1,FALSE))</f>
        <v>9.1833679999999998</v>
      </c>
      <c r="AY105">
        <f ca="1">IF(AND(ISNUMBER($AY$353),$B$258=1),$AY$353,HLOOKUP(INDIRECT(ADDRESS(2,COLUMN())),OFFSET($BN$2,0,0,ROW()-1,60),ROW()-1,FALSE))</f>
        <v>9.4575270000000007</v>
      </c>
      <c r="AZ105">
        <f ca="1">IF(AND(ISNUMBER($AZ$353),$B$258=1),$AZ$353,HLOOKUP(INDIRECT(ADDRESS(2,COLUMN())),OFFSET($BN$2,0,0,ROW()-1,60),ROW()-1,FALSE))</f>
        <v>9.7486669999999993</v>
      </c>
      <c r="BA105">
        <f ca="1">IF(AND(ISNUMBER($BA$353),$B$258=1),$BA$353,HLOOKUP(INDIRECT(ADDRESS(2,COLUMN())),OFFSET($BN$2,0,0,ROW()-1,60),ROW()-1,FALSE))</f>
        <v>9.3285590000000003</v>
      </c>
      <c r="BB105">
        <f ca="1">IF(AND(ISNUMBER($BB$353),$B$258=1),$BB$353,HLOOKUP(INDIRECT(ADDRESS(2,COLUMN())),OFFSET($BN$2,0,0,ROW()-1,60),ROW()-1,FALSE))</f>
        <v>8.7162729999999993</v>
      </c>
      <c r="BC105">
        <f ca="1">IF(AND(ISNUMBER($BC$353),$B$258=1),$BC$353,HLOOKUP(INDIRECT(ADDRESS(2,COLUMN())),OFFSET($BN$2,0,0,ROW()-1,60),ROW()-1,FALSE))</f>
        <v>7.6404519999999998</v>
      </c>
      <c r="BD105">
        <f ca="1">IF(AND(ISNUMBER($BD$353),$B$258=1),$BD$353,HLOOKUP(INDIRECT(ADDRESS(2,COLUMN())),OFFSET($BN$2,0,0,ROW()-1,60),ROW()-1,FALSE))</f>
        <v>6.4264780000000004</v>
      </c>
      <c r="BE105">
        <f ca="1">IF(AND(ISNUMBER($BE$353),$B$258=1),$BE$353,HLOOKUP(INDIRECT(ADDRESS(2,COLUMN())),OFFSET($BN$2,0,0,ROW()-1,60),ROW()-1,FALSE))</f>
        <v>5.3541479110000001</v>
      </c>
      <c r="BF105">
        <f ca="1">IF(AND(ISNUMBER($BF$353),$B$258=1),$BF$353,HLOOKUP(INDIRECT(ADDRESS(2,COLUMN())),OFFSET($BN$2,0,0,ROW()-1,60),ROW()-1,FALSE))</f>
        <v>4.4019999500000004</v>
      </c>
      <c r="BG105" t="str">
        <f ca="1">IF(AND(ISNUMBER($BG$353),$B$258=1),$BG$353,HLOOKUP(INDIRECT(ADDRESS(2,COLUMN())),OFFSET($BN$2,0,0,ROW()-1,60),ROW()-1,FALSE))</f>
        <v/>
      </c>
      <c r="BH105" t="str">
        <f ca="1">IF(AND(ISNUMBER($BH$353),$B$258=1),$BH$353,HLOOKUP(INDIRECT(ADDRESS(2,COLUMN())),OFFSET($BN$2,0,0,ROW()-1,60),ROW()-1,FALSE))</f>
        <v/>
      </c>
      <c r="BI105" t="str">
        <f ca="1">IF(AND(ISNUMBER($BI$353),$B$258=1),$BI$353,HLOOKUP(INDIRECT(ADDRESS(2,COLUMN())),OFFSET($BN$2,0,0,ROW()-1,60),ROW()-1,FALSE))</f>
        <v/>
      </c>
      <c r="BJ105" t="str">
        <f ca="1">IF(AND(ISNUMBER($BJ$353),$B$258=1),$BJ$353,HLOOKUP(INDIRECT(ADDRESS(2,COLUMN())),OFFSET($BN$2,0,0,ROW()-1,60),ROW()-1,FALSE))</f>
        <v/>
      </c>
      <c r="BK105" t="str">
        <f ca="1">IF(AND(ISNUMBER($BK$353),$B$258=1),$BK$353,HLOOKUP(INDIRECT(ADDRESS(2,COLUMN())),OFFSET($BN$2,0,0,ROW()-1,60),ROW()-1,FALSE))</f>
        <v/>
      </c>
      <c r="BL105" t="str">
        <f ca="1">IF(AND(ISNUMBER($BL$353),$B$258=1),$BL$353,HLOOKUP(INDIRECT(ADDRESS(2,COLUMN())),OFFSET($BN$2,0,0,ROW()-1,60),ROW()-1,FALSE))</f>
        <v/>
      </c>
      <c r="BM105" t="str">
        <f ca="1">IF(AND(ISNUMBER($BM$353),$B$258=1),$BM$353,HLOOKUP(INDIRECT(ADDRESS(2,COLUMN())),OFFSET($BN$2,0,0,ROW()-1,60),ROW()-1,FALSE))</f>
        <v/>
      </c>
      <c r="BN105" t="str">
        <f>""</f>
        <v/>
      </c>
      <c r="BO105">
        <f>112.493</f>
        <v>112.49299999999999</v>
      </c>
      <c r="BP105">
        <f>103.773</f>
        <v>103.773</v>
      </c>
      <c r="BQ105">
        <f>98.579</f>
        <v>98.578999999999994</v>
      </c>
      <c r="BR105">
        <f>93.028</f>
        <v>93.028000000000006</v>
      </c>
      <c r="BS105">
        <f>91.33</f>
        <v>91.33</v>
      </c>
      <c r="BT105">
        <f>67.398</f>
        <v>67.397999999999996</v>
      </c>
      <c r="BU105">
        <f>67.9</f>
        <v>67.900000000000006</v>
      </c>
      <c r="BV105">
        <f>75.853</f>
        <v>75.852999999999994</v>
      </c>
      <c r="BW105">
        <f>75.418</f>
        <v>75.418000000000006</v>
      </c>
      <c r="BX105">
        <f>66.395</f>
        <v>66.394999999999996</v>
      </c>
      <c r="BY105">
        <f>59.686</f>
        <v>59.686</v>
      </c>
      <c r="BZ105">
        <f>54.212</f>
        <v>54.212000000000003</v>
      </c>
      <c r="CA105">
        <f>45.078162</f>
        <v>45.078161999999999</v>
      </c>
      <c r="CB105">
        <f>42.626107</f>
        <v>42.626106999999998</v>
      </c>
      <c r="CC105">
        <f>42.588611</f>
        <v>42.588611</v>
      </c>
      <c r="CD105">
        <f>40.769265</f>
        <v>40.769264999999997</v>
      </c>
      <c r="CE105">
        <f>36.84242</f>
        <v>36.842419999999997</v>
      </c>
      <c r="CF105">
        <f>36.375793</f>
        <v>36.375793000000002</v>
      </c>
      <c r="CG105">
        <f>34.749441</f>
        <v>34.749440999999997</v>
      </c>
      <c r="CH105">
        <f>33.423959</f>
        <v>33.423959000000004</v>
      </c>
      <c r="CI105">
        <f>32.740788</f>
        <v>32.740788000000002</v>
      </c>
      <c r="CJ105">
        <f>31.969252</f>
        <v>31.969252000000001</v>
      </c>
      <c r="CK105">
        <f>29.7019</f>
        <v>29.701899999999998</v>
      </c>
      <c r="CL105">
        <f>23.163142</f>
        <v>23.163142000000001</v>
      </c>
      <c r="CM105">
        <f>24.280627</f>
        <v>24.280626999999999</v>
      </c>
      <c r="CN105">
        <f>19.847933</f>
        <v>19.847933000000001</v>
      </c>
      <c r="CO105">
        <f>17.782925</f>
        <v>17.782924999999999</v>
      </c>
      <c r="CP105">
        <f>21.181962</f>
        <v>21.181961999999999</v>
      </c>
      <c r="CQ105">
        <f>18.632942</f>
        <v>18.632942</v>
      </c>
      <c r="CR105">
        <f>17.310105</f>
        <v>17.310105</v>
      </c>
      <c r="CS105">
        <f>28.628176</f>
        <v>28.628176</v>
      </c>
      <c r="CT105">
        <f>16.95234</f>
        <v>16.95234</v>
      </c>
      <c r="CU105">
        <f>13.297698</f>
        <v>13.297698</v>
      </c>
      <c r="CV105">
        <f>16.082445</f>
        <v>16.082445</v>
      </c>
      <c r="CW105">
        <f>16.226143</f>
        <v>16.226143</v>
      </c>
      <c r="CX105">
        <f>18.44421</f>
        <v>18.444210000000002</v>
      </c>
      <c r="CY105">
        <f>16.533188</f>
        <v>16.533187999999999</v>
      </c>
      <c r="CZ105">
        <f>20.223891</f>
        <v>20.223890999999998</v>
      </c>
      <c r="DA105">
        <f>24.634741</f>
        <v>24.634741000000002</v>
      </c>
      <c r="DB105">
        <f>16.511134</f>
        <v>16.511133999999998</v>
      </c>
      <c r="DC105">
        <f>11.813859</f>
        <v>11.813859000000001</v>
      </c>
      <c r="DD105">
        <f>12.743684</f>
        <v>12.743684</v>
      </c>
      <c r="DE105">
        <f>11.730346</f>
        <v>11.730346000000001</v>
      </c>
      <c r="DF105">
        <f>9.183368</f>
        <v>9.1833679999999998</v>
      </c>
      <c r="DG105">
        <f>9.457527</f>
        <v>9.4575270000000007</v>
      </c>
      <c r="DH105">
        <f>9.748667</f>
        <v>9.7486669999999993</v>
      </c>
      <c r="DI105">
        <f>9.328559</f>
        <v>9.3285590000000003</v>
      </c>
      <c r="DJ105">
        <f>8.716273</f>
        <v>8.7162729999999993</v>
      </c>
      <c r="DK105">
        <f>7.640452</f>
        <v>7.6404519999999998</v>
      </c>
      <c r="DL105">
        <f>6.426478</f>
        <v>6.4264780000000004</v>
      </c>
      <c r="DM105">
        <f>5.354147911</f>
        <v>5.3541479110000001</v>
      </c>
      <c r="DN105">
        <f>4.40199995</f>
        <v>4.4019999500000004</v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  <c r="DT105" t="str">
        <f>""</f>
        <v/>
      </c>
      <c r="DU105" t="str">
        <f>""</f>
        <v/>
      </c>
    </row>
    <row r="106" spans="1:125">
      <c r="A106" t="str">
        <f>"    Omega Healthcare Investors Inc"</f>
        <v xml:space="preserve">    Omega Healthcare Investors Inc</v>
      </c>
      <c r="B106" t="str">
        <f>"OHI US Equity"</f>
        <v>OHI US Equity</v>
      </c>
      <c r="C106" t="str">
        <f t="shared" si="24"/>
        <v>F0578</v>
      </c>
      <c r="D106" t="str">
        <f t="shared" si="25"/>
        <v>FUNDS_AVAILABLE_FOR_DISTRIBUTION</v>
      </c>
      <c r="E106" t="str">
        <f t="shared" si="26"/>
        <v>动态</v>
      </c>
      <c r="F106" t="str">
        <f ca="1">IF(AND(ISNUMBER($F$354),$B$258=1),$F$354,HLOOKUP(INDIRECT(ADDRESS(2,COLUMN())),OFFSET($BN$2,0,0,ROW()-1,60),ROW()-1,FALSE))</f>
        <v/>
      </c>
      <c r="G106">
        <f ca="1">IF(AND(ISNUMBER($G$354),$B$258=1),$G$354,HLOOKUP(INDIRECT(ADDRESS(2,COLUMN())),OFFSET($BN$2,0,0,ROW()-1,60),ROW()-1,FALSE))</f>
        <v>149.041</v>
      </c>
      <c r="H106">
        <f ca="1">IF(AND(ISNUMBER($H$354),$B$258=1),$H$354,HLOOKUP(INDIRECT(ADDRESS(2,COLUMN())),OFFSET($BN$2,0,0,ROW()-1,60),ROW()-1,FALSE))</f>
        <v>150.55500000000001</v>
      </c>
      <c r="I106">
        <f ca="1">IF(AND(ISNUMBER($I$354),$B$258=1),$I$354,HLOOKUP(INDIRECT(ADDRESS(2,COLUMN())),OFFSET($BN$2,0,0,ROW()-1,60),ROW()-1,FALSE))</f>
        <v>161.995</v>
      </c>
      <c r="J106">
        <f ca="1">IF(AND(ISNUMBER($J$354),$B$258=1),$J$354,HLOOKUP(INDIRECT(ADDRESS(2,COLUMN())),OFFSET($BN$2,0,0,ROW()-1,60),ROW()-1,FALSE))</f>
        <v>159.36799999999999</v>
      </c>
      <c r="K106">
        <f ca="1">IF(AND(ISNUMBER($K$354),$B$258=1),$K$354,HLOOKUP(INDIRECT(ADDRESS(2,COLUMN())),OFFSET($BN$2,0,0,ROW()-1,60),ROW()-1,FALSE))</f>
        <v>163.238</v>
      </c>
      <c r="L106">
        <f ca="1">IF(AND(ISNUMBER($L$354),$B$258=1),$L$354,HLOOKUP(INDIRECT(ADDRESS(2,COLUMN())),OFFSET($BN$2,0,0,ROW()-1,60),ROW()-1,FALSE))</f>
        <v>153.04400000000001</v>
      </c>
      <c r="M106">
        <f ca="1">IF(AND(ISNUMBER($M$354),$B$258=1),$M$354,HLOOKUP(INDIRECT(ADDRESS(2,COLUMN())),OFFSET($BN$2,0,0,ROW()-1,60),ROW()-1,FALSE))</f>
        <v>153.964</v>
      </c>
      <c r="N106">
        <f ca="1">IF(AND(ISNUMBER($N$354),$B$258=1),$N$354,HLOOKUP(INDIRECT(ADDRESS(2,COLUMN())),OFFSET($BN$2,0,0,ROW()-1,60),ROW()-1,FALSE))</f>
        <v>148.523</v>
      </c>
      <c r="O106">
        <f ca="1">IF(AND(ISNUMBER($O$354),$B$258=1),$O$354,HLOOKUP(INDIRECT(ADDRESS(2,COLUMN())),OFFSET($BN$2,0,0,ROW()-1,60),ROW()-1,FALSE))</f>
        <v>142.97</v>
      </c>
      <c r="P106">
        <f ca="1">IF(AND(ISNUMBER($P$354),$B$258=1),$P$354,HLOOKUP(INDIRECT(ADDRESS(2,COLUMN())),OFFSET($BN$2,0,0,ROW()-1,60),ROW()-1,FALSE))</f>
        <v>139.899</v>
      </c>
      <c r="Q106">
        <f ca="1">IF(AND(ISNUMBER($Q$354),$B$258=1),$Q$354,HLOOKUP(INDIRECT(ADDRESS(2,COLUMN())),OFFSET($BN$2,0,0,ROW()-1,60),ROW()-1,FALSE))</f>
        <v>136.53700000000001</v>
      </c>
      <c r="R106">
        <f ca="1">IF(AND(ISNUMBER($R$354),$B$258=1),$R$354,HLOOKUP(INDIRECT(ADDRESS(2,COLUMN())),OFFSET($BN$2,0,0,ROW()-1,60),ROW()-1,FALSE))</f>
        <v>82.254999999999995</v>
      </c>
      <c r="S106">
        <f ca="1">IF(AND(ISNUMBER($S$354),$B$258=1),$S$354,HLOOKUP(INDIRECT(ADDRESS(2,COLUMN())),OFFSET($BN$2,0,0,ROW()-1,60),ROW()-1,FALSE))</f>
        <v>80.039000000000001</v>
      </c>
      <c r="T106">
        <f ca="1">IF(AND(ISNUMBER($T$354),$B$258=1),$T$354,HLOOKUP(INDIRECT(ADDRESS(2,COLUMN())),OFFSET($BN$2,0,0,ROW()-1,60),ROW()-1,FALSE))</f>
        <v>81.305000000000007</v>
      </c>
      <c r="U106">
        <f ca="1">IF(AND(ISNUMBER($U$354),$B$258=1),$U$354,HLOOKUP(INDIRECT(ADDRESS(2,COLUMN())),OFFSET($BN$2,0,0,ROW()-1,60),ROW()-1,FALSE))</f>
        <v>74.366</v>
      </c>
      <c r="V106">
        <f ca="1">IF(AND(ISNUMBER($V$354),$B$258=1),$V$354,HLOOKUP(INDIRECT(ADDRESS(2,COLUMN())),OFFSET($BN$2,0,0,ROW()-1,60),ROW()-1,FALSE))</f>
        <v>83.447999999999993</v>
      </c>
      <c r="W106">
        <f ca="1">IF(AND(ISNUMBER($W$354),$B$258=1),$W$354,HLOOKUP(INDIRECT(ADDRESS(2,COLUMN())),OFFSET($BN$2,0,0,ROW()-1,60),ROW()-1,FALSE))</f>
        <v>73.337000000000003</v>
      </c>
      <c r="X106">
        <f ca="1">IF(AND(ISNUMBER($X$354),$B$258=1),$X$354,HLOOKUP(INDIRECT(ADDRESS(2,COLUMN())),OFFSET($BN$2,0,0,ROW()-1,60),ROW()-1,FALSE))</f>
        <v>69.798000000000002</v>
      </c>
      <c r="Y106">
        <f ca="1">IF(AND(ISNUMBER($Y$354),$B$258=1),$Y$354,HLOOKUP(INDIRECT(ADDRESS(2,COLUMN())),OFFSET($BN$2,0,0,ROW()-1,60),ROW()-1,FALSE))</f>
        <v>65.176000000000002</v>
      </c>
      <c r="Z106">
        <f ca="1">IF(AND(ISNUMBER($Z$354),$B$258=1),$Z$354,HLOOKUP(INDIRECT(ADDRESS(2,COLUMN())),OFFSET($BN$2,0,0,ROW()-1,60),ROW()-1,FALSE))</f>
        <v>65.655000000000001</v>
      </c>
      <c r="AA106">
        <f ca="1">IF(AND(ISNUMBER($AA$354),$B$258=1),$AA$354,HLOOKUP(INDIRECT(ADDRESS(2,COLUMN())),OFFSET($BN$2,0,0,ROW()-1,60),ROW()-1,FALSE))</f>
        <v>59.216999999999999</v>
      </c>
      <c r="AB106">
        <f ca="1">IF(AND(ISNUMBER($AB$354),$B$258=1),$AB$354,HLOOKUP(INDIRECT(ADDRESS(2,COLUMN())),OFFSET($BN$2,0,0,ROW()-1,60),ROW()-1,FALSE))</f>
        <v>52.078000000000003</v>
      </c>
      <c r="AC106">
        <f ca="1">IF(AND(ISNUMBER($AC$354),$B$258=1),$AC$354,HLOOKUP(INDIRECT(ADDRESS(2,COLUMN())),OFFSET($BN$2,0,0,ROW()-1,60),ROW()-1,FALSE))</f>
        <v>49.11</v>
      </c>
      <c r="AD106">
        <f ca="1">IF(AND(ISNUMBER($AD$354),$B$258=1),$AD$354,HLOOKUP(INDIRECT(ADDRESS(2,COLUMN())),OFFSET($BN$2,0,0,ROW()-1,60),ROW()-1,FALSE))</f>
        <v>50.344000000000001</v>
      </c>
      <c r="AE106">
        <f ca="1">IF(AND(ISNUMBER($AE$354),$B$258=1),$AE$354,HLOOKUP(INDIRECT(ADDRESS(2,COLUMN())),OFFSET($BN$2,0,0,ROW()-1,60),ROW()-1,FALSE))</f>
        <v>48.601999999999997</v>
      </c>
      <c r="AF106">
        <f ca="1">IF(AND(ISNUMBER($AF$354),$B$258=1),$AF$354,HLOOKUP(INDIRECT(ADDRESS(2,COLUMN())),OFFSET($BN$2,0,0,ROW()-1,60),ROW()-1,FALSE))</f>
        <v>46.003</v>
      </c>
      <c r="AG106">
        <f ca="1">IF(AND(ISNUMBER($AG$354),$B$258=1),$AG$354,HLOOKUP(INDIRECT(ADDRESS(2,COLUMN())),OFFSET($BN$2,0,0,ROW()-1,60),ROW()-1,FALSE))</f>
        <v>45.162999999999997</v>
      </c>
      <c r="AH106">
        <f ca="1">IF(AND(ISNUMBER($AH$354),$B$258=1),$AH$354,HLOOKUP(INDIRECT(ADDRESS(2,COLUMN())),OFFSET($BN$2,0,0,ROW()-1,60),ROW()-1,FALSE))</f>
        <v>40.951999999999998</v>
      </c>
      <c r="AI106">
        <f ca="1">IF(AND(ISNUMBER($AI$354),$B$258=1),$AI$354,HLOOKUP(INDIRECT(ADDRESS(2,COLUMN())),OFFSET($BN$2,0,0,ROW()-1,60),ROW()-1,FALSE))</f>
        <v>40.698</v>
      </c>
      <c r="AJ106">
        <f ca="1">IF(AND(ISNUMBER($AJ$354),$B$258=1),$AJ$354,HLOOKUP(INDIRECT(ADDRESS(2,COLUMN())),OFFSET($BN$2,0,0,ROW()-1,60),ROW()-1,FALSE))</f>
        <v>40.523000000000003</v>
      </c>
      <c r="AK106">
        <f ca="1">IF(AND(ISNUMBER($AK$354),$B$258=1),$AK$354,HLOOKUP(INDIRECT(ADDRESS(2,COLUMN())),OFFSET($BN$2,0,0,ROW()-1,60),ROW()-1,FALSE))</f>
        <v>32</v>
      </c>
      <c r="AL106">
        <f ca="1">IF(AND(ISNUMBER($AL$354),$B$258=1),$AL$354,HLOOKUP(INDIRECT(ADDRESS(2,COLUMN())),OFFSET($BN$2,0,0,ROW()-1,60),ROW()-1,FALSE))</f>
        <v>31.561</v>
      </c>
      <c r="AM106">
        <f ca="1">IF(AND(ISNUMBER($AM$354),$B$258=1),$AM$354,HLOOKUP(INDIRECT(ADDRESS(2,COLUMN())),OFFSET($BN$2,0,0,ROW()-1,60),ROW()-1,FALSE))</f>
        <v>28.936</v>
      </c>
      <c r="AN106">
        <f ca="1">IF(AND(ISNUMBER($AN$354),$B$258=1),$AN$354,HLOOKUP(INDIRECT(ADDRESS(2,COLUMN())),OFFSET($BN$2,0,0,ROW()-1,60),ROW()-1,FALSE))</f>
        <v>28.417000000000002</v>
      </c>
      <c r="AO106">
        <f ca="1">IF(AND(ISNUMBER($AO$354),$B$258=1),$AO$354,HLOOKUP(INDIRECT(ADDRESS(2,COLUMN())),OFFSET($BN$2,0,0,ROW()-1,60),ROW()-1,FALSE))</f>
        <v>28.361000000000001</v>
      </c>
      <c r="AP106">
        <f ca="1">IF(AND(ISNUMBER($AP$354),$B$258=1),$AP$354,HLOOKUP(INDIRECT(ADDRESS(2,COLUMN())),OFFSET($BN$2,0,0,ROW()-1,60),ROW()-1,FALSE))</f>
        <v>28.132999999999999</v>
      </c>
      <c r="AQ106">
        <f ca="1">IF(AND(ISNUMBER($AQ$354),$B$258=1),$AQ$354,HLOOKUP(INDIRECT(ADDRESS(2,COLUMN())),OFFSET($BN$2,0,0,ROW()-1,60),ROW()-1,FALSE))</f>
        <v>24.648</v>
      </c>
      <c r="AR106">
        <f ca="1">IF(AND(ISNUMBER($AR$354),$B$258=1),$AR$354,HLOOKUP(INDIRECT(ADDRESS(2,COLUMN())),OFFSET($BN$2,0,0,ROW()-1,60),ROW()-1,FALSE))</f>
        <v>20.94</v>
      </c>
      <c r="AS106">
        <f ca="1">IF(AND(ISNUMBER($AS$354),$B$258=1),$AS$354,HLOOKUP(INDIRECT(ADDRESS(2,COLUMN())),OFFSET($BN$2,0,0,ROW()-1,60),ROW()-1,FALSE))</f>
        <v>25.33</v>
      </c>
      <c r="AT106">
        <f ca="1">IF(AND(ISNUMBER($AT$354),$B$258=1),$AT$354,HLOOKUP(INDIRECT(ADDRESS(2,COLUMN())),OFFSET($BN$2,0,0,ROW()-1,60),ROW()-1,FALSE))</f>
        <v>23.148</v>
      </c>
      <c r="AU106">
        <f ca="1">IF(AND(ISNUMBER($AU$354),$B$258=1),$AU$354,HLOOKUP(INDIRECT(ADDRESS(2,COLUMN())),OFFSET($BN$2,0,0,ROW()-1,60),ROW()-1,FALSE))</f>
        <v>22.033999999999999</v>
      </c>
      <c r="AV106">
        <f ca="1">IF(AND(ISNUMBER($AV$354),$B$258=1),$AV$354,HLOOKUP(INDIRECT(ADDRESS(2,COLUMN())),OFFSET($BN$2,0,0,ROW()-1,60),ROW()-1,FALSE))</f>
        <v>21.681999999999999</v>
      </c>
      <c r="AW106">
        <f ca="1">IF(AND(ISNUMBER($AW$354),$B$258=1),$AW$354,HLOOKUP(INDIRECT(ADDRESS(2,COLUMN())),OFFSET($BN$2,0,0,ROW()-1,60),ROW()-1,FALSE))</f>
        <v>20.442</v>
      </c>
      <c r="AX106">
        <f ca="1">IF(AND(ISNUMBER($AX$354),$B$258=1),$AX$354,HLOOKUP(INDIRECT(ADDRESS(2,COLUMN())),OFFSET($BN$2,0,0,ROW()-1,60),ROW()-1,FALSE))</f>
        <v>13.032999999999999</v>
      </c>
      <c r="AY106">
        <f ca="1">IF(AND(ISNUMBER($AY$354),$B$258=1),$AY$354,HLOOKUP(INDIRECT(ADDRESS(2,COLUMN())),OFFSET($BN$2,0,0,ROW()-1,60),ROW()-1,FALSE))</f>
        <v>17.821000000000002</v>
      </c>
      <c r="AZ106">
        <f ca="1">IF(AND(ISNUMBER($AZ$354),$B$258=1),$AZ$354,HLOOKUP(INDIRECT(ADDRESS(2,COLUMN())),OFFSET($BN$2,0,0,ROW()-1,60),ROW()-1,FALSE))</f>
        <v>17.326000000000001</v>
      </c>
      <c r="BA106">
        <f ca="1">IF(AND(ISNUMBER($BA$354),$B$258=1),$BA$354,HLOOKUP(INDIRECT(ADDRESS(2,COLUMN())),OFFSET($BN$2,0,0,ROW()-1,60),ROW()-1,FALSE))</f>
        <v>16.242999999999999</v>
      </c>
      <c r="BB106">
        <f ca="1">IF(AND(ISNUMBER($BB$354),$B$258=1),$BB$354,HLOOKUP(INDIRECT(ADDRESS(2,COLUMN())),OFFSET($BN$2,0,0,ROW()-1,60),ROW()-1,FALSE))</f>
        <v>15.567</v>
      </c>
      <c r="BC106">
        <f ca="1">IF(AND(ISNUMBER($BC$354),$B$258=1),$BC$354,HLOOKUP(INDIRECT(ADDRESS(2,COLUMN())),OFFSET($BN$2,0,0,ROW()-1,60),ROW()-1,FALSE))</f>
        <v>13.775</v>
      </c>
      <c r="BD106">
        <f ca="1">IF(AND(ISNUMBER($BD$354),$B$258=1),$BD$354,HLOOKUP(INDIRECT(ADDRESS(2,COLUMN())),OFFSET($BN$2,0,0,ROW()-1,60),ROW()-1,FALSE))</f>
        <v>8.7680000000000007</v>
      </c>
      <c r="BE106">
        <f ca="1">IF(AND(ISNUMBER($BE$354),$B$258=1),$BE$354,HLOOKUP(INDIRECT(ADDRESS(2,COLUMN())),OFFSET($BN$2,0,0,ROW()-1,60),ROW()-1,FALSE))</f>
        <v>8.0850000000000009</v>
      </c>
      <c r="BF106">
        <f ca="1">IF(AND(ISNUMBER($BF$354),$B$258=1),$BF$354,HLOOKUP(INDIRECT(ADDRESS(2,COLUMN())),OFFSET($BN$2,0,0,ROW()-1,60),ROW()-1,FALSE))</f>
        <v>12.035</v>
      </c>
      <c r="BG106">
        <f ca="1">IF(AND(ISNUMBER($BG$354),$B$258=1),$BG$354,HLOOKUP(INDIRECT(ADDRESS(2,COLUMN())),OFFSET($BN$2,0,0,ROW()-1,60),ROW()-1,FALSE))</f>
        <v>10.647</v>
      </c>
      <c r="BH106">
        <f ca="1">IF(AND(ISNUMBER($BH$354),$B$258=1),$BH$354,HLOOKUP(INDIRECT(ADDRESS(2,COLUMN())),OFFSET($BN$2,0,0,ROW()-1,60),ROW()-1,FALSE))</f>
        <v>5.4000000950000002</v>
      </c>
      <c r="BI106">
        <f ca="1">IF(AND(ISNUMBER($BI$354),$B$258=1),$BI$354,HLOOKUP(INDIRECT(ADDRESS(2,COLUMN())),OFFSET($BN$2,0,0,ROW()-1,60),ROW()-1,FALSE))</f>
        <v>5.0999999049999998</v>
      </c>
      <c r="BJ106" t="str">
        <f ca="1">IF(AND(ISNUMBER($BJ$354),$B$258=1),$BJ$354,HLOOKUP(INDIRECT(ADDRESS(2,COLUMN())),OFFSET($BN$2,0,0,ROW()-1,60),ROW()-1,FALSE))</f>
        <v/>
      </c>
      <c r="BK106">
        <f ca="1">IF(AND(ISNUMBER($BK$354),$B$258=1),$BK$354,HLOOKUP(INDIRECT(ADDRESS(2,COLUMN())),OFFSET($BN$2,0,0,ROW()-1,60),ROW()-1,FALSE))</f>
        <v>11.01</v>
      </c>
      <c r="BL106" t="str">
        <f ca="1">IF(AND(ISNUMBER($BL$354),$B$258=1),$BL$354,HLOOKUP(INDIRECT(ADDRESS(2,COLUMN())),OFFSET($BN$2,0,0,ROW()-1,60),ROW()-1,FALSE))</f>
        <v/>
      </c>
      <c r="BM106">
        <f ca="1">IF(AND(ISNUMBER($BM$354),$B$258=1),$BM$354,HLOOKUP(INDIRECT(ADDRESS(2,COLUMN())),OFFSET($BN$2,0,0,ROW()-1,60),ROW()-1,FALSE))</f>
        <v>8.5</v>
      </c>
      <c r="BN106" t="str">
        <f>""</f>
        <v/>
      </c>
      <c r="BO106">
        <f>149.041</f>
        <v>149.041</v>
      </c>
      <c r="BP106">
        <f>150.555</f>
        <v>150.55500000000001</v>
      </c>
      <c r="BQ106">
        <f>161.995</f>
        <v>161.995</v>
      </c>
      <c r="BR106">
        <f>159.368</f>
        <v>159.36799999999999</v>
      </c>
      <c r="BS106">
        <f>163.238</f>
        <v>163.238</v>
      </c>
      <c r="BT106">
        <f>153.044</f>
        <v>153.04400000000001</v>
      </c>
      <c r="BU106">
        <f>153.964</f>
        <v>153.964</v>
      </c>
      <c r="BV106">
        <f>148.523</f>
        <v>148.523</v>
      </c>
      <c r="BW106">
        <f>142.97</f>
        <v>142.97</v>
      </c>
      <c r="BX106">
        <f>139.899</f>
        <v>139.899</v>
      </c>
      <c r="BY106">
        <f>136.537</f>
        <v>136.53700000000001</v>
      </c>
      <c r="BZ106">
        <f>82.255</f>
        <v>82.254999999999995</v>
      </c>
      <c r="CA106">
        <f>80.039</f>
        <v>80.039000000000001</v>
      </c>
      <c r="CB106">
        <f>81.305</f>
        <v>81.305000000000007</v>
      </c>
      <c r="CC106">
        <f>74.366</f>
        <v>74.366</v>
      </c>
      <c r="CD106">
        <f>83.448</f>
        <v>83.447999999999993</v>
      </c>
      <c r="CE106">
        <f>73.337</f>
        <v>73.337000000000003</v>
      </c>
      <c r="CF106">
        <f>69.798</f>
        <v>69.798000000000002</v>
      </c>
      <c r="CG106">
        <f>65.176</f>
        <v>65.176000000000002</v>
      </c>
      <c r="CH106">
        <f>65.655</f>
        <v>65.655000000000001</v>
      </c>
      <c r="CI106">
        <f>59.217</f>
        <v>59.216999999999999</v>
      </c>
      <c r="CJ106">
        <f>52.078</f>
        <v>52.078000000000003</v>
      </c>
      <c r="CK106">
        <f>49.11</f>
        <v>49.11</v>
      </c>
      <c r="CL106">
        <f>50.344</f>
        <v>50.344000000000001</v>
      </c>
      <c r="CM106">
        <f>48.602</f>
        <v>48.601999999999997</v>
      </c>
      <c r="CN106">
        <f>46.003</f>
        <v>46.003</v>
      </c>
      <c r="CO106">
        <f>45.163</f>
        <v>45.162999999999997</v>
      </c>
      <c r="CP106">
        <f>40.952</f>
        <v>40.951999999999998</v>
      </c>
      <c r="CQ106">
        <f>40.698</f>
        <v>40.698</v>
      </c>
      <c r="CR106">
        <f>40.523</f>
        <v>40.523000000000003</v>
      </c>
      <c r="CS106">
        <f>32</f>
        <v>32</v>
      </c>
      <c r="CT106">
        <f>31.561</f>
        <v>31.561</v>
      </c>
      <c r="CU106">
        <f>28.936</f>
        <v>28.936</v>
      </c>
      <c r="CV106">
        <f>28.417</f>
        <v>28.417000000000002</v>
      </c>
      <c r="CW106">
        <f>28.361</f>
        <v>28.361000000000001</v>
      </c>
      <c r="CX106">
        <f>28.133</f>
        <v>28.132999999999999</v>
      </c>
      <c r="CY106">
        <f>24.648</f>
        <v>24.648</v>
      </c>
      <c r="CZ106">
        <f>20.94</f>
        <v>20.94</v>
      </c>
      <c r="DA106">
        <f>25.33</f>
        <v>25.33</v>
      </c>
      <c r="DB106">
        <f>23.148</f>
        <v>23.148</v>
      </c>
      <c r="DC106">
        <f>22.034</f>
        <v>22.033999999999999</v>
      </c>
      <c r="DD106">
        <f>21.682</f>
        <v>21.681999999999999</v>
      </c>
      <c r="DE106">
        <f>20.442</f>
        <v>20.442</v>
      </c>
      <c r="DF106">
        <f>13.033</f>
        <v>13.032999999999999</v>
      </c>
      <c r="DG106">
        <f>17.821</f>
        <v>17.821000000000002</v>
      </c>
      <c r="DH106">
        <f>17.326</f>
        <v>17.326000000000001</v>
      </c>
      <c r="DI106">
        <f>16.243</f>
        <v>16.242999999999999</v>
      </c>
      <c r="DJ106">
        <f>15.567</f>
        <v>15.567</v>
      </c>
      <c r="DK106">
        <f>13.775</f>
        <v>13.775</v>
      </c>
      <c r="DL106">
        <f>8.768</f>
        <v>8.7680000000000007</v>
      </c>
      <c r="DM106">
        <f>8.085</f>
        <v>8.0850000000000009</v>
      </c>
      <c r="DN106">
        <f>12.035</f>
        <v>12.035</v>
      </c>
      <c r="DO106">
        <f>10.647</f>
        <v>10.647</v>
      </c>
      <c r="DP106">
        <f>5.400000095</f>
        <v>5.4000000950000002</v>
      </c>
      <c r="DQ106">
        <f>5.099999905</f>
        <v>5.0999999049999998</v>
      </c>
      <c r="DR106" t="str">
        <f>""</f>
        <v/>
      </c>
      <c r="DS106">
        <f>11.01</f>
        <v>11.01</v>
      </c>
      <c r="DT106" t="str">
        <f>""</f>
        <v/>
      </c>
      <c r="DU106">
        <f>8.5</f>
        <v>8.5</v>
      </c>
    </row>
    <row r="107" spans="1:125">
      <c r="A107" t="str">
        <f>"    Sabra Health Care REIT Inc"</f>
        <v xml:space="preserve">    Sabra Health Care REIT Inc</v>
      </c>
      <c r="B107" t="str">
        <f>"SBRA US Equity"</f>
        <v>SBRA US Equity</v>
      </c>
      <c r="C107" t="str">
        <f t="shared" si="24"/>
        <v>F0578</v>
      </c>
      <c r="D107" t="str">
        <f t="shared" si="25"/>
        <v>FUNDS_AVAILABLE_FOR_DISTRIBUTION</v>
      </c>
      <c r="E107" t="str">
        <f t="shared" si="26"/>
        <v>动态</v>
      </c>
      <c r="F107" t="str">
        <f ca="1">IF(AND(ISNUMBER($F$355),$B$258=1),$F$355,HLOOKUP(INDIRECT(ADDRESS(2,COLUMN())),OFFSET($BN$2,0,0,ROW()-1,60),ROW()-1,FALSE))</f>
        <v/>
      </c>
      <c r="G107">
        <f ca="1">IF(AND(ISNUMBER($G$355),$B$258=1),$G$355,HLOOKUP(INDIRECT(ADDRESS(2,COLUMN())),OFFSET($BN$2,0,0,ROW()-1,60),ROW()-1,FALSE))</f>
        <v>107.129</v>
      </c>
      <c r="H107">
        <f ca="1">IF(AND(ISNUMBER($H$355),$B$258=1),$H$355,HLOOKUP(INDIRECT(ADDRESS(2,COLUMN())),OFFSET($BN$2,0,0,ROW()-1,60),ROW()-1,FALSE))</f>
        <v>90.888000000000005</v>
      </c>
      <c r="I107">
        <f ca="1">IF(AND(ISNUMBER($I$355),$B$258=1),$I$355,HLOOKUP(INDIRECT(ADDRESS(2,COLUMN())),OFFSET($BN$2,0,0,ROW()-1,60),ROW()-1,FALSE))</f>
        <v>35.244</v>
      </c>
      <c r="J107">
        <f ca="1">IF(AND(ISNUMBER($J$355),$B$258=1),$J$355,HLOOKUP(INDIRECT(ADDRESS(2,COLUMN())),OFFSET($BN$2,0,0,ROW()-1,60),ROW()-1,FALSE))</f>
        <v>35.271999999999998</v>
      </c>
      <c r="K107">
        <f ca="1">IF(AND(ISNUMBER($K$355),$B$258=1),$K$355,HLOOKUP(INDIRECT(ADDRESS(2,COLUMN())),OFFSET($BN$2,0,0,ROW()-1,60),ROW()-1,FALSE))</f>
        <v>33.695999999999998</v>
      </c>
      <c r="L107">
        <f ca="1">IF(AND(ISNUMBER($L$355),$B$258=1),$L$355,HLOOKUP(INDIRECT(ADDRESS(2,COLUMN())),OFFSET($BN$2,0,0,ROW()-1,60),ROW()-1,FALSE))</f>
        <v>34.856999999999999</v>
      </c>
      <c r="M107">
        <f ca="1">IF(AND(ISNUMBER($M$355),$B$258=1),$M$355,HLOOKUP(INDIRECT(ADDRESS(2,COLUMN())),OFFSET($BN$2,0,0,ROW()-1,60),ROW()-1,FALSE))</f>
        <v>38.258000000000003</v>
      </c>
      <c r="N107">
        <f ca="1">IF(AND(ISNUMBER($N$355),$B$258=1),$N$355,HLOOKUP(INDIRECT(ADDRESS(2,COLUMN())),OFFSET($BN$2,0,0,ROW()-1,60),ROW()-1,FALSE))</f>
        <v>34.770000000000003</v>
      </c>
      <c r="O107">
        <f ca="1">IF(AND(ISNUMBER($O$355),$B$258=1),$O$355,HLOOKUP(INDIRECT(ADDRESS(2,COLUMN())),OFFSET($BN$2,0,0,ROW()-1,60),ROW()-1,FALSE))</f>
        <v>38.158000000000001</v>
      </c>
      <c r="P107">
        <f ca="1">IF(AND(ISNUMBER($P$355),$B$258=1),$P$355,HLOOKUP(INDIRECT(ADDRESS(2,COLUMN())),OFFSET($BN$2,0,0,ROW()-1,60),ROW()-1,FALSE))</f>
        <v>34.508000000000003</v>
      </c>
      <c r="Q107">
        <f ca="1">IF(AND(ISNUMBER($Q$355),$B$258=1),$Q$355,HLOOKUP(INDIRECT(ADDRESS(2,COLUMN())),OFFSET($BN$2,0,0,ROW()-1,60),ROW()-1,FALSE))</f>
        <v>30.79</v>
      </c>
      <c r="R107">
        <f ca="1">IF(AND(ISNUMBER($R$355),$B$258=1),$R$355,HLOOKUP(INDIRECT(ADDRESS(2,COLUMN())),OFFSET($BN$2,0,0,ROW()-1,60),ROW()-1,FALSE))</f>
        <v>30.879000000000001</v>
      </c>
      <c r="S107">
        <f ca="1">IF(AND(ISNUMBER($S$355),$B$258=1),$S$355,HLOOKUP(INDIRECT(ADDRESS(2,COLUMN())),OFFSET($BN$2,0,0,ROW()-1,60),ROW()-1,FALSE))</f>
        <v>30.486000000000001</v>
      </c>
      <c r="T107">
        <f ca="1">IF(AND(ISNUMBER($T$355),$B$258=1),$T$355,HLOOKUP(INDIRECT(ADDRESS(2,COLUMN())),OFFSET($BN$2,0,0,ROW()-1,60),ROW()-1,FALSE))</f>
        <v>24.622</v>
      </c>
      <c r="U107">
        <f ca="1">IF(AND(ISNUMBER($U$355),$B$258=1),$U$355,HLOOKUP(INDIRECT(ADDRESS(2,COLUMN())),OFFSET($BN$2,0,0,ROW()-1,60),ROW()-1,FALSE))</f>
        <v>23.609000000000002</v>
      </c>
      <c r="V107">
        <f ca="1">IF(AND(ISNUMBER($V$355),$B$258=1),$V$355,HLOOKUP(INDIRECT(ADDRESS(2,COLUMN())),OFFSET($BN$2,0,0,ROW()-1,60),ROW()-1,FALSE))</f>
        <v>21.12</v>
      </c>
      <c r="W107">
        <f ca="1">IF(AND(ISNUMBER($W$355),$B$258=1),$W$355,HLOOKUP(INDIRECT(ADDRESS(2,COLUMN())),OFFSET($BN$2,0,0,ROW()-1,60),ROW()-1,FALSE))</f>
        <v>19.478000000000002</v>
      </c>
      <c r="X107">
        <f ca="1">IF(AND(ISNUMBER($X$355),$B$258=1),$X$355,HLOOKUP(INDIRECT(ADDRESS(2,COLUMN())),OFFSET($BN$2,0,0,ROW()-1,60),ROW()-1,FALSE))</f>
        <v>16.260999999999999</v>
      </c>
      <c r="Y107">
        <f ca="1">IF(AND(ISNUMBER($Y$355),$B$258=1),$Y$355,HLOOKUP(INDIRECT(ADDRESS(2,COLUMN())),OFFSET($BN$2,0,0,ROW()-1,60),ROW()-1,FALSE))</f>
        <v>14.026999999999999</v>
      </c>
      <c r="Z107">
        <f ca="1">IF(AND(ISNUMBER($Z$355),$B$258=1),$Z$355,HLOOKUP(INDIRECT(ADDRESS(2,COLUMN())),OFFSET($BN$2,0,0,ROW()-1,60),ROW()-1,FALSE))</f>
        <v>16.559000000000001</v>
      </c>
      <c r="AA107">
        <f ca="1">IF(AND(ISNUMBER($AA$355),$B$258=1),$AA$355,HLOOKUP(INDIRECT(ADDRESS(2,COLUMN())),OFFSET($BN$2,0,0,ROW()-1,60),ROW()-1,FALSE))</f>
        <v>15.606</v>
      </c>
      <c r="AB107">
        <f ca="1">IF(AND(ISNUMBER($AB$355),$B$258=1),$AB$355,HLOOKUP(INDIRECT(ADDRESS(2,COLUMN())),OFFSET($BN$2,0,0,ROW()-1,60),ROW()-1,FALSE))</f>
        <v>14.868</v>
      </c>
      <c r="AC107">
        <f ca="1">IF(AND(ISNUMBER($AC$355),$B$258=1),$AC$355,HLOOKUP(INDIRECT(ADDRESS(2,COLUMN())),OFFSET($BN$2,0,0,ROW()-1,60),ROW()-1,FALSE))</f>
        <v>15.669</v>
      </c>
      <c r="AD107">
        <f ca="1">IF(AND(ISNUMBER($AD$355),$B$258=1),$AD$355,HLOOKUP(INDIRECT(ADDRESS(2,COLUMN())),OFFSET($BN$2,0,0,ROW()-1,60),ROW()-1,FALSE))</f>
        <v>13.999000000000001</v>
      </c>
      <c r="AE107">
        <f ca="1">IF(AND(ISNUMBER($AE$355),$B$258=1),$AE$355,HLOOKUP(INDIRECT(ADDRESS(2,COLUMN())),OFFSET($BN$2,0,0,ROW()-1,60),ROW()-1,FALSE))</f>
        <v>13.667999999999999</v>
      </c>
      <c r="AF107">
        <f ca="1">IF(AND(ISNUMBER($AF$355),$B$258=1),$AF$355,HLOOKUP(INDIRECT(ADDRESS(2,COLUMN())),OFFSET($BN$2,0,0,ROW()-1,60),ROW()-1,FALSE))</f>
        <v>12.529</v>
      </c>
      <c r="AG107">
        <f ca="1">IF(AND(ISNUMBER($AG$355),$B$258=1),$AG$355,HLOOKUP(INDIRECT(ADDRESS(2,COLUMN())),OFFSET($BN$2,0,0,ROW()-1,60),ROW()-1,FALSE))</f>
        <v>10.308</v>
      </c>
      <c r="AH107">
        <f ca="1">IF(AND(ISNUMBER($AH$355),$B$258=1),$AH$355,HLOOKUP(INDIRECT(ADDRESS(2,COLUMN())),OFFSET($BN$2,0,0,ROW()-1,60),ROW()-1,FALSE))</f>
        <v>9.3670000000000009</v>
      </c>
      <c r="AI107" t="str">
        <f ca="1">IF(AND(ISNUMBER($AI$355),$B$258=1),$AI$355,HLOOKUP(INDIRECT(ADDRESS(2,COLUMN())),OFFSET($BN$2,0,0,ROW()-1,60),ROW()-1,FALSE))</f>
        <v/>
      </c>
      <c r="AJ107" t="str">
        <f ca="1">IF(AND(ISNUMBER($AJ$355),$B$258=1),$AJ$355,HLOOKUP(INDIRECT(ADDRESS(2,COLUMN())),OFFSET($BN$2,0,0,ROW()-1,60),ROW()-1,FALSE))</f>
        <v/>
      </c>
      <c r="AK107" t="str">
        <f ca="1">IF(AND(ISNUMBER($AK$355),$B$258=1),$AK$355,HLOOKUP(INDIRECT(ADDRESS(2,COLUMN())),OFFSET($BN$2,0,0,ROW()-1,60),ROW()-1,FALSE))</f>
        <v/>
      </c>
      <c r="AL107" t="str">
        <f ca="1">IF(AND(ISNUMBER($AL$355),$B$258=1),$AL$355,HLOOKUP(INDIRECT(ADDRESS(2,COLUMN())),OFFSET($BN$2,0,0,ROW()-1,60),ROW()-1,FALSE))</f>
        <v/>
      </c>
      <c r="AM107" t="str">
        <f ca="1">IF(AND(ISNUMBER($AM$355),$B$258=1),$AM$355,HLOOKUP(INDIRECT(ADDRESS(2,COLUMN())),OFFSET($BN$2,0,0,ROW()-1,60),ROW()-1,FALSE))</f>
        <v/>
      </c>
      <c r="AN107" t="str">
        <f ca="1">IF(AND(ISNUMBER($AN$355),$B$258=1),$AN$355,HLOOKUP(INDIRECT(ADDRESS(2,COLUMN())),OFFSET($BN$2,0,0,ROW()-1,60),ROW()-1,FALSE))</f>
        <v/>
      </c>
      <c r="AO107" t="str">
        <f ca="1">IF(AND(ISNUMBER($AO$355),$B$258=1),$AO$355,HLOOKUP(INDIRECT(ADDRESS(2,COLUMN())),OFFSET($BN$2,0,0,ROW()-1,60),ROW()-1,FALSE))</f>
        <v/>
      </c>
      <c r="AP107" t="str">
        <f ca="1">IF(AND(ISNUMBER($AP$355),$B$258=1),$AP$355,HLOOKUP(INDIRECT(ADDRESS(2,COLUMN())),OFFSET($BN$2,0,0,ROW()-1,60),ROW()-1,FALSE))</f>
        <v/>
      </c>
      <c r="AQ107" t="str">
        <f ca="1">IF(AND(ISNUMBER($AQ$355),$B$258=1),$AQ$355,HLOOKUP(INDIRECT(ADDRESS(2,COLUMN())),OFFSET($BN$2,0,0,ROW()-1,60),ROW()-1,FALSE))</f>
        <v/>
      </c>
      <c r="AR107" t="str">
        <f ca="1">IF(AND(ISNUMBER($AR$355),$B$258=1),$AR$355,HLOOKUP(INDIRECT(ADDRESS(2,COLUMN())),OFFSET($BN$2,0,0,ROW()-1,60),ROW()-1,FALSE))</f>
        <v/>
      </c>
      <c r="AS107" t="str">
        <f ca="1">IF(AND(ISNUMBER($AS$355),$B$258=1),$AS$355,HLOOKUP(INDIRECT(ADDRESS(2,COLUMN())),OFFSET($BN$2,0,0,ROW()-1,60),ROW()-1,FALSE))</f>
        <v/>
      </c>
      <c r="AT107" t="str">
        <f ca="1">IF(AND(ISNUMBER($AT$355),$B$258=1),$AT$355,HLOOKUP(INDIRECT(ADDRESS(2,COLUMN())),OFFSET($BN$2,0,0,ROW()-1,60),ROW()-1,FALSE))</f>
        <v/>
      </c>
      <c r="AU107" t="str">
        <f ca="1">IF(AND(ISNUMBER($AU$355),$B$258=1),$AU$355,HLOOKUP(INDIRECT(ADDRESS(2,COLUMN())),OFFSET($BN$2,0,0,ROW()-1,60),ROW()-1,FALSE))</f>
        <v/>
      </c>
      <c r="AV107" t="str">
        <f ca="1">IF(AND(ISNUMBER($AV$355),$B$258=1),$AV$355,HLOOKUP(INDIRECT(ADDRESS(2,COLUMN())),OFFSET($BN$2,0,0,ROW()-1,60),ROW()-1,FALSE))</f>
        <v/>
      </c>
      <c r="AW107" t="str">
        <f ca="1">IF(AND(ISNUMBER($AW$355),$B$258=1),$AW$355,HLOOKUP(INDIRECT(ADDRESS(2,COLUMN())),OFFSET($BN$2,0,0,ROW()-1,60),ROW()-1,FALSE))</f>
        <v/>
      </c>
      <c r="AX107" t="str">
        <f ca="1">IF(AND(ISNUMBER($AX$355),$B$258=1),$AX$355,HLOOKUP(INDIRECT(ADDRESS(2,COLUMN())),OFFSET($BN$2,0,0,ROW()-1,60),ROW()-1,FALSE))</f>
        <v/>
      </c>
      <c r="AY107" t="str">
        <f ca="1">IF(AND(ISNUMBER($AY$355),$B$258=1),$AY$355,HLOOKUP(INDIRECT(ADDRESS(2,COLUMN())),OFFSET($BN$2,0,0,ROW()-1,60),ROW()-1,FALSE))</f>
        <v/>
      </c>
      <c r="AZ107" t="str">
        <f ca="1">IF(AND(ISNUMBER($AZ$355),$B$258=1),$AZ$355,HLOOKUP(INDIRECT(ADDRESS(2,COLUMN())),OFFSET($BN$2,0,0,ROW()-1,60),ROW()-1,FALSE))</f>
        <v/>
      </c>
      <c r="BA107" t="str">
        <f ca="1">IF(AND(ISNUMBER($BA$355),$B$258=1),$BA$355,HLOOKUP(INDIRECT(ADDRESS(2,COLUMN())),OFFSET($BN$2,0,0,ROW()-1,60),ROW()-1,FALSE))</f>
        <v/>
      </c>
      <c r="BB107" t="str">
        <f ca="1">IF(AND(ISNUMBER($BB$355),$B$258=1),$BB$355,HLOOKUP(INDIRECT(ADDRESS(2,COLUMN())),OFFSET($BN$2,0,0,ROW()-1,60),ROW()-1,FALSE))</f>
        <v/>
      </c>
      <c r="BC107" t="str">
        <f ca="1">IF(AND(ISNUMBER($BC$355),$B$258=1),$BC$355,HLOOKUP(INDIRECT(ADDRESS(2,COLUMN())),OFFSET($BN$2,0,0,ROW()-1,60),ROW()-1,FALSE))</f>
        <v/>
      </c>
      <c r="BD107" t="str">
        <f ca="1">IF(AND(ISNUMBER($BD$355),$B$258=1),$BD$355,HLOOKUP(INDIRECT(ADDRESS(2,COLUMN())),OFFSET($BN$2,0,0,ROW()-1,60),ROW()-1,FALSE))</f>
        <v/>
      </c>
      <c r="BE107" t="str">
        <f ca="1">IF(AND(ISNUMBER($BE$355),$B$258=1),$BE$355,HLOOKUP(INDIRECT(ADDRESS(2,COLUMN())),OFFSET($BN$2,0,0,ROW()-1,60),ROW()-1,FALSE))</f>
        <v/>
      </c>
      <c r="BF107" t="str">
        <f ca="1">IF(AND(ISNUMBER($BF$355),$B$258=1),$BF$355,HLOOKUP(INDIRECT(ADDRESS(2,COLUMN())),OFFSET($BN$2,0,0,ROW()-1,60),ROW()-1,FALSE))</f>
        <v/>
      </c>
      <c r="BG107" t="str">
        <f ca="1">IF(AND(ISNUMBER($BG$355),$B$258=1),$BG$355,HLOOKUP(INDIRECT(ADDRESS(2,COLUMN())),OFFSET($BN$2,0,0,ROW()-1,60),ROW()-1,FALSE))</f>
        <v/>
      </c>
      <c r="BH107" t="str">
        <f ca="1">IF(AND(ISNUMBER($BH$355),$B$258=1),$BH$355,HLOOKUP(INDIRECT(ADDRESS(2,COLUMN())),OFFSET($BN$2,0,0,ROW()-1,60),ROW()-1,FALSE))</f>
        <v/>
      </c>
      <c r="BI107" t="str">
        <f ca="1">IF(AND(ISNUMBER($BI$355),$B$258=1),$BI$355,HLOOKUP(INDIRECT(ADDRESS(2,COLUMN())),OFFSET($BN$2,0,0,ROW()-1,60),ROW()-1,FALSE))</f>
        <v/>
      </c>
      <c r="BJ107" t="str">
        <f ca="1">IF(AND(ISNUMBER($BJ$355),$B$258=1),$BJ$355,HLOOKUP(INDIRECT(ADDRESS(2,COLUMN())),OFFSET($BN$2,0,0,ROW()-1,60),ROW()-1,FALSE))</f>
        <v/>
      </c>
      <c r="BK107" t="str">
        <f ca="1">IF(AND(ISNUMBER($BK$355),$B$258=1),$BK$355,HLOOKUP(INDIRECT(ADDRESS(2,COLUMN())),OFFSET($BN$2,0,0,ROW()-1,60),ROW()-1,FALSE))</f>
        <v/>
      </c>
      <c r="BL107" t="str">
        <f ca="1">IF(AND(ISNUMBER($BL$355),$B$258=1),$BL$355,HLOOKUP(INDIRECT(ADDRESS(2,COLUMN())),OFFSET($BN$2,0,0,ROW()-1,60),ROW()-1,FALSE))</f>
        <v/>
      </c>
      <c r="BM107" t="str">
        <f ca="1">IF(AND(ISNUMBER($BM$355),$B$258=1),$BM$355,HLOOKUP(INDIRECT(ADDRESS(2,COLUMN())),OFFSET($BN$2,0,0,ROW()-1,60),ROW()-1,FALSE))</f>
        <v/>
      </c>
      <c r="BN107" t="str">
        <f>""</f>
        <v/>
      </c>
      <c r="BO107">
        <f>107.129</f>
        <v>107.129</v>
      </c>
      <c r="BP107">
        <f>90.888</f>
        <v>90.888000000000005</v>
      </c>
      <c r="BQ107">
        <f>35.244</f>
        <v>35.244</v>
      </c>
      <c r="BR107">
        <f>35.272</f>
        <v>35.271999999999998</v>
      </c>
      <c r="BS107">
        <f>33.696</f>
        <v>33.695999999999998</v>
      </c>
      <c r="BT107">
        <f>34.857</f>
        <v>34.856999999999999</v>
      </c>
      <c r="BU107">
        <f>38.258</f>
        <v>38.258000000000003</v>
      </c>
      <c r="BV107">
        <f>34.77</f>
        <v>34.770000000000003</v>
      </c>
      <c r="BW107">
        <f>38.158</f>
        <v>38.158000000000001</v>
      </c>
      <c r="BX107">
        <f>34.508</f>
        <v>34.508000000000003</v>
      </c>
      <c r="BY107">
        <f>30.79</f>
        <v>30.79</v>
      </c>
      <c r="BZ107">
        <f>30.879</f>
        <v>30.879000000000001</v>
      </c>
      <c r="CA107">
        <f>30.486</f>
        <v>30.486000000000001</v>
      </c>
      <c r="CB107">
        <f>24.622</f>
        <v>24.622</v>
      </c>
      <c r="CC107">
        <f>23.609</f>
        <v>23.609000000000002</v>
      </c>
      <c r="CD107">
        <f>21.12</f>
        <v>21.12</v>
      </c>
      <c r="CE107">
        <f>19.478</f>
        <v>19.478000000000002</v>
      </c>
      <c r="CF107">
        <f>16.261</f>
        <v>16.260999999999999</v>
      </c>
      <c r="CG107">
        <f>14.027</f>
        <v>14.026999999999999</v>
      </c>
      <c r="CH107">
        <f>16.559</f>
        <v>16.559000000000001</v>
      </c>
      <c r="CI107">
        <f>15.606</f>
        <v>15.606</v>
      </c>
      <c r="CJ107">
        <f>14.868</f>
        <v>14.868</v>
      </c>
      <c r="CK107">
        <f>15.669</f>
        <v>15.669</v>
      </c>
      <c r="CL107">
        <f>13.999</f>
        <v>13.999000000000001</v>
      </c>
      <c r="CM107">
        <f>13.668</f>
        <v>13.667999999999999</v>
      </c>
      <c r="CN107">
        <f>12.529</f>
        <v>12.529</v>
      </c>
      <c r="CO107">
        <f>10.308</f>
        <v>10.308</v>
      </c>
      <c r="CP107">
        <f>9.367</f>
        <v>9.3670000000000009</v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</row>
    <row r="108" spans="1:125">
      <c r="A108" t="str">
        <f>"    Senior Housing Properties Trus"</f>
        <v xml:space="preserve">    Senior Housing Properties Trus</v>
      </c>
      <c r="B108" t="str">
        <f>"SNH US Equity"</f>
        <v>SNH US Equity</v>
      </c>
      <c r="C108" t="str">
        <f t="shared" si="24"/>
        <v>F0578</v>
      </c>
      <c r="D108" t="str">
        <f t="shared" si="25"/>
        <v>FUNDS_AVAILABLE_FOR_DISTRIBUTION</v>
      </c>
      <c r="E108" t="str">
        <f t="shared" si="26"/>
        <v>动态</v>
      </c>
      <c r="F108" t="str">
        <f ca="1">IF(AND(ISNUMBER($F$356),$B$258=1),$F$356,HLOOKUP(INDIRECT(ADDRESS(2,COLUMN())),OFFSET($BN$2,0,0,ROW()-1,60),ROW()-1,FALSE))</f>
        <v/>
      </c>
      <c r="G108">
        <f ca="1">IF(AND(ISNUMBER($G$356),$B$258=1),$G$356,HLOOKUP(INDIRECT(ADDRESS(2,COLUMN())),OFFSET($BN$2,0,0,ROW()-1,60),ROW()-1,FALSE))</f>
        <v>73.072000000000003</v>
      </c>
      <c r="H108">
        <f ca="1">IF(AND(ISNUMBER($H$356),$B$258=1),$H$356,HLOOKUP(INDIRECT(ADDRESS(2,COLUMN())),OFFSET($BN$2,0,0,ROW()-1,60),ROW()-1,FALSE))</f>
        <v>116.498</v>
      </c>
      <c r="I108">
        <f ca="1">IF(AND(ISNUMBER($I$356),$B$258=1),$I$356,HLOOKUP(INDIRECT(ADDRESS(2,COLUMN())),OFFSET($BN$2,0,0,ROW()-1,60),ROW()-1,FALSE))</f>
        <v>114.91</v>
      </c>
      <c r="J108">
        <f ca="1">IF(AND(ISNUMBER($J$356),$B$258=1),$J$356,HLOOKUP(INDIRECT(ADDRESS(2,COLUMN())),OFFSET($BN$2,0,0,ROW()-1,60),ROW()-1,FALSE))</f>
        <v>117.825</v>
      </c>
      <c r="K108">
        <f ca="1">IF(AND(ISNUMBER($K$356),$B$258=1),$K$356,HLOOKUP(INDIRECT(ADDRESS(2,COLUMN())),OFFSET($BN$2,0,0,ROW()-1,60),ROW()-1,FALSE))</f>
        <v>135.471</v>
      </c>
      <c r="L108">
        <f ca="1">IF(AND(ISNUMBER($L$356),$B$258=1),$L$356,HLOOKUP(INDIRECT(ADDRESS(2,COLUMN())),OFFSET($BN$2,0,0,ROW()-1,60),ROW()-1,FALSE))</f>
        <v>118.20699999999999</v>
      </c>
      <c r="M108">
        <f ca="1">IF(AND(ISNUMBER($M$356),$B$258=1),$M$356,HLOOKUP(INDIRECT(ADDRESS(2,COLUMN())),OFFSET($BN$2,0,0,ROW()-1,60),ROW()-1,FALSE))</f>
        <v>121.456</v>
      </c>
      <c r="N108">
        <f ca="1">IF(AND(ISNUMBER($N$356),$B$258=1),$N$356,HLOOKUP(INDIRECT(ADDRESS(2,COLUMN())),OFFSET($BN$2,0,0,ROW()-1,60),ROW()-1,FALSE))</f>
        <v>119.325</v>
      </c>
      <c r="O108">
        <f ca="1">IF(AND(ISNUMBER($O$356),$B$258=1),$O$356,HLOOKUP(INDIRECT(ADDRESS(2,COLUMN())),OFFSET($BN$2,0,0,ROW()-1,60),ROW()-1,FALSE))</f>
        <v>125.047</v>
      </c>
      <c r="P108">
        <f ca="1">IF(AND(ISNUMBER($P$356),$B$258=1),$P$356,HLOOKUP(INDIRECT(ADDRESS(2,COLUMN())),OFFSET($BN$2,0,0,ROW()-1,60),ROW()-1,FALSE))</f>
        <v>118.233</v>
      </c>
      <c r="Q108">
        <f ca="1">IF(AND(ISNUMBER($Q$356),$B$258=1),$Q$356,HLOOKUP(INDIRECT(ADDRESS(2,COLUMN())),OFFSET($BN$2,0,0,ROW()-1,60),ROW()-1,FALSE))</f>
        <v>114.444</v>
      </c>
      <c r="R108">
        <f ca="1">IF(AND(ISNUMBER($R$356),$B$258=1),$R$356,HLOOKUP(INDIRECT(ADDRESS(2,COLUMN())),OFFSET($BN$2,0,0,ROW()-1,60),ROW()-1,FALSE))</f>
        <v>104.363</v>
      </c>
      <c r="S108">
        <f ca="1">IF(AND(ISNUMBER($S$356),$B$258=1),$S$356,HLOOKUP(INDIRECT(ADDRESS(2,COLUMN())),OFFSET($BN$2,0,0,ROW()-1,60),ROW()-1,FALSE))</f>
        <v>89.605999999999995</v>
      </c>
      <c r="T108">
        <f ca="1">IF(AND(ISNUMBER($T$356),$B$258=1),$T$356,HLOOKUP(INDIRECT(ADDRESS(2,COLUMN())),OFFSET($BN$2,0,0,ROW()-1,60),ROW()-1,FALSE))</f>
        <v>101.224</v>
      </c>
      <c r="U108">
        <f ca="1">IF(AND(ISNUMBER($U$356),$B$258=1),$U$356,HLOOKUP(INDIRECT(ADDRESS(2,COLUMN())),OFFSET($BN$2,0,0,ROW()-1,60),ROW()-1,FALSE))</f>
        <v>90.361999999999995</v>
      </c>
      <c r="V108">
        <f ca="1">IF(AND(ISNUMBER($V$356),$B$258=1),$V$356,HLOOKUP(INDIRECT(ADDRESS(2,COLUMN())),OFFSET($BN$2,0,0,ROW()-1,60),ROW()-1,FALSE))</f>
        <v>81.602000000000004</v>
      </c>
      <c r="W108">
        <f ca="1">IF(AND(ISNUMBER($W$356),$B$258=1),$W$356,HLOOKUP(INDIRECT(ADDRESS(2,COLUMN())),OFFSET($BN$2,0,0,ROW()-1,60),ROW()-1,FALSE))</f>
        <v>84.328999999999994</v>
      </c>
      <c r="X108">
        <f ca="1">IF(AND(ISNUMBER($X$356),$B$258=1),$X$356,HLOOKUP(INDIRECT(ADDRESS(2,COLUMN())),OFFSET($BN$2,0,0,ROW()-1,60),ROW()-1,FALSE))</f>
        <v>85.924000000000007</v>
      </c>
      <c r="Y108">
        <f ca="1">IF(AND(ISNUMBER($Y$356),$B$258=1),$Y$356,HLOOKUP(INDIRECT(ADDRESS(2,COLUMN())),OFFSET($BN$2,0,0,ROW()-1,60),ROW()-1,FALSE))</f>
        <v>82.204999999999998</v>
      </c>
      <c r="Z108">
        <f ca="1">IF(AND(ISNUMBER($Z$356),$B$258=1),$Z$356,HLOOKUP(INDIRECT(ADDRESS(2,COLUMN())),OFFSET($BN$2,0,0,ROW()-1,60),ROW()-1,FALSE))</f>
        <v>78.278999999999996</v>
      </c>
      <c r="AA108">
        <f ca="1">IF(AND(ISNUMBER($AA$356),$B$258=1),$AA$356,HLOOKUP(INDIRECT(ADDRESS(2,COLUMN())),OFFSET($BN$2,0,0,ROW()-1,60),ROW()-1,FALSE))</f>
        <v>77.313999999999993</v>
      </c>
      <c r="AB108">
        <f ca="1">IF(AND(ISNUMBER($AB$356),$B$258=1),$AB$356,HLOOKUP(INDIRECT(ADDRESS(2,COLUMN())),OFFSET($BN$2,0,0,ROW()-1,60),ROW()-1,FALSE))</f>
        <v>53.573999999999998</v>
      </c>
      <c r="AC108">
        <f ca="1">IF(AND(ISNUMBER($AC$356),$B$258=1),$AC$356,HLOOKUP(INDIRECT(ADDRESS(2,COLUMN())),OFFSET($BN$2,0,0,ROW()-1,60),ROW()-1,FALSE))</f>
        <v>71.430999999999997</v>
      </c>
      <c r="AD108">
        <f ca="1">IF(AND(ISNUMBER($AD$356),$B$258=1),$AD$356,HLOOKUP(INDIRECT(ADDRESS(2,COLUMN())),OFFSET($BN$2,0,0,ROW()-1,60),ROW()-1,FALSE))</f>
        <v>72.927000000000007</v>
      </c>
      <c r="AE108">
        <f ca="1">IF(AND(ISNUMBER($AE$356),$B$258=1),$AE$356,HLOOKUP(INDIRECT(ADDRESS(2,COLUMN())),OFFSET($BN$2,0,0,ROW()-1,60),ROW()-1,FALSE))</f>
        <v>54.969000000000001</v>
      </c>
      <c r="AF108">
        <f ca="1">IF(AND(ISNUMBER($AF$356),$B$258=1),$AF$356,HLOOKUP(INDIRECT(ADDRESS(2,COLUMN())),OFFSET($BN$2,0,0,ROW()-1,60),ROW()-1,FALSE))</f>
        <v>61.859000000000002</v>
      </c>
      <c r="AG108">
        <f ca="1">IF(AND(ISNUMBER($AG$356),$B$258=1),$AG$356,HLOOKUP(INDIRECT(ADDRESS(2,COLUMN())),OFFSET($BN$2,0,0,ROW()-1,60),ROW()-1,FALSE))</f>
        <v>56.947000000000003</v>
      </c>
      <c r="AH108">
        <f ca="1">IF(AND(ISNUMBER($AH$356),$B$258=1),$AH$356,HLOOKUP(INDIRECT(ADDRESS(2,COLUMN())),OFFSET($BN$2,0,0,ROW()-1,60),ROW()-1,FALSE))</f>
        <v>60.792000000000002</v>
      </c>
      <c r="AI108">
        <f ca="1">IF(AND(ISNUMBER($AI$356),$B$258=1),$AI$356,HLOOKUP(INDIRECT(ADDRESS(2,COLUMN())),OFFSET($BN$2,0,0,ROW()-1,60),ROW()-1,FALSE))</f>
        <v>50.671999999999997</v>
      </c>
      <c r="AJ108">
        <f ca="1">IF(AND(ISNUMBER($AJ$356),$B$258=1),$AJ$356,HLOOKUP(INDIRECT(ADDRESS(2,COLUMN())),OFFSET($BN$2,0,0,ROW()-1,60),ROW()-1,FALSE))</f>
        <v>52.945999999999998</v>
      </c>
      <c r="AK108">
        <f ca="1">IF(AND(ISNUMBER($AK$356),$B$258=1),$AK$356,HLOOKUP(INDIRECT(ADDRESS(2,COLUMN())),OFFSET($BN$2,0,0,ROW()-1,60),ROW()-1,FALSE))</f>
        <v>51.161999999999999</v>
      </c>
      <c r="AL108">
        <f ca="1">IF(AND(ISNUMBER($AL$356),$B$258=1),$AL$356,HLOOKUP(INDIRECT(ADDRESS(2,COLUMN())),OFFSET($BN$2,0,0,ROW()-1,60),ROW()-1,FALSE))</f>
        <v>53.92</v>
      </c>
      <c r="AM108">
        <f ca="1">IF(AND(ISNUMBER($AM$356),$B$258=1),$AM$356,HLOOKUP(INDIRECT(ADDRESS(2,COLUMN())),OFFSET($BN$2,0,0,ROW()-1,60),ROW()-1,FALSE))</f>
        <v>51.476999999999997</v>
      </c>
      <c r="AN108">
        <f ca="1">IF(AND(ISNUMBER($AN$356),$B$258=1),$AN$356,HLOOKUP(INDIRECT(ADDRESS(2,COLUMN())),OFFSET($BN$2,0,0,ROW()-1,60),ROW()-1,FALSE))</f>
        <v>49.326000000000001</v>
      </c>
      <c r="AO108">
        <f ca="1">IF(AND(ISNUMBER($AO$356),$B$258=1),$AO$356,HLOOKUP(INDIRECT(ADDRESS(2,COLUMN())),OFFSET($BN$2,0,0,ROW()-1,60),ROW()-1,FALSE))</f>
        <v>52.292999999999999</v>
      </c>
      <c r="AP108">
        <f ca="1">IF(AND(ISNUMBER($AP$356),$B$258=1),$AP$356,HLOOKUP(INDIRECT(ADDRESS(2,COLUMN())),OFFSET($BN$2,0,0,ROW()-1,60),ROW()-1,FALSE))</f>
        <v>51.738</v>
      </c>
      <c r="AQ108">
        <f ca="1">IF(AND(ISNUMBER($AQ$356),$B$258=1),$AQ$356,HLOOKUP(INDIRECT(ADDRESS(2,COLUMN())),OFFSET($BN$2,0,0,ROW()-1,60),ROW()-1,FALSE))</f>
        <v>49.042999999999999</v>
      </c>
      <c r="AR108">
        <f ca="1">IF(AND(ISNUMBER($AR$356),$B$258=1),$AR$356,HLOOKUP(INDIRECT(ADDRESS(2,COLUMN())),OFFSET($BN$2,0,0,ROW()-1,60),ROW()-1,FALSE))</f>
        <v>47.658000000000001</v>
      </c>
      <c r="AS108">
        <f ca="1">IF(AND(ISNUMBER($AS$356),$B$258=1),$AS$356,HLOOKUP(INDIRECT(ADDRESS(2,COLUMN())),OFFSET($BN$2,0,0,ROW()-1,60),ROW()-1,FALSE))</f>
        <v>42.396000000000001</v>
      </c>
      <c r="AT108">
        <f ca="1">IF(AND(ISNUMBER($AT$356),$B$258=1),$AT$356,HLOOKUP(INDIRECT(ADDRESS(2,COLUMN())),OFFSET($BN$2,0,0,ROW()-1,60),ROW()-1,FALSE))</f>
        <v>39.024000000000001</v>
      </c>
      <c r="AU108">
        <f ca="1">IF(AND(ISNUMBER($AU$356),$B$258=1),$AU$356,HLOOKUP(INDIRECT(ADDRESS(2,COLUMN())),OFFSET($BN$2,0,0,ROW()-1,60),ROW()-1,FALSE))</f>
        <v>35.869</v>
      </c>
      <c r="AV108">
        <f ca="1">IF(AND(ISNUMBER($AV$356),$B$258=1),$AV$356,HLOOKUP(INDIRECT(ADDRESS(2,COLUMN())),OFFSET($BN$2,0,0,ROW()-1,60),ROW()-1,FALSE))</f>
        <v>34.65</v>
      </c>
      <c r="AW108">
        <f ca="1">IF(AND(ISNUMBER($AW$356),$B$258=1),$AW$356,HLOOKUP(INDIRECT(ADDRESS(2,COLUMN())),OFFSET($BN$2,0,0,ROW()-1,60),ROW()-1,FALSE))</f>
        <v>34.598999999999997</v>
      </c>
      <c r="AX108">
        <f ca="1">IF(AND(ISNUMBER($AX$356),$B$258=1),$AX$356,HLOOKUP(INDIRECT(ADDRESS(2,COLUMN())),OFFSET($BN$2,0,0,ROW()-1,60),ROW()-1,FALSE))</f>
        <v>31.393000000000001</v>
      </c>
      <c r="AY108">
        <f ca="1">IF(AND(ISNUMBER($AY$356),$B$258=1),$AY$356,HLOOKUP(INDIRECT(ADDRESS(2,COLUMN())),OFFSET($BN$2,0,0,ROW()-1,60),ROW()-1,FALSE))</f>
        <v>35.341000000000001</v>
      </c>
      <c r="AZ108">
        <f ca="1">IF(AND(ISNUMBER($AZ$356),$B$258=1),$AZ$356,HLOOKUP(INDIRECT(ADDRESS(2,COLUMN())),OFFSET($BN$2,0,0,ROW()-1,60),ROW()-1,FALSE))</f>
        <v>27.98</v>
      </c>
      <c r="BA108">
        <f ca="1">IF(AND(ISNUMBER($BA$356),$B$258=1),$BA$356,HLOOKUP(INDIRECT(ADDRESS(2,COLUMN())),OFFSET($BN$2,0,0,ROW()-1,60),ROW()-1,FALSE))</f>
        <v>28.222999999999999</v>
      </c>
      <c r="BB108">
        <f ca="1">IF(AND(ISNUMBER($BB$356),$B$258=1),$BB$356,HLOOKUP(INDIRECT(ADDRESS(2,COLUMN())),OFFSET($BN$2,0,0,ROW()-1,60),ROW()-1,FALSE))</f>
        <v>23.922000000000001</v>
      </c>
      <c r="BC108">
        <f ca="1">IF(AND(ISNUMBER($BC$356),$B$258=1),$BC$356,HLOOKUP(INDIRECT(ADDRESS(2,COLUMN())),OFFSET($BN$2,0,0,ROW()-1,60),ROW()-1,FALSE))</f>
        <v>26.305</v>
      </c>
      <c r="BD108">
        <f ca="1">IF(AND(ISNUMBER($BD$356),$B$258=1),$BD$356,HLOOKUP(INDIRECT(ADDRESS(2,COLUMN())),OFFSET($BN$2,0,0,ROW()-1,60),ROW()-1,FALSE))</f>
        <v>35.86000061</v>
      </c>
      <c r="BE108">
        <f ca="1">IF(AND(ISNUMBER($BE$356),$B$258=1),$BE$356,HLOOKUP(INDIRECT(ADDRESS(2,COLUMN())),OFFSET($BN$2,0,0,ROW()-1,60),ROW()-1,FALSE))</f>
        <v>25.850000380000001</v>
      </c>
      <c r="BF108">
        <f ca="1">IF(AND(ISNUMBER($BF$356),$B$258=1),$BF$356,HLOOKUP(INDIRECT(ADDRESS(2,COLUMN())),OFFSET($BN$2,0,0,ROW()-1,60),ROW()-1,FALSE))</f>
        <v>25.426000599999998</v>
      </c>
      <c r="BG108">
        <f ca="1">IF(AND(ISNUMBER($BG$356),$B$258=1),$BG$356,HLOOKUP(INDIRECT(ADDRESS(2,COLUMN())),OFFSET($BN$2,0,0,ROW()-1,60),ROW()-1,FALSE))</f>
        <v>24.39</v>
      </c>
      <c r="BH108">
        <f ca="1">IF(AND(ISNUMBER($BH$356),$B$258=1),$BH$356,HLOOKUP(INDIRECT(ADDRESS(2,COLUMN())),OFFSET($BN$2,0,0,ROW()-1,60),ROW()-1,FALSE))</f>
        <v>23.437000269999999</v>
      </c>
      <c r="BI108">
        <f ca="1">IF(AND(ISNUMBER($BI$356),$B$258=1),$BI$356,HLOOKUP(INDIRECT(ADDRESS(2,COLUMN())),OFFSET($BN$2,0,0,ROW()-1,60),ROW()-1,FALSE))</f>
        <v>23.302999499999999</v>
      </c>
      <c r="BJ108">
        <f ca="1">IF(AND(ISNUMBER($BJ$356),$B$258=1),$BJ$356,HLOOKUP(INDIRECT(ADDRESS(2,COLUMN())),OFFSET($BN$2,0,0,ROW()-1,60),ROW()-1,FALSE))</f>
        <v>23.694000240000001</v>
      </c>
      <c r="BK108">
        <f ca="1">IF(AND(ISNUMBER($BK$356),$B$258=1),$BK$356,HLOOKUP(INDIRECT(ADDRESS(2,COLUMN())),OFFSET($BN$2,0,0,ROW()-1,60),ROW()-1,FALSE))</f>
        <v>20.520000459999999</v>
      </c>
      <c r="BL108" t="str">
        <f ca="1">IF(AND(ISNUMBER($BL$356),$B$258=1),$BL$356,HLOOKUP(INDIRECT(ADDRESS(2,COLUMN())),OFFSET($BN$2,0,0,ROW()-1,60),ROW()-1,FALSE))</f>
        <v/>
      </c>
      <c r="BM108" t="str">
        <f ca="1">IF(AND(ISNUMBER($BM$356),$B$258=1),$BM$356,HLOOKUP(INDIRECT(ADDRESS(2,COLUMN())),OFFSET($BN$2,0,0,ROW()-1,60),ROW()-1,FALSE))</f>
        <v/>
      </c>
      <c r="BN108" t="str">
        <f>""</f>
        <v/>
      </c>
      <c r="BO108">
        <f>73.072</f>
        <v>73.072000000000003</v>
      </c>
      <c r="BP108">
        <f>116.498</f>
        <v>116.498</v>
      </c>
      <c r="BQ108">
        <f>114.91</f>
        <v>114.91</v>
      </c>
      <c r="BR108">
        <f>117.825</f>
        <v>117.825</v>
      </c>
      <c r="BS108">
        <f>135.471</f>
        <v>135.471</v>
      </c>
      <c r="BT108">
        <f>118.207</f>
        <v>118.20699999999999</v>
      </c>
      <c r="BU108">
        <f>121.456</f>
        <v>121.456</v>
      </c>
      <c r="BV108">
        <f>119.325</f>
        <v>119.325</v>
      </c>
      <c r="BW108">
        <f>125.047</f>
        <v>125.047</v>
      </c>
      <c r="BX108">
        <f>118.233</f>
        <v>118.233</v>
      </c>
      <c r="BY108">
        <f>114.444</f>
        <v>114.444</v>
      </c>
      <c r="BZ108">
        <f>104.363</f>
        <v>104.363</v>
      </c>
      <c r="CA108">
        <f>89.606</f>
        <v>89.605999999999995</v>
      </c>
      <c r="CB108">
        <f>101.224</f>
        <v>101.224</v>
      </c>
      <c r="CC108">
        <f>90.362</f>
        <v>90.361999999999995</v>
      </c>
      <c r="CD108">
        <f>81.602</f>
        <v>81.602000000000004</v>
      </c>
      <c r="CE108">
        <f>84.329</f>
        <v>84.328999999999994</v>
      </c>
      <c r="CF108">
        <f>85.924</f>
        <v>85.924000000000007</v>
      </c>
      <c r="CG108">
        <f>82.205</f>
        <v>82.204999999999998</v>
      </c>
      <c r="CH108">
        <f>78.279</f>
        <v>78.278999999999996</v>
      </c>
      <c r="CI108">
        <f>77.314</f>
        <v>77.313999999999993</v>
      </c>
      <c r="CJ108">
        <f>53.574</f>
        <v>53.573999999999998</v>
      </c>
      <c r="CK108">
        <f>71.431</f>
        <v>71.430999999999997</v>
      </c>
      <c r="CL108">
        <f>72.927</f>
        <v>72.927000000000007</v>
      </c>
      <c r="CM108">
        <f>54.969</f>
        <v>54.969000000000001</v>
      </c>
      <c r="CN108">
        <f>61.859</f>
        <v>61.859000000000002</v>
      </c>
      <c r="CO108">
        <f>56.947</f>
        <v>56.947000000000003</v>
      </c>
      <c r="CP108">
        <f>60.792</f>
        <v>60.792000000000002</v>
      </c>
      <c r="CQ108">
        <f>50.672</f>
        <v>50.671999999999997</v>
      </c>
      <c r="CR108">
        <f>52.946</f>
        <v>52.945999999999998</v>
      </c>
      <c r="CS108">
        <f>51.162</f>
        <v>51.161999999999999</v>
      </c>
      <c r="CT108">
        <f>53.92</f>
        <v>53.92</v>
      </c>
      <c r="CU108">
        <f>51.477</f>
        <v>51.476999999999997</v>
      </c>
      <c r="CV108">
        <f>49.326</f>
        <v>49.326000000000001</v>
      </c>
      <c r="CW108">
        <f>52.293</f>
        <v>52.292999999999999</v>
      </c>
      <c r="CX108">
        <f>51.738</f>
        <v>51.738</v>
      </c>
      <c r="CY108">
        <f>49.043</f>
        <v>49.042999999999999</v>
      </c>
      <c r="CZ108">
        <f>47.658</f>
        <v>47.658000000000001</v>
      </c>
      <c r="DA108">
        <f>42.396</f>
        <v>42.396000000000001</v>
      </c>
      <c r="DB108">
        <f>39.024</f>
        <v>39.024000000000001</v>
      </c>
      <c r="DC108">
        <f>35.869</f>
        <v>35.869</v>
      </c>
      <c r="DD108">
        <f>34.65</f>
        <v>34.65</v>
      </c>
      <c r="DE108">
        <f>34.599</f>
        <v>34.598999999999997</v>
      </c>
      <c r="DF108">
        <f>31.393</f>
        <v>31.393000000000001</v>
      </c>
      <c r="DG108">
        <f>35.341</f>
        <v>35.341000000000001</v>
      </c>
      <c r="DH108">
        <f>27.98</f>
        <v>27.98</v>
      </c>
      <c r="DI108">
        <f>28.223</f>
        <v>28.222999999999999</v>
      </c>
      <c r="DJ108">
        <f>23.922</f>
        <v>23.922000000000001</v>
      </c>
      <c r="DK108">
        <f>26.305</f>
        <v>26.305</v>
      </c>
      <c r="DL108">
        <f>35.86000061</f>
        <v>35.86000061</v>
      </c>
      <c r="DM108">
        <f>25.85000038</f>
        <v>25.850000380000001</v>
      </c>
      <c r="DN108">
        <f>25.4260006</f>
        <v>25.426000599999998</v>
      </c>
      <c r="DO108">
        <f>24.39</f>
        <v>24.39</v>
      </c>
      <c r="DP108">
        <f>23.43700027</f>
        <v>23.437000269999999</v>
      </c>
      <c r="DQ108">
        <f>23.3029995</f>
        <v>23.302999499999999</v>
      </c>
      <c r="DR108">
        <f>23.69400024</f>
        <v>23.694000240000001</v>
      </c>
      <c r="DS108">
        <f>20.52000046</f>
        <v>20.520000459999999</v>
      </c>
      <c r="DT108" t="str">
        <f>""</f>
        <v/>
      </c>
      <c r="DU108" t="str">
        <f>""</f>
        <v/>
      </c>
    </row>
    <row r="109" spans="1:125">
      <c r="A109" t="str">
        <f>"    Ventas Inc"</f>
        <v xml:space="preserve">    Ventas Inc</v>
      </c>
      <c r="B109" t="str">
        <f>"VTR US Equity"</f>
        <v>VTR US Equity</v>
      </c>
      <c r="C109" t="str">
        <f t="shared" si="24"/>
        <v>F0578</v>
      </c>
      <c r="D109" t="str">
        <f t="shared" si="25"/>
        <v>FUNDS_AVAILABLE_FOR_DISTRIBUTION</v>
      </c>
      <c r="E109" t="str">
        <f t="shared" si="26"/>
        <v>动态</v>
      </c>
      <c r="F109" t="str">
        <f ca="1">IF(AND(ISNUMBER($F$357),$B$258=1),$F$357,HLOOKUP(INDIRECT(ADDRESS(2,COLUMN())),OFFSET($BN$2,0,0,ROW()-1,60),ROW()-1,FALSE))</f>
        <v/>
      </c>
      <c r="G109">
        <f ca="1">IF(AND(ISNUMBER($G$357),$B$258=1),$G$357,HLOOKUP(INDIRECT(ADDRESS(2,COLUMN())),OFFSET($BN$2,0,0,ROW()-1,60),ROW()-1,FALSE))</f>
        <v>321.31400000000002</v>
      </c>
      <c r="H109">
        <f ca="1">IF(AND(ISNUMBER($H$357),$B$258=1),$H$357,HLOOKUP(INDIRECT(ADDRESS(2,COLUMN())),OFFSET($BN$2,0,0,ROW()-1,60),ROW()-1,FALSE))</f>
        <v>340.048</v>
      </c>
      <c r="I109">
        <f ca="1">IF(AND(ISNUMBER($I$357),$B$258=1),$I$357,HLOOKUP(INDIRECT(ADDRESS(2,COLUMN())),OFFSET($BN$2,0,0,ROW()-1,60),ROW()-1,FALSE))</f>
        <v>343.67700000000002</v>
      </c>
      <c r="J109">
        <f ca="1">IF(AND(ISNUMBER($J$357),$B$258=1),$J$357,HLOOKUP(INDIRECT(ADDRESS(2,COLUMN())),OFFSET($BN$2,0,0,ROW()-1,60),ROW()-1,FALSE))</f>
        <v>340.90100000000001</v>
      </c>
      <c r="K109">
        <f ca="1">IF(AND(ISNUMBER($K$357),$B$258=1),$K$357,HLOOKUP(INDIRECT(ADDRESS(2,COLUMN())),OFFSET($BN$2,0,0,ROW()-1,60),ROW()-1,FALSE))</f>
        <v>319.42099999999999</v>
      </c>
      <c r="L109">
        <f ca="1">IF(AND(ISNUMBER($L$357),$B$258=1),$L$357,HLOOKUP(INDIRECT(ADDRESS(2,COLUMN())),OFFSET($BN$2,0,0,ROW()-1,60),ROW()-1,FALSE))</f>
        <v>331.01</v>
      </c>
      <c r="M109">
        <f ca="1">IF(AND(ISNUMBER($M$357),$B$258=1),$M$357,HLOOKUP(INDIRECT(ADDRESS(2,COLUMN())),OFFSET($BN$2,0,0,ROW()-1,60),ROW()-1,FALSE))</f>
        <v>325.33</v>
      </c>
      <c r="N109">
        <f ca="1">IF(AND(ISNUMBER($N$357),$B$258=1),$N$357,HLOOKUP(INDIRECT(ADDRESS(2,COLUMN())),OFFSET($BN$2,0,0,ROW()-1,60),ROW()-1,FALSE))</f>
        <v>319.27499999999998</v>
      </c>
      <c r="O109">
        <f ca="1">IF(AND(ISNUMBER($O$357),$B$258=1),$O$357,HLOOKUP(INDIRECT(ADDRESS(2,COLUMN())),OFFSET($BN$2,0,0,ROW()-1,60),ROW()-1,FALSE))</f>
        <v>278.983</v>
      </c>
      <c r="P109">
        <f ca="1">IF(AND(ISNUMBER($P$357),$B$258=1),$P$357,HLOOKUP(INDIRECT(ADDRESS(2,COLUMN())),OFFSET($BN$2,0,0,ROW()-1,60),ROW()-1,FALSE))</f>
        <v>324.91199999999998</v>
      </c>
      <c r="Q109">
        <f ca="1">IF(AND(ISNUMBER($Q$357),$B$258=1),$Q$357,HLOOKUP(INDIRECT(ADDRESS(2,COLUMN())),OFFSET($BN$2,0,0,ROW()-1,60),ROW()-1,FALSE))</f>
        <v>362.03100000000001</v>
      </c>
      <c r="R109">
        <f ca="1">IF(AND(ISNUMBER($R$357),$B$258=1),$R$357,HLOOKUP(INDIRECT(ADDRESS(2,COLUMN())),OFFSET($BN$2,0,0,ROW()-1,60),ROW()-1,FALSE))</f>
        <v>355.90499999999997</v>
      </c>
      <c r="S109">
        <f ca="1">IF(AND(ISNUMBER($S$357),$B$258=1),$S$357,HLOOKUP(INDIRECT(ADDRESS(2,COLUMN())),OFFSET($BN$2,0,0,ROW()-1,60),ROW()-1,FALSE))</f>
        <v>327.77100000000002</v>
      </c>
      <c r="T109">
        <f ca="1">IF(AND(ISNUMBER($T$357),$B$258=1),$T$357,HLOOKUP(INDIRECT(ADDRESS(2,COLUMN())),OFFSET($BN$2,0,0,ROW()-1,60),ROW()-1,FALSE))</f>
        <v>301.38499999999999</v>
      </c>
      <c r="U109">
        <f ca="1">IF(AND(ISNUMBER($U$357),$B$258=1),$U$357,HLOOKUP(INDIRECT(ADDRESS(2,COLUMN())),OFFSET($BN$2,0,0,ROW()-1,60),ROW()-1,FALSE))</f>
        <v>300.774</v>
      </c>
      <c r="V109">
        <f ca="1">IF(AND(ISNUMBER($V$357),$B$258=1),$V$357,HLOOKUP(INDIRECT(ADDRESS(2,COLUMN())),OFFSET($BN$2,0,0,ROW()-1,60),ROW()-1,FALSE))</f>
        <v>297.00400000000002</v>
      </c>
      <c r="W109">
        <f ca="1">IF(AND(ISNUMBER($W$357),$B$258=1),$W$357,HLOOKUP(INDIRECT(ADDRESS(2,COLUMN())),OFFSET($BN$2,0,0,ROW()-1,60),ROW()-1,FALSE))</f>
        <v>256.44499999999999</v>
      </c>
      <c r="X109">
        <f ca="1">IF(AND(ISNUMBER($X$357),$B$258=1),$X$357,HLOOKUP(INDIRECT(ADDRESS(2,COLUMN())),OFFSET($BN$2,0,0,ROW()-1,60),ROW()-1,FALSE))</f>
        <v>307.16399999999999</v>
      </c>
      <c r="Y109">
        <f ca="1">IF(AND(ISNUMBER($Y$357),$B$258=1),$Y$357,HLOOKUP(INDIRECT(ADDRESS(2,COLUMN())),OFFSET($BN$2,0,0,ROW()-1,60),ROW()-1,FALSE))</f>
        <v>281.57600000000002</v>
      </c>
      <c r="Z109">
        <f ca="1">IF(AND(ISNUMBER($Z$357),$B$258=1),$Z$357,HLOOKUP(INDIRECT(ADDRESS(2,COLUMN())),OFFSET($BN$2,0,0,ROW()-1,60),ROW()-1,FALSE))</f>
        <v>278.565</v>
      </c>
      <c r="AA109">
        <f ca="1">IF(AND(ISNUMBER($AA$357),$B$258=1),$AA$357,HLOOKUP(INDIRECT(ADDRESS(2,COLUMN())),OFFSET($BN$2,0,0,ROW()-1,60),ROW()-1,FALSE))</f>
        <v>261.99099999999999</v>
      </c>
      <c r="AB109">
        <f ca="1">IF(AND(ISNUMBER($AB$357),$B$258=1),$AB$357,HLOOKUP(INDIRECT(ADDRESS(2,COLUMN())),OFFSET($BN$2,0,0,ROW()-1,60),ROW()-1,FALSE))</f>
        <v>269.82</v>
      </c>
      <c r="AC109">
        <f ca="1">IF(AND(ISNUMBER($AC$357),$B$258=1),$AC$357,HLOOKUP(INDIRECT(ADDRESS(2,COLUMN())),OFFSET($BN$2,0,0,ROW()-1,60),ROW()-1,FALSE))</f>
        <v>247.61600000000001</v>
      </c>
      <c r="AD109">
        <f ca="1">IF(AND(ISNUMBER($AD$357),$B$258=1),$AD$357,HLOOKUP(INDIRECT(ADDRESS(2,COLUMN())),OFFSET($BN$2,0,0,ROW()-1,60),ROW()-1,FALSE))</f>
        <v>237.79599999999999</v>
      </c>
      <c r="AE109">
        <f ca="1">IF(AND(ISNUMBER($AE$357),$B$258=1),$AE$357,HLOOKUP(INDIRECT(ADDRESS(2,COLUMN())),OFFSET($BN$2,0,0,ROW()-1,60),ROW()-1,FALSE))</f>
        <v>230.834</v>
      </c>
      <c r="AF109">
        <f ca="1">IF(AND(ISNUMBER($AF$357),$B$258=1),$AF$357,HLOOKUP(INDIRECT(ADDRESS(2,COLUMN())),OFFSET($BN$2,0,0,ROW()-1,60),ROW()-1,FALSE))</f>
        <v>239.958</v>
      </c>
      <c r="AG109">
        <f ca="1">IF(AND(ISNUMBER($AG$357),$B$258=1),$AG$357,HLOOKUP(INDIRECT(ADDRESS(2,COLUMN())),OFFSET($BN$2,0,0,ROW()-1,60),ROW()-1,FALSE))</f>
        <v>133.84700000000001</v>
      </c>
      <c r="AH109">
        <f ca="1">IF(AND(ISNUMBER($AH$357),$B$258=1),$AH$357,HLOOKUP(INDIRECT(ADDRESS(2,COLUMN())),OFFSET($BN$2,0,0,ROW()-1,60),ROW()-1,FALSE))</f>
        <v>113.053</v>
      </c>
      <c r="AI109">
        <f ca="1">IF(AND(ISNUMBER($AI$357),$B$258=1),$AI$357,HLOOKUP(INDIRECT(ADDRESS(2,COLUMN())),OFFSET($BN$2,0,0,ROW()-1,60),ROW()-1,FALSE))</f>
        <v>107.623</v>
      </c>
      <c r="AJ109">
        <f ca="1">IF(AND(ISNUMBER($AJ$357),$B$258=1),$AJ$357,HLOOKUP(INDIRECT(ADDRESS(2,COLUMN())),OFFSET($BN$2,0,0,ROW()-1,60),ROW()-1,FALSE))</f>
        <v>109.282</v>
      </c>
      <c r="AK109">
        <f ca="1">IF(AND(ISNUMBER($AK$357),$B$258=1),$AK$357,HLOOKUP(INDIRECT(ADDRESS(2,COLUMN())),OFFSET($BN$2,0,0,ROW()-1,60),ROW()-1,FALSE))</f>
        <v>106.575</v>
      </c>
      <c r="AL109">
        <f ca="1">IF(AND(ISNUMBER($AL$357),$B$258=1),$AL$357,HLOOKUP(INDIRECT(ADDRESS(2,COLUMN())),OFFSET($BN$2,0,0,ROW()-1,60),ROW()-1,FALSE))</f>
        <v>98.459000000000003</v>
      </c>
      <c r="AM109">
        <f ca="1">IF(AND(ISNUMBER($AM$357),$B$258=1),$AM$357,HLOOKUP(INDIRECT(ADDRESS(2,COLUMN())),OFFSET($BN$2,0,0,ROW()-1,60),ROW()-1,FALSE))</f>
        <v>93.034000000000006</v>
      </c>
      <c r="AN109">
        <f ca="1">IF(AND(ISNUMBER($AN$357),$B$258=1),$AN$357,HLOOKUP(INDIRECT(ADDRESS(2,COLUMN())),OFFSET($BN$2,0,0,ROW()-1,60),ROW()-1,FALSE))</f>
        <v>97.259</v>
      </c>
      <c r="AO109">
        <f ca="1">IF(AND(ISNUMBER($AO$357),$B$258=1),$AO$357,HLOOKUP(INDIRECT(ADDRESS(2,COLUMN())),OFFSET($BN$2,0,0,ROW()-1,60),ROW()-1,FALSE))</f>
        <v>101.46</v>
      </c>
      <c r="AP109">
        <f ca="1">IF(AND(ISNUMBER($AP$357),$B$258=1),$AP$357,HLOOKUP(INDIRECT(ADDRESS(2,COLUMN())),OFFSET($BN$2,0,0,ROW()-1,60),ROW()-1,FALSE))</f>
        <v>91.51</v>
      </c>
      <c r="AQ109">
        <f ca="1">IF(AND(ISNUMBER($AQ$357),$B$258=1),$AQ$357,HLOOKUP(INDIRECT(ADDRESS(2,COLUMN())),OFFSET($BN$2,0,0,ROW()-1,60),ROW()-1,FALSE))</f>
        <v>86.91</v>
      </c>
      <c r="AR109">
        <f ca="1">IF(AND(ISNUMBER($AR$357),$B$258=1),$AR$357,HLOOKUP(INDIRECT(ADDRESS(2,COLUMN())),OFFSET($BN$2,0,0,ROW()-1,60),ROW()-1,FALSE))</f>
        <v>89.936999999999998</v>
      </c>
      <c r="AS109">
        <f ca="1">IF(AND(ISNUMBER($AS$357),$B$258=1),$AS$357,HLOOKUP(INDIRECT(ADDRESS(2,COLUMN())),OFFSET($BN$2,0,0,ROW()-1,60),ROW()-1,FALSE))</f>
        <v>92.951999999999998</v>
      </c>
      <c r="AT109">
        <f ca="1">IF(AND(ISNUMBER($AT$357),$B$258=1),$AT$357,HLOOKUP(INDIRECT(ADDRESS(2,COLUMN())),OFFSET($BN$2,0,0,ROW()-1,60),ROW()-1,FALSE))</f>
        <v>86.89</v>
      </c>
      <c r="AU109">
        <f ca="1">IF(AND(ISNUMBER($AU$357),$B$258=1),$AU$357,HLOOKUP(INDIRECT(ADDRESS(2,COLUMN())),OFFSET($BN$2,0,0,ROW()-1,60),ROW()-1,FALSE))</f>
        <v>80.381</v>
      </c>
      <c r="AV109">
        <f ca="1">IF(AND(ISNUMBER($AV$357),$B$258=1),$AV$357,HLOOKUP(INDIRECT(ADDRESS(2,COLUMN())),OFFSET($BN$2,0,0,ROW()-1,60),ROW()-1,FALSE))</f>
        <v>82.123999999999995</v>
      </c>
      <c r="AW109">
        <f ca="1">IF(AND(ISNUMBER($AW$357),$B$258=1),$AW$357,HLOOKUP(INDIRECT(ADDRESS(2,COLUMN())),OFFSET($BN$2,0,0,ROW()-1,60),ROW()-1,FALSE))</f>
        <v>81.751999999999995</v>
      </c>
      <c r="AX109">
        <f ca="1">IF(AND(ISNUMBER($AX$357),$B$258=1),$AX$357,HLOOKUP(INDIRECT(ADDRESS(2,COLUMN())),OFFSET($BN$2,0,0,ROW()-1,60),ROW()-1,FALSE))</f>
        <v>67.832999999999998</v>
      </c>
      <c r="AY109">
        <f ca="1">IF(AND(ISNUMBER($AY$357),$B$258=1),$AY$357,HLOOKUP(INDIRECT(ADDRESS(2,COLUMN())),OFFSET($BN$2,0,0,ROW()-1,60),ROW()-1,FALSE))</f>
        <v>60.292999999999999</v>
      </c>
      <c r="AZ109">
        <f ca="1">IF(AND(ISNUMBER($AZ$357),$B$258=1),$AZ$357,HLOOKUP(INDIRECT(ADDRESS(2,COLUMN())),OFFSET($BN$2,0,0,ROW()-1,60),ROW()-1,FALSE))</f>
        <v>54.718361000000002</v>
      </c>
      <c r="BA109">
        <f ca="1">IF(AND(ISNUMBER($BA$357),$B$258=1),$BA$357,HLOOKUP(INDIRECT(ADDRESS(2,COLUMN())),OFFSET($BN$2,0,0,ROW()-1,60),ROW()-1,FALSE))</f>
        <v>54.585999999999999</v>
      </c>
      <c r="BB109">
        <f ca="1">IF(AND(ISNUMBER($BB$357),$B$258=1),$BB$357,HLOOKUP(INDIRECT(ADDRESS(2,COLUMN())),OFFSET($BN$2,0,0,ROW()-1,60),ROW()-1,FALSE))</f>
        <v>52.512999999999998</v>
      </c>
      <c r="BC109">
        <f ca="1">IF(AND(ISNUMBER($BC$357),$B$258=1),$BC$357,HLOOKUP(INDIRECT(ADDRESS(2,COLUMN())),OFFSET($BN$2,0,0,ROW()-1,60),ROW()-1,FALSE))</f>
        <v>70.679000000000002</v>
      </c>
      <c r="BD109">
        <f ca="1">IF(AND(ISNUMBER($BD$357),$B$258=1),$BD$357,HLOOKUP(INDIRECT(ADDRESS(2,COLUMN())),OFFSET($BN$2,0,0,ROW()-1,60),ROW()-1,FALSE))</f>
        <v>56.343000000000004</v>
      </c>
      <c r="BE109">
        <f ca="1">IF(AND(ISNUMBER($BE$357),$B$258=1),$BE$357,HLOOKUP(INDIRECT(ADDRESS(2,COLUMN())),OFFSET($BN$2,0,0,ROW()-1,60),ROW()-1,FALSE))</f>
        <v>45.433</v>
      </c>
      <c r="BF109">
        <f ca="1">IF(AND(ISNUMBER($BF$357),$B$258=1),$BF$357,HLOOKUP(INDIRECT(ADDRESS(2,COLUMN())),OFFSET($BN$2,0,0,ROW()-1,60),ROW()-1,FALSE))</f>
        <v>40.747999999999998</v>
      </c>
      <c r="BG109">
        <f ca="1">IF(AND(ISNUMBER($BG$357),$B$258=1),$BG$357,HLOOKUP(INDIRECT(ADDRESS(2,COLUMN())),OFFSET($BN$2,0,0,ROW()-1,60),ROW()-1,FALSE))</f>
        <v>40.128</v>
      </c>
      <c r="BH109">
        <f ca="1">IF(AND(ISNUMBER($BH$357),$B$258=1),$BH$357,HLOOKUP(INDIRECT(ADDRESS(2,COLUMN())),OFFSET($BN$2,0,0,ROW()-1,60),ROW()-1,FALSE))</f>
        <v>38.450000000000003</v>
      </c>
      <c r="BI109">
        <f ca="1">IF(AND(ISNUMBER($BI$357),$B$258=1),$BI$357,HLOOKUP(INDIRECT(ADDRESS(2,COLUMN())),OFFSET($BN$2,0,0,ROW()-1,60),ROW()-1,FALSE))</f>
        <v>37.695999999999998</v>
      </c>
      <c r="BJ109">
        <f ca="1">IF(AND(ISNUMBER($BJ$357),$B$258=1),$BJ$357,HLOOKUP(INDIRECT(ADDRESS(2,COLUMN())),OFFSET($BN$2,0,0,ROW()-1,60),ROW()-1,FALSE))</f>
        <v>34.048000000000002</v>
      </c>
      <c r="BK109">
        <f ca="1">IF(AND(ISNUMBER($BK$357),$B$258=1),$BK$357,HLOOKUP(INDIRECT(ADDRESS(2,COLUMN())),OFFSET($BN$2,0,0,ROW()-1,60),ROW()-1,FALSE))</f>
        <v>32.262001040000001</v>
      </c>
      <c r="BL109">
        <f ca="1">IF(AND(ISNUMBER($BL$357),$B$258=1),$BL$357,HLOOKUP(INDIRECT(ADDRESS(2,COLUMN())),OFFSET($BN$2,0,0,ROW()-1,60),ROW()-1,FALSE))</f>
        <v>40.311000819999997</v>
      </c>
      <c r="BM109">
        <f ca="1">IF(AND(ISNUMBER($BM$357),$B$258=1),$BM$357,HLOOKUP(INDIRECT(ADDRESS(2,COLUMN())),OFFSET($BN$2,0,0,ROW()-1,60),ROW()-1,FALSE))</f>
        <v>32.118000000000002</v>
      </c>
      <c r="BN109" t="str">
        <f>""</f>
        <v/>
      </c>
      <c r="BO109">
        <f>321.314</f>
        <v>321.31400000000002</v>
      </c>
      <c r="BP109">
        <f>340.048</f>
        <v>340.048</v>
      </c>
      <c r="BQ109">
        <f>343.677</f>
        <v>343.67700000000002</v>
      </c>
      <c r="BR109">
        <f>340.901</f>
        <v>340.90100000000001</v>
      </c>
      <c r="BS109">
        <f>319.421</f>
        <v>319.42099999999999</v>
      </c>
      <c r="BT109">
        <f>331.01</f>
        <v>331.01</v>
      </c>
      <c r="BU109">
        <f>325.33</f>
        <v>325.33</v>
      </c>
      <c r="BV109">
        <f>319.275</f>
        <v>319.27499999999998</v>
      </c>
      <c r="BW109">
        <f>278.983</f>
        <v>278.983</v>
      </c>
      <c r="BX109">
        <f>324.912</f>
        <v>324.91199999999998</v>
      </c>
      <c r="BY109">
        <f>362.031</f>
        <v>362.03100000000001</v>
      </c>
      <c r="BZ109">
        <f>355.905</f>
        <v>355.90499999999997</v>
      </c>
      <c r="CA109">
        <f>327.771</f>
        <v>327.77100000000002</v>
      </c>
      <c r="CB109">
        <f>301.385</f>
        <v>301.38499999999999</v>
      </c>
      <c r="CC109">
        <f>300.774</f>
        <v>300.774</v>
      </c>
      <c r="CD109">
        <f>297.004</f>
        <v>297.00400000000002</v>
      </c>
      <c r="CE109">
        <f>256.445</f>
        <v>256.44499999999999</v>
      </c>
      <c r="CF109">
        <f>307.164</f>
        <v>307.16399999999999</v>
      </c>
      <c r="CG109">
        <f>281.576</f>
        <v>281.57600000000002</v>
      </c>
      <c r="CH109">
        <f>278.565</f>
        <v>278.565</v>
      </c>
      <c r="CI109">
        <f>261.991</f>
        <v>261.99099999999999</v>
      </c>
      <c r="CJ109">
        <f>269.82</f>
        <v>269.82</v>
      </c>
      <c r="CK109">
        <f>247.616</f>
        <v>247.61600000000001</v>
      </c>
      <c r="CL109">
        <f>237.796</f>
        <v>237.79599999999999</v>
      </c>
      <c r="CM109">
        <f>230.834</f>
        <v>230.834</v>
      </c>
      <c r="CN109">
        <f>239.958</f>
        <v>239.958</v>
      </c>
      <c r="CO109">
        <f>133.847</f>
        <v>133.84700000000001</v>
      </c>
      <c r="CP109">
        <f>113.053</f>
        <v>113.053</v>
      </c>
      <c r="CQ109">
        <f>107.623</f>
        <v>107.623</v>
      </c>
      <c r="CR109">
        <f>109.282</f>
        <v>109.282</v>
      </c>
      <c r="CS109">
        <f>106.575</f>
        <v>106.575</v>
      </c>
      <c r="CT109">
        <f>98.459</f>
        <v>98.459000000000003</v>
      </c>
      <c r="CU109">
        <f>93.034</f>
        <v>93.034000000000006</v>
      </c>
      <c r="CV109">
        <f>97.259</f>
        <v>97.259</v>
      </c>
      <c r="CW109">
        <f>101.46</f>
        <v>101.46</v>
      </c>
      <c r="CX109">
        <f>91.51</f>
        <v>91.51</v>
      </c>
      <c r="CY109">
        <f>86.91</f>
        <v>86.91</v>
      </c>
      <c r="CZ109">
        <f>89.937</f>
        <v>89.936999999999998</v>
      </c>
      <c r="DA109">
        <f>92.952</f>
        <v>92.951999999999998</v>
      </c>
      <c r="DB109">
        <f>86.89</f>
        <v>86.89</v>
      </c>
      <c r="DC109">
        <f>80.381</f>
        <v>80.381</v>
      </c>
      <c r="DD109">
        <f>82.124</f>
        <v>82.123999999999995</v>
      </c>
      <c r="DE109">
        <f>81.752</f>
        <v>81.751999999999995</v>
      </c>
      <c r="DF109">
        <f>67.833</f>
        <v>67.832999999999998</v>
      </c>
      <c r="DG109">
        <f>60.293</f>
        <v>60.292999999999999</v>
      </c>
      <c r="DH109">
        <f>54.718361</f>
        <v>54.718361000000002</v>
      </c>
      <c r="DI109">
        <f>54.586</f>
        <v>54.585999999999999</v>
      </c>
      <c r="DJ109">
        <f>52.513</f>
        <v>52.512999999999998</v>
      </c>
      <c r="DK109">
        <f>70.679</f>
        <v>70.679000000000002</v>
      </c>
      <c r="DL109">
        <f>56.343</f>
        <v>56.343000000000004</v>
      </c>
      <c r="DM109">
        <f>45.433</f>
        <v>45.433</v>
      </c>
      <c r="DN109">
        <f>40.748</f>
        <v>40.747999999999998</v>
      </c>
      <c r="DO109">
        <f>40.128</f>
        <v>40.128</v>
      </c>
      <c r="DP109">
        <f>38.45</f>
        <v>38.450000000000003</v>
      </c>
      <c r="DQ109">
        <f>37.696</f>
        <v>37.695999999999998</v>
      </c>
      <c r="DR109">
        <f>34.048</f>
        <v>34.048000000000002</v>
      </c>
      <c r="DS109">
        <f>32.26200104</f>
        <v>32.262001040000001</v>
      </c>
      <c r="DT109">
        <f>40.31100082</f>
        <v>40.311000819999997</v>
      </c>
      <c r="DU109">
        <f>32.118</f>
        <v>32.118000000000002</v>
      </c>
    </row>
    <row r="110" spans="1:125">
      <c r="A110" t="str">
        <f>"    Welltower Inc"</f>
        <v xml:space="preserve">    Welltower Inc</v>
      </c>
      <c r="B110" t="str">
        <f>"HCN US Equity"</f>
        <v>HCN US Equity</v>
      </c>
      <c r="C110" t="str">
        <f t="shared" si="24"/>
        <v>F0578</v>
      </c>
      <c r="D110" t="str">
        <f t="shared" si="25"/>
        <v>FUNDS_AVAILABLE_FOR_DISTRIBUTION</v>
      </c>
      <c r="E110" t="str">
        <f t="shared" si="26"/>
        <v>动态</v>
      </c>
      <c r="F110" t="str">
        <f ca="1">IF(AND(ISNUMBER($F$358),$B$258=1),$F$358,HLOOKUP(INDIRECT(ADDRESS(2,COLUMN())),OFFSET($BN$2,0,0,ROW()-1,60),ROW()-1,FALSE))</f>
        <v/>
      </c>
      <c r="G110">
        <f ca="1">IF(AND(ISNUMBER($G$358),$B$258=1),$G$358,HLOOKUP(INDIRECT(ADDRESS(2,COLUMN())),OFFSET($BN$2,0,0,ROW()-1,60),ROW()-1,FALSE))</f>
        <v>345.05200000000002</v>
      </c>
      <c r="H110">
        <f ca="1">IF(AND(ISNUMBER($H$358),$B$258=1),$H$358,HLOOKUP(INDIRECT(ADDRESS(2,COLUMN())),OFFSET($BN$2,0,0,ROW()-1,60),ROW()-1,FALSE))</f>
        <v>373.37700000000001</v>
      </c>
      <c r="I110">
        <f ca="1">IF(AND(ISNUMBER($I$358),$B$258=1),$I$358,HLOOKUP(INDIRECT(ADDRESS(2,COLUMN())),OFFSET($BN$2,0,0,ROW()-1,60),ROW()-1,FALSE))</f>
        <v>362.26600000000002</v>
      </c>
      <c r="J110">
        <f ca="1">IF(AND(ISNUMBER($J$358),$B$258=1),$J$358,HLOOKUP(INDIRECT(ADDRESS(2,COLUMN())),OFFSET($BN$2,0,0,ROW()-1,60),ROW()-1,FALSE))</f>
        <v>353.70600000000002</v>
      </c>
      <c r="K110">
        <f ca="1">IF(AND(ISNUMBER($K$358),$B$258=1),$K$358,HLOOKUP(INDIRECT(ADDRESS(2,COLUMN())),OFFSET($BN$2,0,0,ROW()-1,60),ROW()-1,FALSE))</f>
        <v>360.49400000000003</v>
      </c>
      <c r="L110">
        <f ca="1">IF(AND(ISNUMBER($L$358),$B$258=1),$L$358,HLOOKUP(INDIRECT(ADDRESS(2,COLUMN())),OFFSET($BN$2,0,0,ROW()-1,60),ROW()-1,FALSE))</f>
        <v>374.10599999999999</v>
      </c>
      <c r="M110">
        <f ca="1">IF(AND(ISNUMBER($M$358),$B$258=1),$M$358,HLOOKUP(INDIRECT(ADDRESS(2,COLUMN())),OFFSET($BN$2,0,0,ROW()-1,60),ROW()-1,FALSE))</f>
        <v>373.06900000000002</v>
      </c>
      <c r="N110">
        <f ca="1">IF(AND(ISNUMBER($N$358),$B$258=1),$N$358,HLOOKUP(INDIRECT(ADDRESS(2,COLUMN())),OFFSET($BN$2,0,0,ROW()-1,60),ROW()-1,FALSE))</f>
        <v>359.48099999999999</v>
      </c>
      <c r="O110">
        <f ca="1">IF(AND(ISNUMBER($O$358),$B$258=1),$O$358,HLOOKUP(INDIRECT(ADDRESS(2,COLUMN())),OFFSET($BN$2,0,0,ROW()-1,60),ROW()-1,FALSE))</f>
        <v>359.06200000000001</v>
      </c>
      <c r="P110">
        <f ca="1">IF(AND(ISNUMBER($P$358),$B$258=1),$P$358,HLOOKUP(INDIRECT(ADDRESS(2,COLUMN())),OFFSET($BN$2,0,0,ROW()-1,60),ROW()-1,FALSE))</f>
        <v>351.22399999999999</v>
      </c>
      <c r="Q110">
        <f ca="1">IF(AND(ISNUMBER($Q$358),$B$258=1),$Q$358,HLOOKUP(INDIRECT(ADDRESS(2,COLUMN())),OFFSET($BN$2,0,0,ROW()-1,60),ROW()-1,FALSE))</f>
        <v>333.95100000000002</v>
      </c>
      <c r="R110">
        <f ca="1">IF(AND(ISNUMBER($R$358),$B$258=1),$R$358,HLOOKUP(INDIRECT(ADDRESS(2,COLUMN())),OFFSET($BN$2,0,0,ROW()-1,60),ROW()-1,FALSE))</f>
        <v>310.87299999999999</v>
      </c>
      <c r="S110">
        <f ca="1">IF(AND(ISNUMBER($S$358),$B$258=1),$S$358,HLOOKUP(INDIRECT(ADDRESS(2,COLUMN())),OFFSET($BN$2,0,0,ROW()-1,60),ROW()-1,FALSE))</f>
        <v>298.18099999999998</v>
      </c>
      <c r="T110">
        <f ca="1">IF(AND(ISNUMBER($T$358),$B$258=1),$T$358,HLOOKUP(INDIRECT(ADDRESS(2,COLUMN())),OFFSET($BN$2,0,0,ROW()-1,60),ROW()-1,FALSE))</f>
        <v>284.72800000000001</v>
      </c>
      <c r="U110">
        <f ca="1">IF(AND(ISNUMBER($U$358),$B$258=1),$U$358,HLOOKUP(INDIRECT(ADDRESS(2,COLUMN())),OFFSET($BN$2,0,0,ROW()-1,60),ROW()-1,FALSE))</f>
        <v>287.34899999999999</v>
      </c>
      <c r="V110">
        <f ca="1">IF(AND(ISNUMBER($V$358),$B$258=1),$V$358,HLOOKUP(INDIRECT(ADDRESS(2,COLUMN())),OFFSET($BN$2,0,0,ROW()-1,60),ROW()-1,FALSE))</f>
        <v>261.60700000000003</v>
      </c>
      <c r="W110">
        <f ca="1">IF(AND(ISNUMBER($W$358),$B$258=1),$W$358,HLOOKUP(INDIRECT(ADDRESS(2,COLUMN())),OFFSET($BN$2,0,0,ROW()-1,60),ROW()-1,FALSE))</f>
        <v>252.51400000000001</v>
      </c>
      <c r="X110">
        <f ca="1">IF(AND(ISNUMBER($X$358),$B$258=1),$X$358,HLOOKUP(INDIRECT(ADDRESS(2,COLUMN())),OFFSET($BN$2,0,0,ROW()-1,60),ROW()-1,FALSE))</f>
        <v>248.452</v>
      </c>
      <c r="Y110">
        <f ca="1">IF(AND(ISNUMBER($Y$358),$B$258=1),$Y$358,HLOOKUP(INDIRECT(ADDRESS(2,COLUMN())),OFFSET($BN$2,0,0,ROW()-1,60),ROW()-1,FALSE))</f>
        <v>234.39500000000001</v>
      </c>
      <c r="Z110">
        <f ca="1">IF(AND(ISNUMBER($Z$358),$B$258=1),$Z$358,HLOOKUP(INDIRECT(ADDRESS(2,COLUMN())),OFFSET($BN$2,0,0,ROW()-1,60),ROW()-1,FALSE))</f>
        <v>220.23400000000001</v>
      </c>
      <c r="AA110">
        <f ca="1">IF(AND(ISNUMBER($AA$358),$B$258=1),$AA$358,HLOOKUP(INDIRECT(ADDRESS(2,COLUMN())),OFFSET($BN$2,0,0,ROW()-1,60),ROW()-1,FALSE))</f>
        <v>189.309</v>
      </c>
      <c r="AB110">
        <f ca="1">IF(AND(ISNUMBER($AB$358),$B$258=1),$AB$358,HLOOKUP(INDIRECT(ADDRESS(2,COLUMN())),OFFSET($BN$2,0,0,ROW()-1,60),ROW()-1,FALSE))</f>
        <v>180.541</v>
      </c>
      <c r="AC110">
        <f ca="1">IF(AND(ISNUMBER($AC$358),$B$258=1),$AC$358,HLOOKUP(INDIRECT(ADDRESS(2,COLUMN())),OFFSET($BN$2,0,0,ROW()-1,60),ROW()-1,FALSE))</f>
        <v>146.32900000000001</v>
      </c>
      <c r="AD110">
        <f ca="1">IF(AND(ISNUMBER($AD$358),$B$258=1),$AD$358,HLOOKUP(INDIRECT(ADDRESS(2,COLUMN())),OFFSET($BN$2,0,0,ROW()-1,60),ROW()-1,FALSE))</f>
        <v>159.25299999999999</v>
      </c>
      <c r="AE110">
        <f ca="1">IF(AND(ISNUMBER($AE$358),$B$258=1),$AE$358,HLOOKUP(INDIRECT(ADDRESS(2,COLUMN())),OFFSET($BN$2,0,0,ROW()-1,60),ROW()-1,FALSE))</f>
        <v>149.756</v>
      </c>
      <c r="AF110">
        <f ca="1">IF(AND(ISNUMBER($AF$358),$B$258=1),$AF$358,HLOOKUP(INDIRECT(ADDRESS(2,COLUMN())),OFFSET($BN$2,0,0,ROW()-1,60),ROW()-1,FALSE))</f>
        <v>140.357</v>
      </c>
      <c r="AG110">
        <f ca="1">IF(AND(ISNUMBER($AG$358),$B$258=1),$AG$358,HLOOKUP(INDIRECT(ADDRESS(2,COLUMN())),OFFSET($BN$2,0,0,ROW()-1,60),ROW()-1,FALSE))</f>
        <v>129.00299999999999</v>
      </c>
      <c r="AH110">
        <f ca="1">IF(AND(ISNUMBER($AH$358),$B$258=1),$AH$358,HLOOKUP(INDIRECT(ADDRESS(2,COLUMN())),OFFSET($BN$2,0,0,ROW()-1,60),ROW()-1,FALSE))</f>
        <v>101.694</v>
      </c>
      <c r="AI110">
        <f ca="1">IF(AND(ISNUMBER($AI$358),$B$258=1),$AI$358,HLOOKUP(INDIRECT(ADDRESS(2,COLUMN())),OFFSET($BN$2,0,0,ROW()-1,60),ROW()-1,FALSE))</f>
        <v>96.364000000000004</v>
      </c>
      <c r="AJ110">
        <f ca="1">IF(AND(ISNUMBER($AJ$358),$B$258=1),$AJ$358,HLOOKUP(INDIRECT(ADDRESS(2,COLUMN())),OFFSET($BN$2,0,0,ROW()-1,60),ROW()-1,FALSE))</f>
        <v>96.361000000000004</v>
      </c>
      <c r="AK110">
        <f ca="1">IF(AND(ISNUMBER($AK$358),$B$258=1),$AK$358,HLOOKUP(INDIRECT(ADDRESS(2,COLUMN())),OFFSET($BN$2,0,0,ROW()-1,60),ROW()-1,FALSE))</f>
        <v>95.126000000000005</v>
      </c>
      <c r="AL110">
        <f ca="1">IF(AND(ISNUMBER($AL$358),$B$258=1),$AL$358,HLOOKUP(INDIRECT(ADDRESS(2,COLUMN())),OFFSET($BN$2,0,0,ROW()-1,60),ROW()-1,FALSE))</f>
        <v>88.287999999999997</v>
      </c>
      <c r="AM110">
        <f ca="1">IF(AND(ISNUMBER($AM$358),$B$258=1),$AM$358,HLOOKUP(INDIRECT(ADDRESS(2,COLUMN())),OFFSET($BN$2,0,0,ROW()-1,60),ROW()-1,FALSE))</f>
        <v>92.998999999999995</v>
      </c>
      <c r="AN110">
        <f ca="1">IF(AND(ISNUMBER($AN$358),$B$258=1),$AN$358,HLOOKUP(INDIRECT(ADDRESS(2,COLUMN())),OFFSET($BN$2,0,0,ROW()-1,60),ROW()-1,FALSE))</f>
        <v>91.566000000000003</v>
      </c>
      <c r="AO110">
        <f ca="1">IF(AND(ISNUMBER($AO$358),$B$258=1),$AO$358,HLOOKUP(INDIRECT(ADDRESS(2,COLUMN())),OFFSET($BN$2,0,0,ROW()-1,60),ROW()-1,FALSE))</f>
        <v>91.308000000000007</v>
      </c>
      <c r="AP110">
        <f ca="1">IF(AND(ISNUMBER($AP$358),$B$258=1),$AP$358,HLOOKUP(INDIRECT(ADDRESS(2,COLUMN())),OFFSET($BN$2,0,0,ROW()-1,60),ROW()-1,FALSE))</f>
        <v>90.543000000000006</v>
      </c>
      <c r="AQ110">
        <f ca="1">IF(AND(ISNUMBER($AQ$358),$B$258=1),$AQ$358,HLOOKUP(INDIRECT(ADDRESS(2,COLUMN())),OFFSET($BN$2,0,0,ROW()-1,60),ROW()-1,FALSE))</f>
        <v>69.959000000000003</v>
      </c>
      <c r="AR110">
        <f ca="1">IF(AND(ISNUMBER($AR$358),$B$258=1),$AR$358,HLOOKUP(INDIRECT(ADDRESS(2,COLUMN())),OFFSET($BN$2,0,0,ROW()-1,60),ROW()-1,FALSE))</f>
        <v>82.153999999999996</v>
      </c>
      <c r="AS110">
        <f ca="1">IF(AND(ISNUMBER($AS$358),$B$258=1),$AS$358,HLOOKUP(INDIRECT(ADDRESS(2,COLUMN())),OFFSET($BN$2,0,0,ROW()-1,60),ROW()-1,FALSE))</f>
        <v>81.081999999999994</v>
      </c>
      <c r="AT110">
        <f ca="1">IF(AND(ISNUMBER($AT$358),$B$258=1),$AT$358,HLOOKUP(INDIRECT(ADDRESS(2,COLUMN())),OFFSET($BN$2,0,0,ROW()-1,60),ROW()-1,FALSE))</f>
        <v>66.784999999999997</v>
      </c>
      <c r="AU110">
        <f ca="1">IF(AND(ISNUMBER($AU$358),$B$258=1),$AU$358,HLOOKUP(INDIRECT(ADDRESS(2,COLUMN())),OFFSET($BN$2,0,0,ROW()-1,60),ROW()-1,FALSE))</f>
        <v>74.057000000000002</v>
      </c>
      <c r="AV110">
        <f ca="1">IF(AND(ISNUMBER($AV$358),$B$258=1),$AV$358,HLOOKUP(INDIRECT(ADDRESS(2,COLUMN())),OFFSET($BN$2,0,0,ROW()-1,60),ROW()-1,FALSE))</f>
        <v>66.224000000000004</v>
      </c>
      <c r="AW110">
        <f ca="1">IF(AND(ISNUMBER($AW$358),$B$258=1),$AW$358,HLOOKUP(INDIRECT(ADDRESS(2,COLUMN())),OFFSET($BN$2,0,0,ROW()-1,60),ROW()-1,FALSE))</f>
        <v>58.942999999999998</v>
      </c>
      <c r="AX110">
        <f ca="1">IF(AND(ISNUMBER($AX$358),$B$258=1),$AX$358,HLOOKUP(INDIRECT(ADDRESS(2,COLUMN())),OFFSET($BN$2,0,0,ROW()-1,60),ROW()-1,FALSE))</f>
        <v>54.257539999999999</v>
      </c>
      <c r="AY110">
        <f ca="1">IF(AND(ISNUMBER($AY$358),$B$258=1),$AY$358,HLOOKUP(INDIRECT(ADDRESS(2,COLUMN())),OFFSET($BN$2,0,0,ROW()-1,60),ROW()-1,FALSE))</f>
        <v>52.02</v>
      </c>
      <c r="AZ110">
        <f ca="1">IF(AND(ISNUMBER($AZ$358),$B$258=1),$AZ$358,HLOOKUP(INDIRECT(ADDRESS(2,COLUMN())),OFFSET($BN$2,0,0,ROW()-1,60),ROW()-1,FALSE))</f>
        <v>47.917999999999999</v>
      </c>
      <c r="BA110">
        <f ca="1">IF(AND(ISNUMBER($BA$358),$B$258=1),$BA$358,HLOOKUP(INDIRECT(ADDRESS(2,COLUMN())),OFFSET($BN$2,0,0,ROW()-1,60),ROW()-1,FALSE))</f>
        <v>47.070999999999998</v>
      </c>
      <c r="BB110">
        <f ca="1">IF(AND(ISNUMBER($BB$358),$B$258=1),$BB$358,HLOOKUP(INDIRECT(ADDRESS(2,COLUMN())),OFFSET($BN$2,0,0,ROW()-1,60),ROW()-1,FALSE))</f>
        <v>49.975000000000001</v>
      </c>
      <c r="BC110">
        <f ca="1">IF(AND(ISNUMBER($BC$358),$B$258=1),$BC$358,HLOOKUP(INDIRECT(ADDRESS(2,COLUMN())),OFFSET($BN$2,0,0,ROW()-1,60),ROW()-1,FALSE))</f>
        <v>19.751999999999999</v>
      </c>
      <c r="BD110">
        <f ca="1">IF(AND(ISNUMBER($BD$358),$B$258=1),$BD$358,HLOOKUP(INDIRECT(ADDRESS(2,COLUMN())),OFFSET($BN$2,0,0,ROW()-1,60),ROW()-1,FALSE))</f>
        <v>41.975000000000001</v>
      </c>
      <c r="BE110">
        <f ca="1">IF(AND(ISNUMBER($BE$358),$B$258=1),$BE$358,HLOOKUP(INDIRECT(ADDRESS(2,COLUMN())),OFFSET($BN$2,0,0,ROW()-1,60),ROW()-1,FALSE))</f>
        <v>19.427</v>
      </c>
      <c r="BF110">
        <f ca="1">IF(AND(ISNUMBER($BF$358),$B$258=1),$BF$358,HLOOKUP(INDIRECT(ADDRESS(2,COLUMN())),OFFSET($BN$2,0,0,ROW()-1,60),ROW()-1,FALSE))</f>
        <v>38.308999999999997</v>
      </c>
      <c r="BG110">
        <f ca="1">IF(AND(ISNUMBER($BG$358),$B$258=1),$BG$358,HLOOKUP(INDIRECT(ADDRESS(2,COLUMN())),OFFSET($BN$2,0,0,ROW()-1,60),ROW()-1,FALSE))</f>
        <v>37.299999999999997</v>
      </c>
      <c r="BH110" t="str">
        <f ca="1">IF(AND(ISNUMBER($BH$358),$B$258=1),$BH$358,HLOOKUP(INDIRECT(ADDRESS(2,COLUMN())),OFFSET($BN$2,0,0,ROW()-1,60),ROW()-1,FALSE))</f>
        <v/>
      </c>
      <c r="BI110" t="str">
        <f ca="1">IF(AND(ISNUMBER($BI$358),$B$258=1),$BI$358,HLOOKUP(INDIRECT(ADDRESS(2,COLUMN())),OFFSET($BN$2,0,0,ROW()-1,60),ROW()-1,FALSE))</f>
        <v/>
      </c>
      <c r="BJ110" t="str">
        <f ca="1">IF(AND(ISNUMBER($BJ$358),$B$258=1),$BJ$358,HLOOKUP(INDIRECT(ADDRESS(2,COLUMN())),OFFSET($BN$2,0,0,ROW()-1,60),ROW()-1,FALSE))</f>
        <v/>
      </c>
      <c r="BK110">
        <f ca="1">IF(AND(ISNUMBER($BK$358),$B$258=1),$BK$358,HLOOKUP(INDIRECT(ADDRESS(2,COLUMN())),OFFSET($BN$2,0,0,ROW()-1,60),ROW()-1,FALSE))</f>
        <v>35.998001000000002</v>
      </c>
      <c r="BL110" t="str">
        <f ca="1">IF(AND(ISNUMBER($BL$358),$B$258=1),$BL$358,HLOOKUP(INDIRECT(ADDRESS(2,COLUMN())),OFFSET($BN$2,0,0,ROW()-1,60),ROW()-1,FALSE))</f>
        <v/>
      </c>
      <c r="BM110" t="str">
        <f ca="1">IF(AND(ISNUMBER($BM$358),$B$258=1),$BM$358,HLOOKUP(INDIRECT(ADDRESS(2,COLUMN())),OFFSET($BN$2,0,0,ROW()-1,60),ROW()-1,FALSE))</f>
        <v/>
      </c>
      <c r="BN110" t="str">
        <f>""</f>
        <v/>
      </c>
      <c r="BO110">
        <f>345.052</f>
        <v>345.05200000000002</v>
      </c>
      <c r="BP110">
        <f>373.377</f>
        <v>373.37700000000001</v>
      </c>
      <c r="BQ110">
        <f>362.266</f>
        <v>362.26600000000002</v>
      </c>
      <c r="BR110">
        <f>353.706</f>
        <v>353.70600000000002</v>
      </c>
      <c r="BS110">
        <f>360.494</f>
        <v>360.49400000000003</v>
      </c>
      <c r="BT110">
        <f>374.106</f>
        <v>374.10599999999999</v>
      </c>
      <c r="BU110">
        <f>373.069</f>
        <v>373.06900000000002</v>
      </c>
      <c r="BV110">
        <f>359.481</f>
        <v>359.48099999999999</v>
      </c>
      <c r="BW110">
        <f>359.062</f>
        <v>359.06200000000001</v>
      </c>
      <c r="BX110">
        <f>351.224</f>
        <v>351.22399999999999</v>
      </c>
      <c r="BY110">
        <f>333.951</f>
        <v>333.95100000000002</v>
      </c>
      <c r="BZ110">
        <f>310.873</f>
        <v>310.87299999999999</v>
      </c>
      <c r="CA110">
        <f>298.181</f>
        <v>298.18099999999998</v>
      </c>
      <c r="CB110">
        <f>284.728</f>
        <v>284.72800000000001</v>
      </c>
      <c r="CC110">
        <f>287.349</f>
        <v>287.34899999999999</v>
      </c>
      <c r="CD110">
        <f>261.607</f>
        <v>261.60700000000003</v>
      </c>
      <c r="CE110">
        <f>252.514</f>
        <v>252.51400000000001</v>
      </c>
      <c r="CF110">
        <f>248.452</f>
        <v>248.452</v>
      </c>
      <c r="CG110">
        <f>234.395</f>
        <v>234.39500000000001</v>
      </c>
      <c r="CH110">
        <f>220.234</f>
        <v>220.23400000000001</v>
      </c>
      <c r="CI110">
        <f>189.309</f>
        <v>189.309</v>
      </c>
      <c r="CJ110">
        <f>180.541</f>
        <v>180.541</v>
      </c>
      <c r="CK110">
        <f>146.329</f>
        <v>146.32900000000001</v>
      </c>
      <c r="CL110">
        <f>159.253</f>
        <v>159.25299999999999</v>
      </c>
      <c r="CM110">
        <f>149.756</f>
        <v>149.756</v>
      </c>
      <c r="CN110">
        <f>140.357</f>
        <v>140.357</v>
      </c>
      <c r="CO110">
        <f>129.003</f>
        <v>129.00299999999999</v>
      </c>
      <c r="CP110">
        <f>101.694</f>
        <v>101.694</v>
      </c>
      <c r="CQ110">
        <f>96.364</f>
        <v>96.364000000000004</v>
      </c>
      <c r="CR110">
        <f>96.361</f>
        <v>96.361000000000004</v>
      </c>
      <c r="CS110">
        <f>95.126</f>
        <v>95.126000000000005</v>
      </c>
      <c r="CT110">
        <f>88.288</f>
        <v>88.287999999999997</v>
      </c>
      <c r="CU110">
        <f>92.999</f>
        <v>92.998999999999995</v>
      </c>
      <c r="CV110">
        <f>91.566</f>
        <v>91.566000000000003</v>
      </c>
      <c r="CW110">
        <f>91.308</f>
        <v>91.308000000000007</v>
      </c>
      <c r="CX110">
        <f>90.543</f>
        <v>90.543000000000006</v>
      </c>
      <c r="CY110">
        <f>69.959</f>
        <v>69.959000000000003</v>
      </c>
      <c r="CZ110">
        <f>82.154</f>
        <v>82.153999999999996</v>
      </c>
      <c r="DA110">
        <f>81.082</f>
        <v>81.081999999999994</v>
      </c>
      <c r="DB110">
        <f>66.785</f>
        <v>66.784999999999997</v>
      </c>
      <c r="DC110">
        <f>74.057</f>
        <v>74.057000000000002</v>
      </c>
      <c r="DD110">
        <f>66.224</f>
        <v>66.224000000000004</v>
      </c>
      <c r="DE110">
        <f>58.943</f>
        <v>58.942999999999998</v>
      </c>
      <c r="DF110">
        <f>54.25754</f>
        <v>54.257539999999999</v>
      </c>
      <c r="DG110">
        <f>52.02</f>
        <v>52.02</v>
      </c>
      <c r="DH110">
        <f>47.918</f>
        <v>47.917999999999999</v>
      </c>
      <c r="DI110">
        <f>47.071</f>
        <v>47.070999999999998</v>
      </c>
      <c r="DJ110">
        <f>49.975</f>
        <v>49.975000000000001</v>
      </c>
      <c r="DK110">
        <f>19.752</f>
        <v>19.751999999999999</v>
      </c>
      <c r="DL110">
        <f>41.975</f>
        <v>41.975000000000001</v>
      </c>
      <c r="DM110">
        <f>19.427</f>
        <v>19.427</v>
      </c>
      <c r="DN110">
        <f>38.309</f>
        <v>38.308999999999997</v>
      </c>
      <c r="DO110">
        <f>37.3</f>
        <v>37.299999999999997</v>
      </c>
      <c r="DP110" t="str">
        <f>""</f>
        <v/>
      </c>
      <c r="DQ110" t="str">
        <f>""</f>
        <v/>
      </c>
      <c r="DR110" t="str">
        <f>""</f>
        <v/>
      </c>
      <c r="DS110">
        <f>35.998001</f>
        <v>35.998001000000002</v>
      </c>
      <c r="DT110" t="str">
        <f>""</f>
        <v/>
      </c>
      <c r="DU110" t="str">
        <f>""</f>
        <v/>
      </c>
    </row>
    <row r="111" spans="1:125">
      <c r="A111" t="str">
        <f>"收入增长同比(%)"</f>
        <v>收入增长同比(%)</v>
      </c>
      <c r="B111" t="str">
        <f>""</f>
        <v/>
      </c>
      <c r="E111" t="str">
        <f>"Median"</f>
        <v>Median</v>
      </c>
      <c r="F111" t="str">
        <f ca="1">IF(ISERROR(IF(MEDIAN($F$112:$F$122) = 0, "", MEDIAN($F$112:$F$122))), "", (IF(MEDIAN($F$112:$F$122) = 0, "", MEDIAN($F$112:$F$122))))</f>
        <v/>
      </c>
      <c r="G111">
        <f ca="1">IF(ISERROR(IF(MEDIAN($G$112:$G$122) = 0, "", MEDIAN($G$112:$G$122))), "", (IF(MEDIAN($G$112:$G$122) = 0, "", MEDIAN($G$112:$G$122))))</f>
        <v>2.3525595514999997</v>
      </c>
      <c r="H111">
        <f ca="1">IF(ISERROR(IF(MEDIAN($H$112:$H$122) = 0, "", MEDIAN($H$112:$H$122))), "", (IF(MEDIAN($H$112:$H$122) = 0, "", MEDIAN($H$112:$H$122))))</f>
        <v>3.4808825460000001</v>
      </c>
      <c r="I111">
        <f ca="1">IF(ISERROR(IF(MEDIAN($I$112:$I$122) = 0, "", MEDIAN($I$112:$I$122))), "", (IF(MEDIAN($I$112:$I$122) = 0, "", MEDIAN($I$112:$I$122))))</f>
        <v>3.0473202110000002</v>
      </c>
      <c r="J111">
        <f ca="1">IF(ISERROR(IF(MEDIAN($J$112:$J$122) = 0, "", MEDIAN($J$112:$J$122))), "", (IF(MEDIAN($J$112:$J$122) = 0, "", MEDIAN($J$112:$J$122))))</f>
        <v>3.655332874</v>
      </c>
      <c r="K111">
        <f ca="1">IF(ISERROR(IF(MEDIAN($K$112:$K$122) = 0, "", MEDIAN($K$112:$K$122))), "", (IF(MEDIAN($K$112:$K$122) = 0, "", MEDIAN($K$112:$K$122))))</f>
        <v>4.7438328329999999</v>
      </c>
      <c r="L111">
        <f ca="1">IF(ISERROR(IF(MEDIAN($L$112:$L$122) = 0, "", MEDIAN($L$112:$L$122))), "", (IF(MEDIAN($L$112:$L$122) = 0, "", MEDIAN($L$112:$L$122))))</f>
        <v>6.0424942599999998</v>
      </c>
      <c r="M111">
        <f ca="1">IF(ISERROR(IF(MEDIAN($M$112:$M$122) = 0, "", MEDIAN($M$112:$M$122))), "", (IF(MEDIAN($M$112:$M$122) = 0, "", MEDIAN($M$112:$M$122))))</f>
        <v>10.73688748</v>
      </c>
      <c r="N111">
        <f ca="1">IF(ISERROR(IF(MEDIAN($N$112:$N$122) = 0, "", MEDIAN($N$112:$N$122))), "", (IF(MEDIAN($N$112:$N$122) = 0, "", MEDIAN($N$112:$N$122))))</f>
        <v>11.2002143545</v>
      </c>
      <c r="O111">
        <f ca="1">IF(ISERROR(IF(MEDIAN($O$112:$O$122) = 0, "", MEDIAN($O$112:$O$122))), "", (IF(MEDIAN($O$112:$O$122) = 0, "", MEDIAN($O$112:$O$122))))</f>
        <v>17.522499439999997</v>
      </c>
      <c r="P111">
        <f ca="1">IF(ISERROR(IF(MEDIAN($P$112:$P$122) = 0, "", MEDIAN($P$112:$P$122))), "", (IF(MEDIAN($P$112:$P$122) = 0, "", MEDIAN($P$112:$P$122))))</f>
        <v>17.554691625</v>
      </c>
      <c r="Q111">
        <f ca="1">IF(ISERROR(IF(MEDIAN($Q$112:$Q$122) = 0, "", MEDIAN($Q$112:$Q$122))), "", (IF(MEDIAN($Q$112:$Q$122) = 0, "", MEDIAN($Q$112:$Q$122))))</f>
        <v>15.775435045</v>
      </c>
      <c r="R111">
        <f ca="1">IF(ISERROR(IF(MEDIAN($R$112:$R$122) = 0, "", MEDIAN($R$112:$R$122))), "", (IF(MEDIAN($R$112:$R$122) = 0, "", MEDIAN($R$112:$R$122))))</f>
        <v>11.596843705000001</v>
      </c>
      <c r="S111">
        <f ca="1">IF(ISERROR(IF(MEDIAN($S$112:$S$122) = 0, "", MEDIAN($S$112:$S$122))), "", (IF(MEDIAN($S$112:$S$122) = 0, "", MEDIAN($S$112:$S$122))))</f>
        <v>13.361236365</v>
      </c>
      <c r="T111">
        <f ca="1">IF(ISERROR(IF(MEDIAN($T$112:$T$122) = 0, "", MEDIAN($T$112:$T$122))), "", (IF(MEDIAN($T$112:$T$122) = 0, "", MEDIAN($T$112:$T$122))))</f>
        <v>15.776008725000001</v>
      </c>
      <c r="U111">
        <f ca="1">IF(ISERROR(IF(MEDIAN($U$112:$U$122) = 0, "", MEDIAN($U$112:$U$122))), "", (IF(MEDIAN($U$112:$U$122) = 0, "", MEDIAN($U$112:$U$122))))</f>
        <v>15.059264129999999</v>
      </c>
      <c r="V111">
        <f ca="1">IF(ISERROR(IF(MEDIAN($V$112:$V$122) = 0, "", MEDIAN($V$112:$V$122))), "", (IF(MEDIAN($V$112:$V$122) = 0, "", MEDIAN($V$112:$V$122))))</f>
        <v>18.091720304999999</v>
      </c>
      <c r="W111">
        <f ca="1">IF(ISERROR(IF(MEDIAN($W$112:$W$122) = 0, "", MEDIAN($W$112:$W$122))), "", (IF(MEDIAN($W$112:$W$122) = 0, "", MEDIAN($W$112:$W$122))))</f>
        <v>13.879602615</v>
      </c>
      <c r="X111">
        <f ca="1">IF(ISERROR(IF(MEDIAN($X$112:$X$122) = 0, "", MEDIAN($X$112:$X$122))), "", (IF(MEDIAN($X$112:$X$122) = 0, "", MEDIAN($X$112:$X$122))))</f>
        <v>14.968460104999998</v>
      </c>
      <c r="Y111">
        <f ca="1">IF(ISERROR(IF(MEDIAN($Y$112:$Y$122) = 0, "", MEDIAN($Y$112:$Y$122))), "", (IF(MEDIAN($Y$112:$Y$122) = 0, "", MEDIAN($Y$112:$Y$122))))</f>
        <v>14.282051705000001</v>
      </c>
      <c r="Z111">
        <f ca="1">IF(ISERROR(IF(MEDIAN($Z$112:$Z$122) = 0, "", MEDIAN($Z$112:$Z$122))), "", (IF(MEDIAN($Z$112:$Z$122) = 0, "", MEDIAN($Z$112:$Z$122))))</f>
        <v>20.485414120000002</v>
      </c>
      <c r="AA111">
        <f ca="1">IF(ISERROR(IF(MEDIAN($AA$112:$AA$122) = 0, "", MEDIAN($AA$112:$AA$122))), "", (IF(MEDIAN($AA$112:$AA$122) = 0, "", MEDIAN($AA$112:$AA$122))))</f>
        <v>14.280749749999998</v>
      </c>
      <c r="AB111">
        <f ca="1">IF(ISERROR(IF(MEDIAN($AB$112:$AB$122) = 0, "", MEDIAN($AB$112:$AB$122))), "", (IF(MEDIAN($AB$112:$AB$122) = 0, "", MEDIAN($AB$112:$AB$122))))</f>
        <v>17.309460505000001</v>
      </c>
      <c r="AC111">
        <f ca="1">IF(ISERROR(IF(MEDIAN($AC$112:$AC$122) = 0, "", MEDIAN($AC$112:$AC$122))), "", (IF(MEDIAN($AC$112:$AC$122) = 0, "", MEDIAN($AC$112:$AC$122))))</f>
        <v>17.076138425</v>
      </c>
      <c r="AD111">
        <f ca="1">IF(ISERROR(IF(MEDIAN($AD$112:$AD$122) = 0, "", MEDIAN($AD$112:$AD$122))), "", (IF(MEDIAN($AD$112:$AD$122) = 0, "", MEDIAN($AD$112:$AD$122))))</f>
        <v>27.476080315000001</v>
      </c>
      <c r="AE111">
        <f ca="1">IF(ISERROR(IF(MEDIAN($AE$112:$AE$122) = 0, "", MEDIAN($AE$112:$AE$122))), "", (IF(MEDIAN($AE$112:$AE$122) = 0, "", MEDIAN($AE$112:$AE$122))))</f>
        <v>13.382849220000001</v>
      </c>
      <c r="AF111">
        <f ca="1">IF(ISERROR(IF(MEDIAN($AF$112:$AF$122) = 0, "", MEDIAN($AF$112:$AF$122))), "", (IF(MEDIAN($AF$112:$AF$122) = 0, "", MEDIAN($AF$112:$AF$122))))</f>
        <v>27.067049985000004</v>
      </c>
      <c r="AG111">
        <f ca="1">IF(ISERROR(IF(MEDIAN($AG$112:$AG$122) = 0, "", MEDIAN($AG$112:$AG$122))), "", (IF(MEDIAN($AG$112:$AG$122) = 0, "", MEDIAN($AG$112:$AG$122))))</f>
        <v>24.361922100000001</v>
      </c>
      <c r="AH111">
        <f ca="1">IF(ISERROR(IF(MEDIAN($AH$112:$AH$122) = 0, "", MEDIAN($AH$112:$AH$122))), "", (IF(MEDIAN($AH$112:$AH$122) = 0, "", MEDIAN($AH$112:$AH$122))))</f>
        <v>17.20192466</v>
      </c>
      <c r="AI111">
        <f ca="1">IF(ISERROR(IF(MEDIAN($AI$112:$AI$122) = 0, "", MEDIAN($AI$112:$AI$122))), "", (IF(MEDIAN($AI$112:$AI$122) = 0, "", MEDIAN($AI$112:$AI$122))))</f>
        <v>13.225798220000001</v>
      </c>
      <c r="AJ111">
        <f ca="1">IF(ISERROR(IF(MEDIAN($AJ$112:$AJ$122) = 0, "", MEDIAN($AJ$112:$AJ$122))), "", (IF(MEDIAN($AJ$112:$AJ$122) = 0, "", MEDIAN($AJ$112:$AJ$122))))</f>
        <v>10.443866959999999</v>
      </c>
      <c r="AK111">
        <f ca="1">IF(ISERROR(IF(MEDIAN($AK$112:$AK$122) = 0, "", MEDIAN($AK$112:$AK$122))), "", (IF(MEDIAN($AK$112:$AK$122) = 0, "", MEDIAN($AK$112:$AK$122))))</f>
        <v>4.2706203140000003</v>
      </c>
      <c r="AL111">
        <f ca="1">IF(ISERROR(IF(MEDIAN($AL$112:$AL$122) = 0, "", MEDIAN($AL$112:$AL$122))), "", (IF(MEDIAN($AL$112:$AL$122) = 0, "", MEDIAN($AL$112:$AL$122))))</f>
        <v>4.7037725249999998</v>
      </c>
      <c r="AM111">
        <f ca="1">IF(ISERROR(IF(MEDIAN($AM$112:$AM$122) = 0, "", MEDIAN($AM$112:$AM$122))), "", (IF(MEDIAN($AM$112:$AM$122) = 0, "", MEDIAN($AM$112:$AM$122))))</f>
        <v>1.7900216600000001</v>
      </c>
      <c r="AN111">
        <f ca="1">IF(ISERROR(IF(MEDIAN($AN$112:$AN$122) = 0, "", MEDIAN($AN$112:$AN$122))), "", (IF(MEDIAN($AN$112:$AN$122) = 0, "", MEDIAN($AN$112:$AN$122))))</f>
        <v>2.9280820400000001</v>
      </c>
      <c r="AO111">
        <f ca="1">IF(ISERROR(IF(MEDIAN($AO$112:$AO$122) = 0, "", MEDIAN($AO$112:$AO$122))), "", (IF(MEDIAN($AO$112:$AO$122) = 0, "", MEDIAN($AO$112:$AO$122))))</f>
        <v>11.271580650000001</v>
      </c>
      <c r="AP111">
        <f ca="1">IF(ISERROR(IF(MEDIAN($AP$112:$AP$122) = 0, "", MEDIAN($AP$112:$AP$122))), "", (IF(MEDIAN($AP$112:$AP$122) = 0, "", MEDIAN($AP$112:$AP$122))))</f>
        <v>18.947549899999999</v>
      </c>
      <c r="AQ111">
        <f ca="1">IF(ISERROR(IF(MEDIAN($AQ$112:$AQ$122) = 0, "", MEDIAN($AQ$112:$AQ$122))), "", (IF(MEDIAN($AQ$112:$AQ$122) = 0, "", MEDIAN($AQ$112:$AQ$122))))</f>
        <v>15.99215042</v>
      </c>
      <c r="AR111">
        <f ca="1">IF(ISERROR(IF(MEDIAN($AR$112:$AR$122) = 0, "", MEDIAN($AR$112:$AR$122))), "", (IF(MEDIAN($AR$112:$AR$122) = 0, "", MEDIAN($AR$112:$AR$122))))</f>
        <v>10.208898509999999</v>
      </c>
      <c r="AS111">
        <f ca="1">IF(ISERROR(IF(MEDIAN($AS$112:$AS$122) = 0, "", MEDIAN($AS$112:$AS$122))), "", (IF(MEDIAN($AS$112:$AS$122) = 0, "", MEDIAN($AS$112:$AS$122))))</f>
        <v>16.006356050000001</v>
      </c>
      <c r="AT111">
        <f ca="1">IF(ISERROR(IF(MEDIAN($AT$112:$AT$122) = 0, "", MEDIAN($AT$112:$AT$122))), "", (IF(MEDIAN($AT$112:$AT$122) = 0, "", MEDIAN($AT$112:$AT$122))))</f>
        <v>14.873409110000001</v>
      </c>
      <c r="AU111">
        <f ca="1">IF(ISERROR(IF(MEDIAN($AU$112:$AU$122) = 0, "", MEDIAN($AU$112:$AU$122))), "", (IF(MEDIAN($AU$112:$AU$122) = 0, "", MEDIAN($AU$112:$AU$122))))</f>
        <v>42.71589187</v>
      </c>
      <c r="AV111">
        <f ca="1">IF(ISERROR(IF(MEDIAN($AV$112:$AV$122) = 0, "", MEDIAN($AV$112:$AV$122))), "", (IF(MEDIAN($AV$112:$AV$122) = 0, "", MEDIAN($AV$112:$AV$122))))</f>
        <v>35.59934543</v>
      </c>
      <c r="AW111">
        <f ca="1">IF(ISERROR(IF(MEDIAN($AW$112:$AW$122) = 0, "", MEDIAN($AW$112:$AW$122))), "", (IF(MEDIAN($AW$112:$AW$122) = 0, "", MEDIAN($AW$112:$AW$122))))</f>
        <v>39.161477594999994</v>
      </c>
      <c r="AX111">
        <f ca="1">IF(ISERROR(IF(MEDIAN($AX$112:$AX$122) = 0, "", MEDIAN($AX$112:$AX$122))), "", (IF(MEDIAN($AX$112:$AX$122) = 0, "", MEDIAN($AX$112:$AX$122))))</f>
        <v>34.007110554999997</v>
      </c>
      <c r="AY111">
        <f ca="1">IF(ISERROR(IF(MEDIAN($AY$112:$AY$122) = 0, "", MEDIAN($AY$112:$AY$122))), "", (IF(MEDIAN($AY$112:$AY$122) = 0, "", MEDIAN($AY$112:$AY$122))))</f>
        <v>22.185562515000001</v>
      </c>
      <c r="AZ111">
        <f ca="1">IF(ISERROR(IF(MEDIAN($AZ$112:$AZ$122) = 0, "", MEDIAN($AZ$112:$AZ$122))), "", (IF(MEDIAN($AZ$112:$AZ$122) = 0, "", MEDIAN($AZ$112:$AZ$122))))</f>
        <v>11.737223695000001</v>
      </c>
      <c r="BA111">
        <f ca="1">IF(ISERROR(IF(MEDIAN($BA$112:$BA$122) = 0, "", MEDIAN($BA$112:$BA$122))), "", (IF(MEDIAN($BA$112:$BA$122) = 0, "", MEDIAN($BA$112:$BA$122))))</f>
        <v>20.834273539999998</v>
      </c>
      <c r="BB111">
        <f ca="1">IF(ISERROR(IF(MEDIAN($BB$112:$BB$122) = 0, "", MEDIAN($BB$112:$BB$122))), "", (IF(MEDIAN($BB$112:$BB$122) = 0, "", MEDIAN($BB$112:$BB$122))))</f>
        <v>17.518578925</v>
      </c>
      <c r="BC111">
        <f ca="1">IF(ISERROR(IF(MEDIAN($BC$112:$BC$122) = 0, "", MEDIAN($BC$112:$BC$122))), "", (IF(MEDIAN($BC$112:$BC$122) = 0, "", MEDIAN($BC$112:$BC$122))))</f>
        <v>26.357080589999999</v>
      </c>
      <c r="BD111">
        <f ca="1">IF(ISERROR(IF(MEDIAN($BD$112:$BD$122) = 0, "", MEDIAN($BD$112:$BD$122))), "", (IF(MEDIAN($BD$112:$BD$122) = 0, "", MEDIAN($BD$112:$BD$122))))</f>
        <v>12.589525699999999</v>
      </c>
      <c r="BE111">
        <f ca="1">IF(ISERROR(IF(MEDIAN($BE$112:$BE$122) = 0, "", MEDIAN($BE$112:$BE$122))), "", (IF(MEDIAN($BE$112:$BE$122) = 0, "", MEDIAN($BE$112:$BE$122))))</f>
        <v>11.544524770000001</v>
      </c>
      <c r="BF111">
        <f ca="1">IF(ISERROR(IF(MEDIAN($BF$112:$BF$122) = 0, "", MEDIAN($BF$112:$BF$122))), "", (IF(MEDIAN($BF$112:$BF$122) = 0, "", MEDIAN($BF$112:$BF$122))))</f>
        <v>22.0464989</v>
      </c>
      <c r="BG111">
        <f ca="1">IF(ISERROR(IF(MEDIAN($BG$112:$BG$122) = 0, "", MEDIAN($BG$112:$BG$122))), "", (IF(MEDIAN($BG$112:$BG$122) = 0, "", MEDIAN($BG$112:$BG$122))))</f>
        <v>13.596431519999999</v>
      </c>
      <c r="BH111">
        <f ca="1">IF(ISERROR(IF(MEDIAN($BH$112:$BH$122) = 0, "", MEDIAN($BH$112:$BH$122))), "", (IF(MEDIAN($BH$112:$BH$122) = 0, "", MEDIAN($BH$112:$BH$122))))</f>
        <v>15.90120993</v>
      </c>
      <c r="BI111">
        <f ca="1">IF(ISERROR(IF(MEDIAN($BI$112:$BI$122) = 0, "", MEDIAN($BI$112:$BI$122))), "", (IF(MEDIAN($BI$112:$BI$122) = 0, "", MEDIAN($BI$112:$BI$122))))</f>
        <v>15.98082604</v>
      </c>
      <c r="BJ111">
        <f ca="1">IF(ISERROR(IF(MEDIAN($BJ$112:$BJ$122) = 0, "", MEDIAN($BJ$112:$BJ$122))), "", (IF(MEDIAN($BJ$112:$BJ$122) = 0, "", MEDIAN($BJ$112:$BJ$122))))</f>
        <v>15.47560794</v>
      </c>
      <c r="BK111">
        <f ca="1">IF(ISERROR(IF(MEDIAN($BK$112:$BK$122) = 0, "", MEDIAN($BK$112:$BK$122))), "", (IF(MEDIAN($BK$112:$BK$122) = 0, "", MEDIAN($BK$112:$BK$122))))</f>
        <v>8.1995483359999994</v>
      </c>
      <c r="BL111">
        <f ca="1">IF(ISERROR(IF(MEDIAN($BL$112:$BL$122) = 0, "", MEDIAN($BL$112:$BL$122))), "", (IF(MEDIAN($BL$112:$BL$122) = 0, "", MEDIAN($BL$112:$BL$122))))</f>
        <v>7.9919934699999997</v>
      </c>
      <c r="BM111">
        <f ca="1">IF(ISERROR(IF(MEDIAN($BM$112:$BM$122) = 0, "", MEDIAN($BM$112:$BM$122))), "", (IF(MEDIAN($BM$112:$BM$122) = 0, "", MEDIAN($BM$112:$BM$122))))</f>
        <v>5.488020637</v>
      </c>
      <c r="BN111" t="str">
        <f>""</f>
        <v/>
      </c>
      <c r="BO111">
        <f>2.352559552</f>
        <v>2.3525595520000002</v>
      </c>
      <c r="BP111">
        <f>3.480882546</f>
        <v>3.4808825460000001</v>
      </c>
      <c r="BQ111">
        <f>3.047320211</f>
        <v>3.0473202110000002</v>
      </c>
      <c r="BR111">
        <f>3.655332874</f>
        <v>3.655332874</v>
      </c>
      <c r="BS111">
        <f>4.743832833</f>
        <v>4.7438328329999999</v>
      </c>
      <c r="BT111">
        <f>6.04249426</f>
        <v>6.0424942599999998</v>
      </c>
      <c r="BU111">
        <f>10.73688748</f>
        <v>10.73688748</v>
      </c>
      <c r="BV111">
        <f>11.20021435</f>
        <v>11.20021435</v>
      </c>
      <c r="BW111">
        <f>17.52249944</f>
        <v>17.522499440000001</v>
      </c>
      <c r="BX111">
        <f>17.55469162</f>
        <v>17.55469162</v>
      </c>
      <c r="BY111">
        <f>15.77543504</f>
        <v>15.77543504</v>
      </c>
      <c r="BZ111">
        <f>11.59684371</f>
        <v>11.59684371</v>
      </c>
      <c r="CA111">
        <f>13.36123636</f>
        <v>13.361236359999999</v>
      </c>
      <c r="CB111">
        <f>15.77600872</f>
        <v>15.77600872</v>
      </c>
      <c r="CC111">
        <f>15.05926413</f>
        <v>15.059264130000001</v>
      </c>
      <c r="CD111">
        <f>18.0917203</f>
        <v>18.091720299999999</v>
      </c>
      <c r="CE111">
        <f>13.87960261</f>
        <v>13.879602609999999</v>
      </c>
      <c r="CF111">
        <f>14.9684601</f>
        <v>14.9684601</v>
      </c>
      <c r="CG111">
        <f>14.28205171</f>
        <v>14.282051709999999</v>
      </c>
      <c r="CH111">
        <f>20.48541412</f>
        <v>20.485414120000002</v>
      </c>
      <c r="CI111">
        <f>14.28074975</f>
        <v>14.28074975</v>
      </c>
      <c r="CJ111">
        <f>17.30946051</f>
        <v>17.309460510000001</v>
      </c>
      <c r="CK111">
        <f>17.07613842</f>
        <v>17.076138419999999</v>
      </c>
      <c r="CL111">
        <f>27.47608032</f>
        <v>27.476080320000001</v>
      </c>
      <c r="CM111">
        <f>13.38284922</f>
        <v>13.382849220000001</v>
      </c>
      <c r="CN111">
        <f>27.06704998</f>
        <v>27.06704998</v>
      </c>
      <c r="CO111">
        <f>24.3619221</f>
        <v>24.361922100000001</v>
      </c>
      <c r="CP111">
        <f>17.20192466</f>
        <v>17.20192466</v>
      </c>
      <c r="CQ111">
        <f>13.22579822</f>
        <v>13.22579822</v>
      </c>
      <c r="CR111">
        <f>10.44386696</f>
        <v>10.443866959999999</v>
      </c>
      <c r="CS111">
        <f>4.270620314</f>
        <v>4.2706203140000003</v>
      </c>
      <c r="CT111">
        <f>4.703772525</f>
        <v>4.7037725249999998</v>
      </c>
      <c r="CU111">
        <f>1.79002166</f>
        <v>1.7900216600000001</v>
      </c>
      <c r="CV111">
        <f>2.92808204</f>
        <v>2.9280820400000001</v>
      </c>
      <c r="CW111">
        <f>11.27158065</f>
        <v>11.271580650000001</v>
      </c>
      <c r="CX111">
        <f>18.9475499</f>
        <v>18.947549899999999</v>
      </c>
      <c r="CY111">
        <f>15.99215042</f>
        <v>15.99215042</v>
      </c>
      <c r="CZ111">
        <f>10.20889851</f>
        <v>10.208898509999999</v>
      </c>
      <c r="DA111">
        <f>16.00635605</f>
        <v>16.006356050000001</v>
      </c>
      <c r="DB111">
        <f>14.87340911</f>
        <v>14.873409110000001</v>
      </c>
      <c r="DC111">
        <f>42.71589187</f>
        <v>42.71589187</v>
      </c>
      <c r="DD111">
        <f>35.59934543</f>
        <v>35.59934543</v>
      </c>
      <c r="DE111">
        <f>39.16147759</f>
        <v>39.161477589999997</v>
      </c>
      <c r="DF111">
        <f>34.00711056</f>
        <v>34.007110560000001</v>
      </c>
      <c r="DG111">
        <f>22.18556252</f>
        <v>22.185562520000001</v>
      </c>
      <c r="DH111">
        <f>11.73722369</f>
        <v>11.73722369</v>
      </c>
      <c r="DI111">
        <f>20.83427354</f>
        <v>20.834273540000002</v>
      </c>
      <c r="DJ111">
        <f>17.51857892</f>
        <v>17.518578919999999</v>
      </c>
      <c r="DK111">
        <f>26.35708059</f>
        <v>26.357080589999999</v>
      </c>
      <c r="DL111">
        <f>12.5895257</f>
        <v>12.589525699999999</v>
      </c>
      <c r="DM111">
        <f>11.54452477</f>
        <v>11.544524770000001</v>
      </c>
      <c r="DN111">
        <f>22.0464989</f>
        <v>22.0464989</v>
      </c>
      <c r="DO111">
        <f>13.59643152</f>
        <v>13.596431519999999</v>
      </c>
      <c r="DP111">
        <f>15.90120993</f>
        <v>15.90120993</v>
      </c>
      <c r="DQ111">
        <f>15.98082604</f>
        <v>15.98082604</v>
      </c>
      <c r="DR111">
        <f>15.47560794</f>
        <v>15.47560794</v>
      </c>
      <c r="DS111">
        <f>8.199548336</f>
        <v>8.1995483359999994</v>
      </c>
      <c r="DT111">
        <f>7.99199347</f>
        <v>7.9919934699999997</v>
      </c>
      <c r="DU111">
        <f>5.488020637</f>
        <v>5.488020637</v>
      </c>
    </row>
    <row r="112" spans="1:125">
      <c r="A112" t="str">
        <f>"    Alexandria Real Estate Equitie"</f>
        <v xml:space="preserve">    Alexandria Real Estate Equitie</v>
      </c>
      <c r="B112" t="str">
        <f>"ARE US Equity"</f>
        <v>ARE US Equity</v>
      </c>
      <c r="C112" t="str">
        <f t="shared" ref="C112:C122" si="27">"RR033"</f>
        <v>RR033</v>
      </c>
      <c r="D112" t="str">
        <f t="shared" ref="D112:D122" si="28">"SALES_GROWTH"</f>
        <v>SALES_GROWTH</v>
      </c>
      <c r="E112" t="str">
        <f t="shared" ref="E112:E122" si="29">"动态"</f>
        <v>动态</v>
      </c>
      <c r="F112" t="str">
        <f ca="1">IF(AND(ISNUMBER($F$359),$B$258=1),$F$359,HLOOKUP(INDIRECT(ADDRESS(2,COLUMN())),OFFSET($BN$2,0,0,ROW()-1,60),ROW()-1,FALSE))</f>
        <v/>
      </c>
      <c r="G112">
        <f ca="1">IF(AND(ISNUMBER($G$359),$B$258=1),$G$359,HLOOKUP(INDIRECT(ADDRESS(2,COLUMN())),OFFSET($BN$2,0,0,ROW()-1,60),ROW()-1,FALSE))</f>
        <v>19.91836636</v>
      </c>
      <c r="H112">
        <f ca="1">IF(AND(ISNUMBER($H$359),$B$258=1),$H$359,HLOOKUP(INDIRECT(ADDRESS(2,COLUMN())),OFFSET($BN$2,0,0,ROW()-1,60),ROW()-1,FALSE))</f>
        <v>23.869797160000001</v>
      </c>
      <c r="I112">
        <f ca="1">IF(AND(ISNUMBER($I$359),$B$258=1),$I$359,HLOOKUP(INDIRECT(ADDRESS(2,COLUMN())),OFFSET($BN$2,0,0,ROW()-1,60),ROW()-1,FALSE))</f>
        <v>20.781949430000001</v>
      </c>
      <c r="J112">
        <f ca="1">IF(AND(ISNUMBER($J$359),$B$258=1),$J$359,HLOOKUP(INDIRECT(ADDRESS(2,COLUMN())),OFFSET($BN$2,0,0,ROW()-1,60),ROW()-1,FALSE))</f>
        <v>25.354367880000002</v>
      </c>
      <c r="K112">
        <f ca="1">IF(AND(ISNUMBER($K$359),$B$258=1),$K$359,HLOOKUP(INDIRECT(ADDRESS(2,COLUMN())),OFFSET($BN$2,0,0,ROW()-1,60),ROW()-1,FALSE))</f>
        <v>11.25538613</v>
      </c>
      <c r="L112">
        <f ca="1">IF(AND(ISNUMBER($L$359),$B$258=1),$L$359,HLOOKUP(INDIRECT(ADDRESS(2,COLUMN())),OFFSET($BN$2,0,0,ROW()-1,60),ROW()-1,FALSE))</f>
        <v>5.3835597640000001</v>
      </c>
      <c r="M112">
        <f ca="1">IF(AND(ISNUMBER($M$359),$B$258=1),$M$359,HLOOKUP(INDIRECT(ADDRESS(2,COLUMN())),OFFSET($BN$2,0,0,ROW()-1,60),ROW()-1,FALSE))</f>
        <v>10.73688748</v>
      </c>
      <c r="N112">
        <f ca="1">IF(AND(ISNUMBER($N$359),$B$258=1),$N$359,HLOOKUP(INDIRECT(ADDRESS(2,COLUMN())),OFFSET($BN$2,0,0,ROW()-1,60),ROW()-1,FALSE))</f>
        <v>9.8275502790000004</v>
      </c>
      <c r="O112">
        <f ca="1">IF(AND(ISNUMBER($O$359),$B$258=1),$O$359,HLOOKUP(INDIRECT(ADDRESS(2,COLUMN())),OFFSET($BN$2,0,0,ROW()-1,60),ROW()-1,FALSE))</f>
        <v>18.69944984</v>
      </c>
      <c r="P112">
        <f ca="1">IF(AND(ISNUMBER($P$359),$B$258=1),$P$359,HLOOKUP(INDIRECT(ADDRESS(2,COLUMN())),OFFSET($BN$2,0,0,ROW()-1,60),ROW()-1,FALSE))</f>
        <v>17.776041809999999</v>
      </c>
      <c r="Q112">
        <f ca="1">IF(AND(ISNUMBER($Q$359),$B$258=1),$Q$359,HLOOKUP(INDIRECT(ADDRESS(2,COLUMN())),OFFSET($BN$2,0,0,ROW()-1,60),ROW()-1,FALSE))</f>
        <v>15.73338171</v>
      </c>
      <c r="R112">
        <f ca="1">IF(AND(ISNUMBER($R$359),$B$258=1),$R$359,HLOOKUP(INDIRECT(ADDRESS(2,COLUMN())),OFFSET($BN$2,0,0,ROW()-1,60),ROW()-1,FALSE))</f>
        <v>11.67345873</v>
      </c>
      <c r="S112">
        <f ca="1">IF(AND(ISNUMBER($S$359),$B$258=1),$S$359,HLOOKUP(INDIRECT(ADDRESS(2,COLUMN())),OFFSET($BN$2,0,0,ROW()-1,60),ROW()-1,FALSE))</f>
        <v>11.758468929999999</v>
      </c>
      <c r="T112">
        <f ca="1">IF(AND(ISNUMBER($T$359),$B$258=1),$T$359,HLOOKUP(INDIRECT(ADDRESS(2,COLUMN())),OFFSET($BN$2,0,0,ROW()-1,60),ROW()-1,FALSE))</f>
        <v>17.244101950000001</v>
      </c>
      <c r="U112">
        <f ca="1">IF(AND(ISNUMBER($U$359),$B$258=1),$U$359,HLOOKUP(INDIRECT(ADDRESS(2,COLUMN())),OFFSET($BN$2,0,0,ROW()-1,60),ROW()-1,FALSE))</f>
        <v>14.598843629999999</v>
      </c>
      <c r="V112">
        <f ca="1">IF(AND(ISNUMBER($V$359),$B$258=1),$V$359,HLOOKUP(INDIRECT(ADDRESS(2,COLUMN())),OFFSET($BN$2,0,0,ROW()-1,60),ROW()-1,FALSE))</f>
        <v>17.392376219999999</v>
      </c>
      <c r="W112">
        <f ca="1">IF(AND(ISNUMBER($W$359),$B$258=1),$W$359,HLOOKUP(INDIRECT(ADDRESS(2,COLUMN())),OFFSET($BN$2,0,0,ROW()-1,60),ROW()-1,FALSE))</f>
        <v>11.61556058</v>
      </c>
      <c r="X112">
        <f ca="1">IF(AND(ISNUMBER($X$359),$B$258=1),$X$359,HLOOKUP(INDIRECT(ADDRESS(2,COLUMN())),OFFSET($BN$2,0,0,ROW()-1,60),ROW()-1,FALSE))</f>
        <v>10.8260413</v>
      </c>
      <c r="Y112">
        <f ca="1">IF(AND(ISNUMBER($Y$359),$B$258=1),$Y$359,HLOOKUP(INDIRECT(ADDRESS(2,COLUMN())),OFFSET($BN$2,0,0,ROW()-1,60),ROW()-1,FALSE))</f>
        <v>5.7262368380000002</v>
      </c>
      <c r="Z112">
        <f ca="1">IF(AND(ISNUMBER($Z$359),$B$258=1),$Z$359,HLOOKUP(INDIRECT(ADDRESS(2,COLUMN())),OFFSET($BN$2,0,0,ROW()-1,60),ROW()-1,FALSE))</f>
        <v>10.590151130000001</v>
      </c>
      <c r="AA112">
        <f ca="1">IF(AND(ISNUMBER($AA$359),$B$258=1),$AA$359,HLOOKUP(INDIRECT(ADDRESS(2,COLUMN())),OFFSET($BN$2,0,0,ROW()-1,60),ROW()-1,FALSE))</f>
        <v>8.6212468310000006</v>
      </c>
      <c r="AB112">
        <f ca="1">IF(AND(ISNUMBER($AB$359),$B$258=1),$AB$359,HLOOKUP(INDIRECT(ADDRESS(2,COLUMN())),OFFSET($BN$2,0,0,ROW()-1,60),ROW()-1,FALSE))</f>
        <v>3.4740029259999998</v>
      </c>
      <c r="AC112">
        <f ca="1">IF(AND(ISNUMBER($AC$359),$B$258=1),$AC$359,HLOOKUP(INDIRECT(ADDRESS(2,COLUMN())),OFFSET($BN$2,0,0,ROW()-1,60),ROW()-1,FALSE))</f>
        <v>1.5852526849999999</v>
      </c>
      <c r="AD112">
        <f ca="1">IF(AND(ISNUMBER($AD$359),$B$258=1),$AD$359,HLOOKUP(INDIRECT(ADDRESS(2,COLUMN())),OFFSET($BN$2,0,0,ROW()-1,60),ROW()-1,FALSE))</f>
        <v>-3.0081475129999999</v>
      </c>
      <c r="AE112">
        <f ca="1">IF(AND(ISNUMBER($AE$359),$B$258=1),$AE$359,HLOOKUP(INDIRECT(ADDRESS(2,COLUMN())),OFFSET($BN$2,0,0,ROW()-1,60),ROW()-1,FALSE))</f>
        <v>5.6693833570000001</v>
      </c>
      <c r="AF112">
        <f ca="1">IF(AND(ISNUMBER($AF$359),$B$258=1),$AF$359,HLOOKUP(INDIRECT(ADDRESS(2,COLUMN())),OFFSET($BN$2,0,0,ROW()-1,60),ROW()-1,FALSE))</f>
        <v>14.74475123</v>
      </c>
      <c r="AG112">
        <f ca="1">IF(AND(ISNUMBER($AG$359),$B$258=1),$AG$359,HLOOKUP(INDIRECT(ADDRESS(2,COLUMN())),OFFSET($BN$2,0,0,ROW()-1,60),ROW()-1,FALSE))</f>
        <v>22.486112299999998</v>
      </c>
      <c r="AH112">
        <f ca="1">IF(AND(ISNUMBER($AH$359),$B$258=1),$AH$359,HLOOKUP(INDIRECT(ADDRESS(2,COLUMN())),OFFSET($BN$2,0,0,ROW()-1,60),ROW()-1,FALSE))</f>
        <v>20.11022122</v>
      </c>
      <c r="AI112">
        <f ca="1">IF(AND(ISNUMBER($AI$359),$B$258=1),$AI$359,HLOOKUP(INDIRECT(ADDRESS(2,COLUMN())),OFFSET($BN$2,0,0,ROW()-1,60),ROW()-1,FALSE))</f>
        <v>14.529810530000001</v>
      </c>
      <c r="AJ112">
        <f ca="1">IF(AND(ISNUMBER($AJ$359),$B$258=1),$AJ$359,HLOOKUP(INDIRECT(ADDRESS(2,COLUMN())),OFFSET($BN$2,0,0,ROW()-1,60),ROW()-1,FALSE))</f>
        <v>3.8747776840000001</v>
      </c>
      <c r="AK112">
        <f ca="1">IF(AND(ISNUMBER($AK$359),$B$258=1),$AK$359,HLOOKUP(INDIRECT(ADDRESS(2,COLUMN())),OFFSET($BN$2,0,0,ROW()-1,60),ROW()-1,FALSE))</f>
        <v>-3.328679186</v>
      </c>
      <c r="AL112">
        <f ca="1">IF(AND(ISNUMBER($AL$359),$B$258=1),$AL$359,HLOOKUP(INDIRECT(ADDRESS(2,COLUMN())),OFFSET($BN$2,0,0,ROW()-1,60),ROW()-1,FALSE))</f>
        <v>-11.45189611</v>
      </c>
      <c r="AM112">
        <f ca="1">IF(AND(ISNUMBER($AM$359),$B$258=1),$AM$359,HLOOKUP(INDIRECT(ADDRESS(2,COLUMN())),OFFSET($BN$2,0,0,ROW()-1,60),ROW()-1,FALSE))</f>
        <v>-7.5852984640000001</v>
      </c>
      <c r="AN112">
        <f ca="1">IF(AND(ISNUMBER($AN$359),$B$258=1),$AN$359,HLOOKUP(INDIRECT(ADDRESS(2,COLUMN())),OFFSET($BN$2,0,0,ROW()-1,60),ROW()-1,FALSE))</f>
        <v>2.9280820400000001</v>
      </c>
      <c r="AO112">
        <f ca="1">IF(AND(ISNUMBER($AO$359),$B$258=1),$AO$359,HLOOKUP(INDIRECT(ADDRESS(2,COLUMN())),OFFSET($BN$2,0,0,ROW()-1,60),ROW()-1,FALSE))</f>
        <v>11.271580650000001</v>
      </c>
      <c r="AP112">
        <f ca="1">IF(AND(ISNUMBER($AP$359),$B$258=1),$AP$359,HLOOKUP(INDIRECT(ADDRESS(2,COLUMN())),OFFSET($BN$2,0,0,ROW()-1,60),ROW()-1,FALSE))</f>
        <v>20.077216549999999</v>
      </c>
      <c r="AQ112">
        <f ca="1">IF(AND(ISNUMBER($AQ$359),$B$258=1),$AQ$359,HLOOKUP(INDIRECT(ADDRESS(2,COLUMN())),OFFSET($BN$2,0,0,ROW()-1,60),ROW()-1,FALSE))</f>
        <v>15.71433882</v>
      </c>
      <c r="AR112">
        <f ca="1">IF(AND(ISNUMBER($AR$359),$B$258=1),$AR$359,HLOOKUP(INDIRECT(ADDRESS(2,COLUMN())),OFFSET($BN$2,0,0,ROW()-1,60),ROW()-1,FALSE))</f>
        <v>10.208898509999999</v>
      </c>
      <c r="AS112">
        <f ca="1">IF(AND(ISNUMBER($AS$359),$B$258=1),$AS$359,HLOOKUP(INDIRECT(ADDRESS(2,COLUMN())),OFFSET($BN$2,0,0,ROW()-1,60),ROW()-1,FALSE))</f>
        <v>16.006356050000001</v>
      </c>
      <c r="AT112">
        <f ca="1">IF(AND(ISNUMBER($AT$359),$B$258=1),$AT$359,HLOOKUP(INDIRECT(ADDRESS(2,COLUMN())),OFFSET($BN$2,0,0,ROW()-1,60),ROW()-1,FALSE))</f>
        <v>15.58880003</v>
      </c>
      <c r="AU112">
        <f ca="1">IF(AND(ISNUMBER($AU$359),$B$258=1),$AU$359,HLOOKUP(INDIRECT(ADDRESS(2,COLUMN())),OFFSET($BN$2,0,0,ROW()-1,60),ROW()-1,FALSE))</f>
        <v>17.070516940000001</v>
      </c>
      <c r="AV112">
        <f ca="1">IF(AND(ISNUMBER($AV$359),$B$258=1),$AV$359,HLOOKUP(INDIRECT(ADDRESS(2,COLUMN())),OFFSET($BN$2,0,0,ROW()-1,60),ROW()-1,FALSE))</f>
        <v>20.474549870000001</v>
      </c>
      <c r="AW112">
        <f ca="1">IF(AND(ISNUMBER($AW$359),$B$258=1),$AW$359,HLOOKUP(INDIRECT(ADDRESS(2,COLUMN())),OFFSET($BN$2,0,0,ROW()-1,60),ROW()-1,FALSE))</f>
        <v>33.598814599999997</v>
      </c>
      <c r="AX112">
        <f ca="1">IF(AND(ISNUMBER($AX$359),$B$258=1),$AX$359,HLOOKUP(INDIRECT(ADDRESS(2,COLUMN())),OFFSET($BN$2,0,0,ROW()-1,60),ROW()-1,FALSE))</f>
        <v>38.81346748</v>
      </c>
      <c r="AY112">
        <f ca="1">IF(AND(ISNUMBER($AY$359),$B$258=1),$AY$359,HLOOKUP(INDIRECT(ADDRESS(2,COLUMN())),OFFSET($BN$2,0,0,ROW()-1,60),ROW()-1,FALSE))</f>
        <v>44.100031360000003</v>
      </c>
      <c r="AZ112">
        <f ca="1">IF(AND(ISNUMBER($AZ$359),$B$258=1),$AZ$359,HLOOKUP(INDIRECT(ADDRESS(2,COLUMN())),OFFSET($BN$2,0,0,ROW()-1,60),ROW()-1,FALSE))</f>
        <v>36.64269822</v>
      </c>
      <c r="BA112">
        <f ca="1">IF(AND(ISNUMBER($BA$359),$B$258=1),$BA$359,HLOOKUP(INDIRECT(ADDRESS(2,COLUMN())),OFFSET($BN$2,0,0,ROW()-1,60),ROW()-1,FALSE))</f>
        <v>22.53958832</v>
      </c>
      <c r="BB112">
        <f ca="1">IF(AND(ISNUMBER($BB$359),$B$258=1),$BB$359,HLOOKUP(INDIRECT(ADDRESS(2,COLUMN())),OFFSET($BN$2,0,0,ROW()-1,60),ROW()-1,FALSE))</f>
        <v>24.02688221</v>
      </c>
      <c r="BC112">
        <f ca="1">IF(AND(ISNUMBER($BC$359),$B$258=1),$BC$359,HLOOKUP(INDIRECT(ADDRESS(2,COLUMN())),OFFSET($BN$2,0,0,ROW()-1,60),ROW()-1,FALSE))</f>
        <v>26.357080589999999</v>
      </c>
      <c r="BD112">
        <f ca="1">IF(AND(ISNUMBER($BD$359),$B$258=1),$BD$359,HLOOKUP(INDIRECT(ADDRESS(2,COLUMN())),OFFSET($BN$2,0,0,ROW()-1,60),ROW()-1,FALSE))</f>
        <v>33.506963130000003</v>
      </c>
      <c r="BE112">
        <f ca="1">IF(AND(ISNUMBER($BE$359),$B$258=1),$BE$359,HLOOKUP(INDIRECT(ADDRESS(2,COLUMN())),OFFSET($BN$2,0,0,ROW()-1,60),ROW()-1,FALSE))</f>
        <v>31.60168187</v>
      </c>
      <c r="BF112">
        <f ca="1">IF(AND(ISNUMBER($BF$359),$B$258=1),$BF$359,HLOOKUP(INDIRECT(ADDRESS(2,COLUMN())),OFFSET($BN$2,0,0,ROW()-1,60),ROW()-1,FALSE))</f>
        <v>28.70835769</v>
      </c>
      <c r="BG112">
        <f ca="1">IF(AND(ISNUMBER($BG$359),$B$258=1),$BG$359,HLOOKUP(INDIRECT(ADDRESS(2,COLUMN())),OFFSET($BN$2,0,0,ROW()-1,60),ROW()-1,FALSE))</f>
        <v>29.078123000000001</v>
      </c>
      <c r="BH112">
        <f ca="1">IF(AND(ISNUMBER($BH$359),$B$258=1),$BH$359,HLOOKUP(INDIRECT(ADDRESS(2,COLUMN())),OFFSET($BN$2,0,0,ROW()-1,60),ROW()-1,FALSE))</f>
        <v>15.90120993</v>
      </c>
      <c r="BI112">
        <f ca="1">IF(AND(ISNUMBER($BI$359),$B$258=1),$BI$359,HLOOKUP(INDIRECT(ADDRESS(2,COLUMN())),OFFSET($BN$2,0,0,ROW()-1,60),ROW()-1,FALSE))</f>
        <v>10.30768451</v>
      </c>
      <c r="BJ112">
        <f ca="1">IF(AND(ISNUMBER($BJ$359),$B$258=1),$BJ$359,HLOOKUP(INDIRECT(ADDRESS(2,COLUMN())),OFFSET($BN$2,0,0,ROW()-1,60),ROW()-1,FALSE))</f>
        <v>6.8333374960000004</v>
      </c>
      <c r="BK112">
        <f ca="1">IF(AND(ISNUMBER($BK$359),$B$258=1),$BK$359,HLOOKUP(INDIRECT(ADDRESS(2,COLUMN())),OFFSET($BN$2,0,0,ROW()-1,60),ROW()-1,FALSE))</f>
        <v>5.9928443649999998</v>
      </c>
      <c r="BL112">
        <f ca="1">IF(AND(ISNUMBER($BL$359),$B$258=1),$BL$359,HLOOKUP(INDIRECT(ADDRESS(2,COLUMN())),OFFSET($BN$2,0,0,ROW()-1,60),ROW()-1,FALSE))</f>
        <v>8.7375217010000004</v>
      </c>
      <c r="BM112">
        <f ca="1">IF(AND(ISNUMBER($BM$359),$B$258=1),$BM$359,HLOOKUP(INDIRECT(ADDRESS(2,COLUMN())),OFFSET($BN$2,0,0,ROW()-1,60),ROW()-1,FALSE))</f>
        <v>13.24588846</v>
      </c>
      <c r="BN112" t="str">
        <f>""</f>
        <v/>
      </c>
      <c r="BO112">
        <f>19.91836636</f>
        <v>19.91836636</v>
      </c>
      <c r="BP112">
        <f>23.86979716</f>
        <v>23.869797160000001</v>
      </c>
      <c r="BQ112">
        <f>20.78194943</f>
        <v>20.781949430000001</v>
      </c>
      <c r="BR112">
        <f>25.35436788</f>
        <v>25.354367880000002</v>
      </c>
      <c r="BS112">
        <f>11.25538613</f>
        <v>11.25538613</v>
      </c>
      <c r="BT112">
        <f>5.383559764</f>
        <v>5.3835597640000001</v>
      </c>
      <c r="BU112">
        <f>10.73688748</f>
        <v>10.73688748</v>
      </c>
      <c r="BV112">
        <f>9.827550279</f>
        <v>9.8275502790000004</v>
      </c>
      <c r="BW112">
        <f>18.69944984</f>
        <v>18.69944984</v>
      </c>
      <c r="BX112">
        <f>17.77604181</f>
        <v>17.776041809999999</v>
      </c>
      <c r="BY112">
        <f>15.73338171</f>
        <v>15.73338171</v>
      </c>
      <c r="BZ112">
        <f>11.67345873</f>
        <v>11.67345873</v>
      </c>
      <c r="CA112">
        <f>11.75846893</f>
        <v>11.758468929999999</v>
      </c>
      <c r="CB112">
        <f>17.24410195</f>
        <v>17.244101950000001</v>
      </c>
      <c r="CC112">
        <f>14.59884363</f>
        <v>14.598843629999999</v>
      </c>
      <c r="CD112">
        <f>17.39237622</f>
        <v>17.392376219999999</v>
      </c>
      <c r="CE112">
        <f>11.61556058</f>
        <v>11.61556058</v>
      </c>
      <c r="CF112">
        <f>10.8260413</f>
        <v>10.8260413</v>
      </c>
      <c r="CG112">
        <f>5.726236838</f>
        <v>5.7262368380000002</v>
      </c>
      <c r="CH112">
        <f>10.59015113</f>
        <v>10.590151130000001</v>
      </c>
      <c r="CI112">
        <f>8.621246831</f>
        <v>8.6212468310000006</v>
      </c>
      <c r="CJ112">
        <f>3.474002926</f>
        <v>3.4740029259999998</v>
      </c>
      <c r="CK112">
        <f>1.585252685</f>
        <v>1.5852526849999999</v>
      </c>
      <c r="CL112">
        <f>-3.008147513</f>
        <v>-3.0081475129999999</v>
      </c>
      <c r="CM112">
        <f>5.669383357</f>
        <v>5.6693833570000001</v>
      </c>
      <c r="CN112">
        <f>14.74475123</f>
        <v>14.74475123</v>
      </c>
      <c r="CO112">
        <f>22.4861123</f>
        <v>22.486112299999998</v>
      </c>
      <c r="CP112">
        <f>20.11022122</f>
        <v>20.11022122</v>
      </c>
      <c r="CQ112">
        <f>14.52981053</f>
        <v>14.529810530000001</v>
      </c>
      <c r="CR112">
        <f>3.874777684</f>
        <v>3.8747776840000001</v>
      </c>
      <c r="CS112">
        <f>-3.328679186</f>
        <v>-3.328679186</v>
      </c>
      <c r="CT112">
        <f>-11.45189611</f>
        <v>-11.45189611</v>
      </c>
      <c r="CU112">
        <f>-7.585298464</f>
        <v>-7.5852984640000001</v>
      </c>
      <c r="CV112">
        <f>2.92808204</f>
        <v>2.9280820400000001</v>
      </c>
      <c r="CW112">
        <f>11.27158065</f>
        <v>11.271580650000001</v>
      </c>
      <c r="CX112">
        <f>20.07721655</f>
        <v>20.077216549999999</v>
      </c>
      <c r="CY112">
        <f>15.71433882</f>
        <v>15.71433882</v>
      </c>
      <c r="CZ112">
        <f>10.20889851</f>
        <v>10.208898509999999</v>
      </c>
      <c r="DA112">
        <f>16.00635605</f>
        <v>16.006356050000001</v>
      </c>
      <c r="DB112">
        <f>15.58880003</f>
        <v>15.58880003</v>
      </c>
      <c r="DC112">
        <f>17.07051694</f>
        <v>17.070516940000001</v>
      </c>
      <c r="DD112">
        <f>20.47454987</f>
        <v>20.474549870000001</v>
      </c>
      <c r="DE112">
        <f>33.5988146</f>
        <v>33.598814599999997</v>
      </c>
      <c r="DF112">
        <f>38.81346748</f>
        <v>38.81346748</v>
      </c>
      <c r="DG112">
        <f>44.10003136</f>
        <v>44.100031360000003</v>
      </c>
      <c r="DH112">
        <f>36.64269822</f>
        <v>36.64269822</v>
      </c>
      <c r="DI112">
        <f>22.53958832</f>
        <v>22.53958832</v>
      </c>
      <c r="DJ112">
        <f>24.02688221</f>
        <v>24.02688221</v>
      </c>
      <c r="DK112">
        <f>26.35708059</f>
        <v>26.357080589999999</v>
      </c>
      <c r="DL112">
        <f>33.50696313</f>
        <v>33.506963130000003</v>
      </c>
      <c r="DM112">
        <f>31.60168187</f>
        <v>31.60168187</v>
      </c>
      <c r="DN112">
        <f>28.70835769</f>
        <v>28.70835769</v>
      </c>
      <c r="DO112">
        <f>29.078123</f>
        <v>29.078123000000001</v>
      </c>
      <c r="DP112">
        <f>15.90120993</f>
        <v>15.90120993</v>
      </c>
      <c r="DQ112">
        <f>10.30768451</f>
        <v>10.30768451</v>
      </c>
      <c r="DR112">
        <f>6.833337496</f>
        <v>6.8333374960000004</v>
      </c>
      <c r="DS112">
        <f>5.992844365</f>
        <v>5.9928443649999998</v>
      </c>
      <c r="DT112">
        <f>8.737521701</f>
        <v>8.7375217010000004</v>
      </c>
      <c r="DU112">
        <f>13.24588846</f>
        <v>13.24588846</v>
      </c>
    </row>
    <row r="113" spans="1:125">
      <c r="A113" t="str">
        <f>"    Care Capital Properties Inc"</f>
        <v xml:space="preserve">    Care Capital Properties Inc</v>
      </c>
      <c r="B113" t="str">
        <f>"CCP US Equity"</f>
        <v>CCP US Equity</v>
      </c>
      <c r="C113" t="str">
        <f t="shared" si="27"/>
        <v>RR033</v>
      </c>
      <c r="D113" t="str">
        <f t="shared" si="28"/>
        <v>SALES_GROWTH</v>
      </c>
      <c r="E113" t="str">
        <f t="shared" si="29"/>
        <v>动态</v>
      </c>
      <c r="F113" t="str">
        <f ca="1">IF(AND(ISNUMBER($F$360),$B$258=1),$F$360,HLOOKUP(INDIRECT(ADDRESS(2,COLUMN())),OFFSET($BN$2,0,0,ROW()-1,60),ROW()-1,FALSE))</f>
        <v/>
      </c>
      <c r="G113" t="str">
        <f ca="1">IF(AND(ISNUMBER($G$360),$B$258=1),$G$360,HLOOKUP(INDIRECT(ADDRESS(2,COLUMN())),OFFSET($BN$2,0,0,ROW()-1,60),ROW()-1,FALSE))</f>
        <v/>
      </c>
      <c r="H113" t="str">
        <f ca="1">IF(AND(ISNUMBER($H$360),$B$258=1),$H$360,HLOOKUP(INDIRECT(ADDRESS(2,COLUMN())),OFFSET($BN$2,0,0,ROW()-1,60),ROW()-1,FALSE))</f>
        <v/>
      </c>
      <c r="I113">
        <f ca="1">IF(AND(ISNUMBER($I$360),$B$258=1),$I$360,HLOOKUP(INDIRECT(ADDRESS(2,COLUMN())),OFFSET($BN$2,0,0,ROW()-1,60),ROW()-1,FALSE))</f>
        <v>3.6690714670000002</v>
      </c>
      <c r="J113">
        <f ca="1">IF(AND(ISNUMBER($J$360),$B$258=1),$J$360,HLOOKUP(INDIRECT(ADDRESS(2,COLUMN())),OFFSET($BN$2,0,0,ROW()-1,60),ROW()-1,FALSE))</f>
        <v>-3.3438605209999999</v>
      </c>
      <c r="K113">
        <f ca="1">IF(AND(ISNUMBER($K$360),$B$258=1),$K$360,HLOOKUP(INDIRECT(ADDRESS(2,COLUMN())),OFFSET($BN$2,0,0,ROW()-1,60),ROW()-1,FALSE))</f>
        <v>-4.8333352420000004</v>
      </c>
      <c r="L113">
        <f ca="1">IF(AND(ISNUMBER($L$360),$B$258=1),$L$360,HLOOKUP(INDIRECT(ADDRESS(2,COLUMN())),OFFSET($BN$2,0,0,ROW()-1,60),ROW()-1,FALSE))</f>
        <v>6.0424942599999998</v>
      </c>
      <c r="M113">
        <f ca="1">IF(AND(ISNUMBER($M$360),$B$258=1),$M$360,HLOOKUP(INDIRECT(ADDRESS(2,COLUMN())),OFFSET($BN$2,0,0,ROW()-1,60),ROW()-1,FALSE))</f>
        <v>7.4535875559999996</v>
      </c>
      <c r="N113" t="str">
        <f ca="1">IF(AND(ISNUMBER($N$360),$B$258=1),$N$360,HLOOKUP(INDIRECT(ADDRESS(2,COLUMN())),OFFSET($BN$2,0,0,ROW()-1,60),ROW()-1,FALSE))</f>
        <v/>
      </c>
      <c r="O113" t="str">
        <f ca="1">IF(AND(ISNUMBER($O$360),$B$258=1),$O$360,HLOOKUP(INDIRECT(ADDRESS(2,COLUMN())),OFFSET($BN$2,0,0,ROW()-1,60),ROW()-1,FALSE))</f>
        <v/>
      </c>
      <c r="P113" t="str">
        <f ca="1">IF(AND(ISNUMBER($P$360),$B$258=1),$P$360,HLOOKUP(INDIRECT(ADDRESS(2,COLUMN())),OFFSET($BN$2,0,0,ROW()-1,60),ROW()-1,FALSE))</f>
        <v/>
      </c>
      <c r="Q113" t="str">
        <f ca="1">IF(AND(ISNUMBER($Q$360),$B$258=1),$Q$360,HLOOKUP(INDIRECT(ADDRESS(2,COLUMN())),OFFSET($BN$2,0,0,ROW()-1,60),ROW()-1,FALSE))</f>
        <v/>
      </c>
      <c r="R113" t="str">
        <f ca="1">IF(AND(ISNUMBER($R$360),$B$258=1),$R$360,HLOOKUP(INDIRECT(ADDRESS(2,COLUMN())),OFFSET($BN$2,0,0,ROW()-1,60),ROW()-1,FALSE))</f>
        <v/>
      </c>
      <c r="S113" t="str">
        <f ca="1">IF(AND(ISNUMBER($S$360),$B$258=1),$S$360,HLOOKUP(INDIRECT(ADDRESS(2,COLUMN())),OFFSET($BN$2,0,0,ROW()-1,60),ROW()-1,FALSE))</f>
        <v/>
      </c>
      <c r="T113" t="str">
        <f ca="1">IF(AND(ISNUMBER($T$360),$B$258=1),$T$360,HLOOKUP(INDIRECT(ADDRESS(2,COLUMN())),OFFSET($BN$2,0,0,ROW()-1,60),ROW()-1,FALSE))</f>
        <v/>
      </c>
      <c r="U113" t="str">
        <f ca="1">IF(AND(ISNUMBER($U$360),$B$258=1),$U$360,HLOOKUP(INDIRECT(ADDRESS(2,COLUMN())),OFFSET($BN$2,0,0,ROW()-1,60),ROW()-1,FALSE))</f>
        <v/>
      </c>
      <c r="V113" t="str">
        <f ca="1">IF(AND(ISNUMBER($V$360),$B$258=1),$V$360,HLOOKUP(INDIRECT(ADDRESS(2,COLUMN())),OFFSET($BN$2,0,0,ROW()-1,60),ROW()-1,FALSE))</f>
        <v/>
      </c>
      <c r="W113" t="str">
        <f ca="1">IF(AND(ISNUMBER($W$360),$B$258=1),$W$360,HLOOKUP(INDIRECT(ADDRESS(2,COLUMN())),OFFSET($BN$2,0,0,ROW()-1,60),ROW()-1,FALSE))</f>
        <v/>
      </c>
      <c r="X113" t="str">
        <f ca="1">IF(AND(ISNUMBER($X$360),$B$258=1),$X$360,HLOOKUP(INDIRECT(ADDRESS(2,COLUMN())),OFFSET($BN$2,0,0,ROW()-1,60),ROW()-1,FALSE))</f>
        <v/>
      </c>
      <c r="Y113" t="str">
        <f ca="1">IF(AND(ISNUMBER($Y$360),$B$258=1),$Y$360,HLOOKUP(INDIRECT(ADDRESS(2,COLUMN())),OFFSET($BN$2,0,0,ROW()-1,60),ROW()-1,FALSE))</f>
        <v/>
      </c>
      <c r="Z113" t="str">
        <f ca="1">IF(AND(ISNUMBER($Z$360),$B$258=1),$Z$360,HLOOKUP(INDIRECT(ADDRESS(2,COLUMN())),OFFSET($BN$2,0,0,ROW()-1,60),ROW()-1,FALSE))</f>
        <v/>
      </c>
      <c r="AA113" t="str">
        <f ca="1">IF(AND(ISNUMBER($AA$360),$B$258=1),$AA$360,HLOOKUP(INDIRECT(ADDRESS(2,COLUMN())),OFFSET($BN$2,0,0,ROW()-1,60),ROW()-1,FALSE))</f>
        <v/>
      </c>
      <c r="AB113" t="str">
        <f ca="1">IF(AND(ISNUMBER($AB$360),$B$258=1),$AB$360,HLOOKUP(INDIRECT(ADDRESS(2,COLUMN())),OFFSET($BN$2,0,0,ROW()-1,60),ROW()-1,FALSE))</f>
        <v/>
      </c>
      <c r="AC113" t="str">
        <f ca="1">IF(AND(ISNUMBER($AC$360),$B$258=1),$AC$360,HLOOKUP(INDIRECT(ADDRESS(2,COLUMN())),OFFSET($BN$2,0,0,ROW()-1,60),ROW()-1,FALSE))</f>
        <v/>
      </c>
      <c r="AD113" t="str">
        <f ca="1">IF(AND(ISNUMBER($AD$360),$B$258=1),$AD$360,HLOOKUP(INDIRECT(ADDRESS(2,COLUMN())),OFFSET($BN$2,0,0,ROW()-1,60),ROW()-1,FALSE))</f>
        <v/>
      </c>
      <c r="AE113" t="str">
        <f ca="1">IF(AND(ISNUMBER($AE$360),$B$258=1),$AE$360,HLOOKUP(INDIRECT(ADDRESS(2,COLUMN())),OFFSET($BN$2,0,0,ROW()-1,60),ROW()-1,FALSE))</f>
        <v/>
      </c>
      <c r="AF113" t="str">
        <f ca="1">IF(AND(ISNUMBER($AF$360),$B$258=1),$AF$360,HLOOKUP(INDIRECT(ADDRESS(2,COLUMN())),OFFSET($BN$2,0,0,ROW()-1,60),ROW()-1,FALSE))</f>
        <v/>
      </c>
      <c r="AG113" t="str">
        <f ca="1">IF(AND(ISNUMBER($AG$360),$B$258=1),$AG$360,HLOOKUP(INDIRECT(ADDRESS(2,COLUMN())),OFFSET($BN$2,0,0,ROW()-1,60),ROW()-1,FALSE))</f>
        <v/>
      </c>
      <c r="AH113" t="str">
        <f ca="1">IF(AND(ISNUMBER($AH$360),$B$258=1),$AH$360,HLOOKUP(INDIRECT(ADDRESS(2,COLUMN())),OFFSET($BN$2,0,0,ROW()-1,60),ROW()-1,FALSE))</f>
        <v/>
      </c>
      <c r="AI113" t="str">
        <f ca="1">IF(AND(ISNUMBER($AI$360),$B$258=1),$AI$360,HLOOKUP(INDIRECT(ADDRESS(2,COLUMN())),OFFSET($BN$2,0,0,ROW()-1,60),ROW()-1,FALSE))</f>
        <v/>
      </c>
      <c r="AJ113" t="str">
        <f ca="1">IF(AND(ISNUMBER($AJ$360),$B$258=1),$AJ$360,HLOOKUP(INDIRECT(ADDRESS(2,COLUMN())),OFFSET($BN$2,0,0,ROW()-1,60),ROW()-1,FALSE))</f>
        <v/>
      </c>
      <c r="AK113" t="str">
        <f ca="1">IF(AND(ISNUMBER($AK$360),$B$258=1),$AK$360,HLOOKUP(INDIRECT(ADDRESS(2,COLUMN())),OFFSET($BN$2,0,0,ROW()-1,60),ROW()-1,FALSE))</f>
        <v/>
      </c>
      <c r="AL113" t="str">
        <f ca="1">IF(AND(ISNUMBER($AL$360),$B$258=1),$AL$360,HLOOKUP(INDIRECT(ADDRESS(2,COLUMN())),OFFSET($BN$2,0,0,ROW()-1,60),ROW()-1,FALSE))</f>
        <v/>
      </c>
      <c r="AM113" t="str">
        <f ca="1">IF(AND(ISNUMBER($AM$360),$B$258=1),$AM$360,HLOOKUP(INDIRECT(ADDRESS(2,COLUMN())),OFFSET($BN$2,0,0,ROW()-1,60),ROW()-1,FALSE))</f>
        <v/>
      </c>
      <c r="AN113" t="str">
        <f ca="1">IF(AND(ISNUMBER($AN$360),$B$258=1),$AN$360,HLOOKUP(INDIRECT(ADDRESS(2,COLUMN())),OFFSET($BN$2,0,0,ROW()-1,60),ROW()-1,FALSE))</f>
        <v/>
      </c>
      <c r="AO113" t="str">
        <f ca="1">IF(AND(ISNUMBER($AO$360),$B$258=1),$AO$360,HLOOKUP(INDIRECT(ADDRESS(2,COLUMN())),OFFSET($BN$2,0,0,ROW()-1,60),ROW()-1,FALSE))</f>
        <v/>
      </c>
      <c r="AP113" t="str">
        <f ca="1">IF(AND(ISNUMBER($AP$360),$B$258=1),$AP$360,HLOOKUP(INDIRECT(ADDRESS(2,COLUMN())),OFFSET($BN$2,0,0,ROW()-1,60),ROW()-1,FALSE))</f>
        <v/>
      </c>
      <c r="AQ113" t="str">
        <f ca="1">IF(AND(ISNUMBER($AQ$360),$B$258=1),$AQ$360,HLOOKUP(INDIRECT(ADDRESS(2,COLUMN())),OFFSET($BN$2,0,0,ROW()-1,60),ROW()-1,FALSE))</f>
        <v/>
      </c>
      <c r="AR113" t="str">
        <f ca="1">IF(AND(ISNUMBER($AR$360),$B$258=1),$AR$360,HLOOKUP(INDIRECT(ADDRESS(2,COLUMN())),OFFSET($BN$2,0,0,ROW()-1,60),ROW()-1,FALSE))</f>
        <v/>
      </c>
      <c r="AS113" t="str">
        <f ca="1">IF(AND(ISNUMBER($AS$360),$B$258=1),$AS$360,HLOOKUP(INDIRECT(ADDRESS(2,COLUMN())),OFFSET($BN$2,0,0,ROW()-1,60),ROW()-1,FALSE))</f>
        <v/>
      </c>
      <c r="AT113" t="str">
        <f ca="1">IF(AND(ISNUMBER($AT$360),$B$258=1),$AT$360,HLOOKUP(INDIRECT(ADDRESS(2,COLUMN())),OFFSET($BN$2,0,0,ROW()-1,60),ROW()-1,FALSE))</f>
        <v/>
      </c>
      <c r="AU113" t="str">
        <f ca="1">IF(AND(ISNUMBER($AU$360),$B$258=1),$AU$360,HLOOKUP(INDIRECT(ADDRESS(2,COLUMN())),OFFSET($BN$2,0,0,ROW()-1,60),ROW()-1,FALSE))</f>
        <v/>
      </c>
      <c r="AV113" t="str">
        <f ca="1">IF(AND(ISNUMBER($AV$360),$B$258=1),$AV$360,HLOOKUP(INDIRECT(ADDRESS(2,COLUMN())),OFFSET($BN$2,0,0,ROW()-1,60),ROW()-1,FALSE))</f>
        <v/>
      </c>
      <c r="AW113" t="str">
        <f ca="1">IF(AND(ISNUMBER($AW$360),$B$258=1),$AW$360,HLOOKUP(INDIRECT(ADDRESS(2,COLUMN())),OFFSET($BN$2,0,0,ROW()-1,60),ROW()-1,FALSE))</f>
        <v/>
      </c>
      <c r="AX113" t="str">
        <f ca="1">IF(AND(ISNUMBER($AX$360),$B$258=1),$AX$360,HLOOKUP(INDIRECT(ADDRESS(2,COLUMN())),OFFSET($BN$2,0,0,ROW()-1,60),ROW()-1,FALSE))</f>
        <v/>
      </c>
      <c r="AY113" t="str">
        <f ca="1">IF(AND(ISNUMBER($AY$360),$B$258=1),$AY$360,HLOOKUP(INDIRECT(ADDRESS(2,COLUMN())),OFFSET($BN$2,0,0,ROW()-1,60),ROW()-1,FALSE))</f>
        <v/>
      </c>
      <c r="AZ113" t="str">
        <f ca="1">IF(AND(ISNUMBER($AZ$360),$B$258=1),$AZ$360,HLOOKUP(INDIRECT(ADDRESS(2,COLUMN())),OFFSET($BN$2,0,0,ROW()-1,60),ROW()-1,FALSE))</f>
        <v/>
      </c>
      <c r="BA113" t="str">
        <f ca="1">IF(AND(ISNUMBER($BA$360),$B$258=1),$BA$360,HLOOKUP(INDIRECT(ADDRESS(2,COLUMN())),OFFSET($BN$2,0,0,ROW()-1,60),ROW()-1,FALSE))</f>
        <v/>
      </c>
      <c r="BB113" t="str">
        <f ca="1">IF(AND(ISNUMBER($BB$360),$B$258=1),$BB$360,HLOOKUP(INDIRECT(ADDRESS(2,COLUMN())),OFFSET($BN$2,0,0,ROW()-1,60),ROW()-1,FALSE))</f>
        <v/>
      </c>
      <c r="BC113" t="str">
        <f ca="1">IF(AND(ISNUMBER($BC$360),$B$258=1),$BC$360,HLOOKUP(INDIRECT(ADDRESS(2,COLUMN())),OFFSET($BN$2,0,0,ROW()-1,60),ROW()-1,FALSE))</f>
        <v/>
      </c>
      <c r="BD113" t="str">
        <f ca="1">IF(AND(ISNUMBER($BD$360),$B$258=1),$BD$360,HLOOKUP(INDIRECT(ADDRESS(2,COLUMN())),OFFSET($BN$2,0,0,ROW()-1,60),ROW()-1,FALSE))</f>
        <v/>
      </c>
      <c r="BE113" t="str">
        <f ca="1">IF(AND(ISNUMBER($BE$360),$B$258=1),$BE$360,HLOOKUP(INDIRECT(ADDRESS(2,COLUMN())),OFFSET($BN$2,0,0,ROW()-1,60),ROW()-1,FALSE))</f>
        <v/>
      </c>
      <c r="BF113" t="str">
        <f ca="1">IF(AND(ISNUMBER($BF$360),$B$258=1),$BF$360,HLOOKUP(INDIRECT(ADDRESS(2,COLUMN())),OFFSET($BN$2,0,0,ROW()-1,60),ROW()-1,FALSE))</f>
        <v/>
      </c>
      <c r="BG113" t="str">
        <f ca="1">IF(AND(ISNUMBER($BG$360),$B$258=1),$BG$360,HLOOKUP(INDIRECT(ADDRESS(2,COLUMN())),OFFSET($BN$2,0,0,ROW()-1,60),ROW()-1,FALSE))</f>
        <v/>
      </c>
      <c r="BH113" t="str">
        <f ca="1">IF(AND(ISNUMBER($BH$360),$B$258=1),$BH$360,HLOOKUP(INDIRECT(ADDRESS(2,COLUMN())),OFFSET($BN$2,0,0,ROW()-1,60),ROW()-1,FALSE))</f>
        <v/>
      </c>
      <c r="BI113" t="str">
        <f ca="1">IF(AND(ISNUMBER($BI$360),$B$258=1),$BI$360,HLOOKUP(INDIRECT(ADDRESS(2,COLUMN())),OFFSET($BN$2,0,0,ROW()-1,60),ROW()-1,FALSE))</f>
        <v/>
      </c>
      <c r="BJ113" t="str">
        <f ca="1">IF(AND(ISNUMBER($BJ$360),$B$258=1),$BJ$360,HLOOKUP(INDIRECT(ADDRESS(2,COLUMN())),OFFSET($BN$2,0,0,ROW()-1,60),ROW()-1,FALSE))</f>
        <v/>
      </c>
      <c r="BK113" t="str">
        <f ca="1">IF(AND(ISNUMBER($BK$360),$B$258=1),$BK$360,HLOOKUP(INDIRECT(ADDRESS(2,COLUMN())),OFFSET($BN$2,0,0,ROW()-1,60),ROW()-1,FALSE))</f>
        <v/>
      </c>
      <c r="BL113" t="str">
        <f ca="1">IF(AND(ISNUMBER($BL$360),$B$258=1),$BL$360,HLOOKUP(INDIRECT(ADDRESS(2,COLUMN())),OFFSET($BN$2,0,0,ROW()-1,60),ROW()-1,FALSE))</f>
        <v/>
      </c>
      <c r="BM113" t="str">
        <f ca="1">IF(AND(ISNUMBER($BM$360),$B$258=1),$BM$360,HLOOKUP(INDIRECT(ADDRESS(2,COLUMN())),OFFSET($BN$2,0,0,ROW()-1,60),ROW()-1,FALSE))</f>
        <v/>
      </c>
      <c r="BN113" t="str">
        <f>""</f>
        <v/>
      </c>
      <c r="BO113" t="str">
        <f>""</f>
        <v/>
      </c>
      <c r="BP113" t="str">
        <f>""</f>
        <v/>
      </c>
      <c r="BQ113">
        <f>3.669071467</f>
        <v>3.6690714670000002</v>
      </c>
      <c r="BR113">
        <f>-3.343860521</f>
        <v>-3.3438605209999999</v>
      </c>
      <c r="BS113">
        <f>-4.833335242</f>
        <v>-4.8333352420000004</v>
      </c>
      <c r="BT113">
        <f>6.04249426</f>
        <v>6.0424942599999998</v>
      </c>
      <c r="BU113">
        <f>7.453587556</f>
        <v>7.4535875559999996</v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  <c r="CI113" t="str">
        <f>""</f>
        <v/>
      </c>
      <c r="CJ113" t="str">
        <f>""</f>
        <v/>
      </c>
      <c r="CK113" t="str">
        <f>""</f>
        <v/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</row>
    <row r="114" spans="1:125">
      <c r="A114" t="str">
        <f>"    HCP Inc"</f>
        <v xml:space="preserve">    HCP Inc</v>
      </c>
      <c r="B114" t="str">
        <f>"HCP US Equity"</f>
        <v>HCP US Equity</v>
      </c>
      <c r="C114" t="str">
        <f t="shared" si="27"/>
        <v>RR033</v>
      </c>
      <c r="D114" t="str">
        <f t="shared" si="28"/>
        <v>SALES_GROWTH</v>
      </c>
      <c r="E114" t="str">
        <f t="shared" si="29"/>
        <v>动态</v>
      </c>
      <c r="F114" t="str">
        <f ca="1">IF(AND(ISNUMBER($F$361),$B$258=1),$F$361,HLOOKUP(INDIRECT(ADDRESS(2,COLUMN())),OFFSET($BN$2,0,0,ROW()-1,60),ROW()-1,FALSE))</f>
        <v/>
      </c>
      <c r="G114">
        <f ca="1">IF(AND(ISNUMBER($G$361),$B$258=1),$G$361,HLOOKUP(INDIRECT(ADDRESS(2,COLUMN())),OFFSET($BN$2,0,0,ROW()-1,60),ROW()-1,FALSE))</f>
        <v>-17.907398830000002</v>
      </c>
      <c r="H114">
        <f ca="1">IF(AND(ISNUMBER($H$361),$B$258=1),$H$361,HLOOKUP(INDIRECT(ADDRESS(2,COLUMN())),OFFSET($BN$2,0,0,ROW()-1,60),ROW()-1,FALSE))</f>
        <v>-14.425217269999999</v>
      </c>
      <c r="I114">
        <f ca="1">IF(AND(ISNUMBER($I$361),$B$258=1),$I$361,HLOOKUP(INDIRECT(ADDRESS(2,COLUMN())),OFFSET($BN$2,0,0,ROW()-1,60),ROW()-1,FALSE))</f>
        <v>-14.75048065</v>
      </c>
      <c r="J114">
        <f ca="1">IF(AND(ISNUMBER($J$361),$B$258=1),$J$361,HLOOKUP(INDIRECT(ADDRESS(2,COLUMN())),OFFSET($BN$2,0,0,ROW()-1,60),ROW()-1,FALSE))</f>
        <v>-23.192599040000001</v>
      </c>
      <c r="K114">
        <f ca="1">IF(AND(ISNUMBER($K$361),$B$258=1),$K$361,HLOOKUP(INDIRECT(ADDRESS(2,COLUMN())),OFFSET($BN$2,0,0,ROW()-1,60),ROW()-1,FALSE))</f>
        <v>3.7716811610000001</v>
      </c>
      <c r="L114">
        <f ca="1">IF(AND(ISNUMBER($L$361),$B$258=1),$L$361,HLOOKUP(INDIRECT(ADDRESS(2,COLUMN())),OFFSET($BN$2,0,0,ROW()-1,60),ROW()-1,FALSE))</f>
        <v>-0.49110340899999999</v>
      </c>
      <c r="M114">
        <f ca="1">IF(AND(ISNUMBER($M$361),$B$258=1),$M$361,HLOOKUP(INDIRECT(ADDRESS(2,COLUMN())),OFFSET($BN$2,0,0,ROW()-1,60),ROW()-1,FALSE))</f>
        <v>8.9944233390000008</v>
      </c>
      <c r="N114">
        <f ca="1">IF(AND(ISNUMBER($N$361),$B$258=1),$N$361,HLOOKUP(INDIRECT(ADDRESS(2,COLUMN())),OFFSET($BN$2,0,0,ROW()-1,60),ROW()-1,FALSE))</f>
        <v>4.9101902290000004</v>
      </c>
      <c r="O114">
        <f ca="1">IF(AND(ISNUMBER($O$361),$B$258=1),$O$361,HLOOKUP(INDIRECT(ADDRESS(2,COLUMN())),OFFSET($BN$2,0,0,ROW()-1,60),ROW()-1,FALSE))</f>
        <v>-13.78610437</v>
      </c>
      <c r="P114">
        <f ca="1">IF(AND(ISNUMBER($P$361),$B$258=1),$P$361,HLOOKUP(INDIRECT(ADDRESS(2,COLUMN())),OFFSET($BN$2,0,0,ROW()-1,60),ROW()-1,FALSE))</f>
        <v>10.20065769</v>
      </c>
      <c r="Q114">
        <f ca="1">IF(AND(ISNUMBER($Q$361),$B$258=1),$Q$361,HLOOKUP(INDIRECT(ADDRESS(2,COLUMN())),OFFSET($BN$2,0,0,ROW()-1,60),ROW()-1,FALSE))</f>
        <v>13.31994083</v>
      </c>
      <c r="R114">
        <f ca="1">IF(AND(ISNUMBER($R$361),$B$258=1),$R$361,HLOOKUP(INDIRECT(ADDRESS(2,COLUMN())),OFFSET($BN$2,0,0,ROW()-1,60),ROW()-1,FALSE))</f>
        <v>15.245324460000001</v>
      </c>
      <c r="S114">
        <f ca="1">IF(AND(ISNUMBER($S$361),$B$258=1),$S$361,HLOOKUP(INDIRECT(ADDRESS(2,COLUMN())),OFFSET($BN$2,0,0,ROW()-1,60),ROW()-1,FALSE))</f>
        <v>13.80943132</v>
      </c>
      <c r="T114">
        <f ca="1">IF(AND(ISNUMBER($T$361),$B$258=1),$T$361,HLOOKUP(INDIRECT(ADDRESS(2,COLUMN())),OFFSET($BN$2,0,0,ROW()-1,60),ROW()-1,FALSE))</f>
        <v>9.6845712349999999</v>
      </c>
      <c r="U114">
        <f ca="1">IF(AND(ISNUMBER($U$361),$B$258=1),$U$361,HLOOKUP(INDIRECT(ADDRESS(2,COLUMN())),OFFSET($BN$2,0,0,ROW()-1,60),ROW()-1,FALSE))</f>
        <v>4.6622767889999999</v>
      </c>
      <c r="V114">
        <f ca="1">IF(AND(ISNUMBER($V$361),$B$258=1),$V$361,HLOOKUP(INDIRECT(ADDRESS(2,COLUMN())),OFFSET($BN$2,0,0,ROW()-1,60),ROW()-1,FALSE))</f>
        <v>3.6788957440000001</v>
      </c>
      <c r="W114">
        <f ca="1">IF(AND(ISNUMBER($W$361),$B$258=1),$W$361,HLOOKUP(INDIRECT(ADDRESS(2,COLUMN())),OFFSET($BN$2,0,0,ROW()-1,60),ROW()-1,FALSE))</f>
        <v>5.378025686</v>
      </c>
      <c r="X114">
        <f ca="1">IF(AND(ISNUMBER($X$361),$B$258=1),$X$361,HLOOKUP(INDIRECT(ADDRESS(2,COLUMN())),OFFSET($BN$2,0,0,ROW()-1,60),ROW()-1,FALSE))</f>
        <v>16.213952729999999</v>
      </c>
      <c r="Y114">
        <f ca="1">IF(AND(ISNUMBER($Y$361),$B$258=1),$Y$361,HLOOKUP(INDIRECT(ADDRESS(2,COLUMN())),OFFSET($BN$2,0,0,ROW()-1,60),ROW()-1,FALSE))</f>
        <v>10.291986680000001</v>
      </c>
      <c r="Z114">
        <f ca="1">IF(AND(ISNUMBER($Z$361),$B$258=1),$Z$361,HLOOKUP(INDIRECT(ADDRESS(2,COLUMN())),OFFSET($BN$2,0,0,ROW()-1,60),ROW()-1,FALSE))</f>
        <v>12.144739120000001</v>
      </c>
      <c r="AA114">
        <f ca="1">IF(AND(ISNUMBER($AA$361),$B$258=1),$AA$361,HLOOKUP(INDIRECT(ADDRESS(2,COLUMN())),OFFSET($BN$2,0,0,ROW()-1,60),ROW()-1,FALSE))</f>
        <v>9.8088290810000007</v>
      </c>
      <c r="AB114">
        <f ca="1">IF(AND(ISNUMBER($AB$361),$B$258=1),$AB$361,HLOOKUP(INDIRECT(ADDRESS(2,COLUMN())),OFFSET($BN$2,0,0,ROW()-1,60),ROW()-1,FALSE))</f>
        <v>6.0823291309999998</v>
      </c>
      <c r="AC114">
        <f ca="1">IF(AND(ISNUMBER($AC$361),$B$258=1),$AC$361,HLOOKUP(INDIRECT(ADDRESS(2,COLUMN())),OFFSET($BN$2,0,0,ROW()-1,60),ROW()-1,FALSE))</f>
        <v>-4.8524455829999997</v>
      </c>
      <c r="AD114">
        <f ca="1">IF(AND(ISNUMBER($AD$361),$B$258=1),$AD$361,HLOOKUP(INDIRECT(ADDRESS(2,COLUMN())),OFFSET($BN$2,0,0,ROW()-1,60),ROW()-1,FALSE))</f>
        <v>37.658850960000002</v>
      </c>
      <c r="AE114">
        <f ca="1">IF(AND(ISNUMBER($AE$361),$B$258=1),$AE$361,HLOOKUP(INDIRECT(ADDRESS(2,COLUMN())),OFFSET($BN$2,0,0,ROW()-1,60),ROW()-1,FALSE))</f>
        <v>34.406656380000001</v>
      </c>
      <c r="AF114">
        <f ca="1">IF(AND(ISNUMBER($AF$361),$B$258=1),$AF$361,HLOOKUP(INDIRECT(ADDRESS(2,COLUMN())),OFFSET($BN$2,0,0,ROW()-1,60),ROW()-1,FALSE))</f>
        <v>39.167447299999999</v>
      </c>
      <c r="AG114">
        <f ca="1">IF(AND(ISNUMBER($AG$361),$B$258=1),$AG$361,HLOOKUP(INDIRECT(ADDRESS(2,COLUMN())),OFFSET($BN$2,0,0,ROW()-1,60),ROW()-1,FALSE))</f>
        <v>61.696651289999998</v>
      </c>
      <c r="AH114">
        <f ca="1">IF(AND(ISNUMBER($AH$361),$B$258=1),$AH$361,HLOOKUP(INDIRECT(ADDRESS(2,COLUMN())),OFFSET($BN$2,0,0,ROW()-1,60),ROW()-1,FALSE))</f>
        <v>12.315311039999999</v>
      </c>
      <c r="AI114">
        <f ca="1">IF(AND(ISNUMBER($AI$361),$B$258=1),$AI$361,HLOOKUP(INDIRECT(ADDRESS(2,COLUMN())),OFFSET($BN$2,0,0,ROW()-1,60),ROW()-1,FALSE))</f>
        <v>15.79090356</v>
      </c>
      <c r="AJ114">
        <f ca="1">IF(AND(ISNUMBER($AJ$361),$B$258=1),$AJ$361,HLOOKUP(INDIRECT(ADDRESS(2,COLUMN())),OFFSET($BN$2,0,0,ROW()-1,60),ROW()-1,FALSE))</f>
        <v>10.443866959999999</v>
      </c>
      <c r="AK114">
        <f ca="1">IF(AND(ISNUMBER($AK$361),$B$258=1),$AK$361,HLOOKUP(INDIRECT(ADDRESS(2,COLUMN())),OFFSET($BN$2,0,0,ROW()-1,60),ROW()-1,FALSE))</f>
        <v>3.2096933559999998</v>
      </c>
      <c r="AL114">
        <f ca="1">IF(AND(ISNUMBER($AL$361),$B$258=1),$AL$361,HLOOKUP(INDIRECT(ADDRESS(2,COLUMN())),OFFSET($BN$2,0,0,ROW()-1,60),ROW()-1,FALSE))</f>
        <v>6.4293707810000003</v>
      </c>
      <c r="AM114">
        <f ca="1">IF(AND(ISNUMBER($AM$361),$B$258=1),$AM$361,HLOOKUP(INDIRECT(ADDRESS(2,COLUMN())),OFFSET($BN$2,0,0,ROW()-1,60),ROW()-1,FALSE))</f>
        <v>-0.162402609</v>
      </c>
      <c r="AN114">
        <f ca="1">IF(AND(ISNUMBER($AN$361),$B$258=1),$AN$361,HLOOKUP(INDIRECT(ADDRESS(2,COLUMN())),OFFSET($BN$2,0,0,ROW()-1,60),ROW()-1,FALSE))</f>
        <v>7.174111076</v>
      </c>
      <c r="AO114">
        <f ca="1">IF(AND(ISNUMBER($AO$361),$B$258=1),$AO$361,HLOOKUP(INDIRECT(ADDRESS(2,COLUMN())),OFFSET($BN$2,0,0,ROW()-1,60),ROW()-1,FALSE))</f>
        <v>17.571701340000001</v>
      </c>
      <c r="AP114">
        <f ca="1">IF(AND(ISNUMBER($AP$361),$B$258=1),$AP$361,HLOOKUP(INDIRECT(ADDRESS(2,COLUMN())),OFFSET($BN$2,0,0,ROW()-1,60),ROW()-1,FALSE))</f>
        <v>13.16091555</v>
      </c>
      <c r="AQ114">
        <f ca="1">IF(AND(ISNUMBER($AQ$361),$B$258=1),$AQ$361,HLOOKUP(INDIRECT(ADDRESS(2,COLUMN())),OFFSET($BN$2,0,0,ROW()-1,60),ROW()-1,FALSE))</f>
        <v>15.99215042</v>
      </c>
      <c r="AR114">
        <f ca="1">IF(AND(ISNUMBER($AR$361),$B$258=1),$AR$361,HLOOKUP(INDIRECT(ADDRESS(2,COLUMN())),OFFSET($BN$2,0,0,ROW()-1,60),ROW()-1,FALSE))</f>
        <v>9.9651447780000009</v>
      </c>
      <c r="AS114">
        <f ca="1">IF(AND(ISNUMBER($AS$361),$B$258=1),$AS$361,HLOOKUP(INDIRECT(ADDRESS(2,COLUMN())),OFFSET($BN$2,0,0,ROW()-1,60),ROW()-1,FALSE))</f>
        <v>20.27063613</v>
      </c>
      <c r="AT114">
        <f ca="1">IF(AND(ISNUMBER($AT$361),$B$258=1),$AT$361,HLOOKUP(INDIRECT(ADDRESS(2,COLUMN())),OFFSET($BN$2,0,0,ROW()-1,60),ROW()-1,FALSE))</f>
        <v>14.57986183</v>
      </c>
      <c r="AU114">
        <f ca="1">IF(AND(ISNUMBER($AU$361),$B$258=1),$AU$361,HLOOKUP(INDIRECT(ADDRESS(2,COLUMN())),OFFSET($BN$2,0,0,ROW()-1,60),ROW()-1,FALSE))</f>
        <v>42.886603729999997</v>
      </c>
      <c r="AV114">
        <f ca="1">IF(AND(ISNUMBER($AV$361),$B$258=1),$AV$361,HLOOKUP(INDIRECT(ADDRESS(2,COLUMN())),OFFSET($BN$2,0,0,ROW()-1,60),ROW()-1,FALSE))</f>
        <v>103.29591449999999</v>
      </c>
      <c r="AW114">
        <f ca="1">IF(AND(ISNUMBER($AW$361),$B$258=1),$AW$361,HLOOKUP(INDIRECT(ADDRESS(2,COLUMN())),OFFSET($BN$2,0,0,ROW()-1,60),ROW()-1,FALSE))</f>
        <v>77.959598049999997</v>
      </c>
      <c r="AX114">
        <f ca="1">IF(AND(ISNUMBER($AX$361),$B$258=1),$AX$361,HLOOKUP(INDIRECT(ADDRESS(2,COLUMN())),OFFSET($BN$2,0,0,ROW()-1,60),ROW()-1,FALSE))</f>
        <v>76.734720890000006</v>
      </c>
      <c r="AY114">
        <f ca="1">IF(AND(ISNUMBER($AY$361),$B$258=1),$AY$361,HLOOKUP(INDIRECT(ADDRESS(2,COLUMN())),OFFSET($BN$2,0,0,ROW()-1,60),ROW()-1,FALSE))</f>
        <v>122.77859840000001</v>
      </c>
      <c r="AZ114">
        <f ca="1">IF(AND(ISNUMBER($AZ$361),$B$258=1),$AZ$361,HLOOKUP(INDIRECT(ADDRESS(2,COLUMN())),OFFSET($BN$2,0,0,ROW()-1,60),ROW()-1,FALSE))</f>
        <v>5.0102292E-2</v>
      </c>
      <c r="BA114">
        <f ca="1">IF(AND(ISNUMBER($BA$361),$B$258=1),$BA$361,HLOOKUP(INDIRECT(ADDRESS(2,COLUMN())),OFFSET($BN$2,0,0,ROW()-1,60),ROW()-1,FALSE))</f>
        <v>-4.3015559999999998E-3</v>
      </c>
      <c r="BB114">
        <f ca="1">IF(AND(ISNUMBER($BB$361),$B$258=1),$BB$361,HLOOKUP(INDIRECT(ADDRESS(2,COLUMN())),OFFSET($BN$2,0,0,ROW()-1,60),ROW()-1,FALSE))</f>
        <v>12.9377032</v>
      </c>
      <c r="BC114">
        <f ca="1">IF(AND(ISNUMBER($BC$361),$B$258=1),$BC$361,HLOOKUP(INDIRECT(ADDRESS(2,COLUMN())),OFFSET($BN$2,0,0,ROW()-1,60),ROW()-1,FALSE))</f>
        <v>-22.08002497</v>
      </c>
      <c r="BD114">
        <f ca="1">IF(AND(ISNUMBER($BD$361),$B$258=1),$BD$361,HLOOKUP(INDIRECT(ADDRESS(2,COLUMN())),OFFSET($BN$2,0,0,ROW()-1,60),ROW()-1,FALSE))</f>
        <v>7.2256793659999996</v>
      </c>
      <c r="BE114">
        <f ca="1">IF(AND(ISNUMBER($BE$361),$B$258=1),$BE$361,HLOOKUP(INDIRECT(ADDRESS(2,COLUMN())),OFFSET($BN$2,0,0,ROW()-1,60),ROW()-1,FALSE))</f>
        <v>8.444199802</v>
      </c>
      <c r="BF114">
        <f ca="1">IF(AND(ISNUMBER($BF$361),$B$258=1),$BF$361,HLOOKUP(INDIRECT(ADDRESS(2,COLUMN())),OFFSET($BN$2,0,0,ROW()-1,60),ROW()-1,FALSE))</f>
        <v>22.0464989</v>
      </c>
      <c r="BG114">
        <f ca="1">IF(AND(ISNUMBER($BG$361),$B$258=1),$BG$361,HLOOKUP(INDIRECT(ADDRESS(2,COLUMN())),OFFSET($BN$2,0,0,ROW()-1,60),ROW()-1,FALSE))</f>
        <v>-4.864513734</v>
      </c>
      <c r="BH114">
        <f ca="1">IF(AND(ISNUMBER($BH$361),$B$258=1),$BH$361,HLOOKUP(INDIRECT(ADDRESS(2,COLUMN())),OFFSET($BN$2,0,0,ROW()-1,60),ROW()-1,FALSE))</f>
        <v>15.64706857</v>
      </c>
      <c r="BI114">
        <f ca="1">IF(AND(ISNUMBER($BI$361),$B$258=1),$BI$361,HLOOKUP(INDIRECT(ADDRESS(2,COLUMN())),OFFSET($BN$2,0,0,ROW()-1,60),ROW()-1,FALSE))</f>
        <v>15.98082604</v>
      </c>
      <c r="BJ114">
        <f ca="1">IF(AND(ISNUMBER($BJ$361),$B$258=1),$BJ$361,HLOOKUP(INDIRECT(ADDRESS(2,COLUMN())),OFFSET($BN$2,0,0,ROW()-1,60),ROW()-1,FALSE))</f>
        <v>15.75397611</v>
      </c>
      <c r="BK114">
        <f ca="1">IF(AND(ISNUMBER($BK$361),$B$258=1),$BK$361,HLOOKUP(INDIRECT(ADDRESS(2,COLUMN())),OFFSET($BN$2,0,0,ROW()-1,60),ROW()-1,FALSE))</f>
        <v>13.60617849</v>
      </c>
      <c r="BL114">
        <f ca="1">IF(AND(ISNUMBER($BL$361),$B$258=1),$BL$361,HLOOKUP(INDIRECT(ADDRESS(2,COLUMN())),OFFSET($BN$2,0,0,ROW()-1,60),ROW()-1,FALSE))</f>
        <v>7.9919934699999997</v>
      </c>
      <c r="BM114">
        <f ca="1">IF(AND(ISNUMBER($BM$361),$B$258=1),$BM$361,HLOOKUP(INDIRECT(ADDRESS(2,COLUMN())),OFFSET($BN$2,0,0,ROW()-1,60),ROW()-1,FALSE))</f>
        <v>5.488020637</v>
      </c>
      <c r="BN114" t="str">
        <f>""</f>
        <v/>
      </c>
      <c r="BO114">
        <f>-17.90739883</f>
        <v>-17.907398830000002</v>
      </c>
      <c r="BP114">
        <f>-14.42521727</f>
        <v>-14.425217269999999</v>
      </c>
      <c r="BQ114">
        <f>-14.75048065</f>
        <v>-14.75048065</v>
      </c>
      <c r="BR114">
        <f>-23.19259904</f>
        <v>-23.192599040000001</v>
      </c>
      <c r="BS114">
        <f>3.771681161</f>
        <v>3.7716811610000001</v>
      </c>
      <c r="BT114">
        <f>-0.491103409</f>
        <v>-0.49110340899999999</v>
      </c>
      <c r="BU114">
        <f>8.994423339</f>
        <v>8.9944233390000008</v>
      </c>
      <c r="BV114">
        <f>4.910190229</f>
        <v>4.9101902290000004</v>
      </c>
      <c r="BW114">
        <f>-13.78610437</f>
        <v>-13.78610437</v>
      </c>
      <c r="BX114">
        <f>10.20065769</f>
        <v>10.20065769</v>
      </c>
      <c r="BY114">
        <f>13.31994083</f>
        <v>13.31994083</v>
      </c>
      <c r="BZ114">
        <f>15.24532446</f>
        <v>15.245324460000001</v>
      </c>
      <c r="CA114">
        <f>13.80943132</f>
        <v>13.80943132</v>
      </c>
      <c r="CB114">
        <f>9.684571235</f>
        <v>9.6845712349999999</v>
      </c>
      <c r="CC114">
        <f>4.662276789</f>
        <v>4.6622767889999999</v>
      </c>
      <c r="CD114">
        <f>3.678895744</f>
        <v>3.6788957440000001</v>
      </c>
      <c r="CE114">
        <f>5.378025686</f>
        <v>5.378025686</v>
      </c>
      <c r="CF114">
        <f>16.21395273</f>
        <v>16.213952729999999</v>
      </c>
      <c r="CG114">
        <f>10.29198668</f>
        <v>10.291986680000001</v>
      </c>
      <c r="CH114">
        <f>12.14473912</f>
        <v>12.144739120000001</v>
      </c>
      <c r="CI114">
        <f>9.808829081</f>
        <v>9.8088290810000007</v>
      </c>
      <c r="CJ114">
        <f>6.082329131</f>
        <v>6.0823291309999998</v>
      </c>
      <c r="CK114">
        <f>-4.852445583</f>
        <v>-4.8524455829999997</v>
      </c>
      <c r="CL114">
        <f>37.65885096</f>
        <v>37.658850960000002</v>
      </c>
      <c r="CM114">
        <f>34.40665638</f>
        <v>34.406656380000001</v>
      </c>
      <c r="CN114">
        <f>39.1674473</f>
        <v>39.167447299999999</v>
      </c>
      <c r="CO114">
        <f>61.69665129</f>
        <v>61.696651289999998</v>
      </c>
      <c r="CP114">
        <f>12.31531104</f>
        <v>12.315311039999999</v>
      </c>
      <c r="CQ114">
        <f>15.79090356</f>
        <v>15.79090356</v>
      </c>
      <c r="CR114">
        <f>10.44386696</f>
        <v>10.443866959999999</v>
      </c>
      <c r="CS114">
        <f>3.209693356</f>
        <v>3.2096933559999998</v>
      </c>
      <c r="CT114">
        <f>6.429370781</f>
        <v>6.4293707810000003</v>
      </c>
      <c r="CU114">
        <f>-0.162402609</f>
        <v>-0.162402609</v>
      </c>
      <c r="CV114">
        <f>7.174111076</f>
        <v>7.174111076</v>
      </c>
      <c r="CW114">
        <f>17.57170134</f>
        <v>17.571701340000001</v>
      </c>
      <c r="CX114">
        <f>13.16091555</f>
        <v>13.16091555</v>
      </c>
      <c r="CY114">
        <f>15.99215042</f>
        <v>15.99215042</v>
      </c>
      <c r="CZ114">
        <f>9.965144778</f>
        <v>9.9651447780000009</v>
      </c>
      <c r="DA114">
        <f>20.27063613</f>
        <v>20.27063613</v>
      </c>
      <c r="DB114">
        <f>14.57986183</f>
        <v>14.57986183</v>
      </c>
      <c r="DC114">
        <f>42.88660373</f>
        <v>42.886603729999997</v>
      </c>
      <c r="DD114">
        <f>103.2959145</f>
        <v>103.29591449999999</v>
      </c>
      <c r="DE114">
        <f>77.95959805</f>
        <v>77.959598049999997</v>
      </c>
      <c r="DF114">
        <f>76.73472089</f>
        <v>76.734720890000006</v>
      </c>
      <c r="DG114">
        <f>122.7785984</f>
        <v>122.77859840000001</v>
      </c>
      <c r="DH114">
        <f>0.050102292</f>
        <v>5.0102292E-2</v>
      </c>
      <c r="DI114">
        <f>-0.004301556</f>
        <v>-4.3015559999999998E-3</v>
      </c>
      <c r="DJ114">
        <f>12.9377032</f>
        <v>12.9377032</v>
      </c>
      <c r="DK114">
        <f>-22.08002497</f>
        <v>-22.08002497</v>
      </c>
      <c r="DL114">
        <f>7.225679366</f>
        <v>7.2256793659999996</v>
      </c>
      <c r="DM114">
        <f>8.444199802</f>
        <v>8.444199802</v>
      </c>
      <c r="DN114">
        <f>22.0464989</f>
        <v>22.0464989</v>
      </c>
      <c r="DO114">
        <f>-4.864513734</f>
        <v>-4.864513734</v>
      </c>
      <c r="DP114">
        <f>15.64706857</f>
        <v>15.64706857</v>
      </c>
      <c r="DQ114">
        <f>15.98082604</f>
        <v>15.98082604</v>
      </c>
      <c r="DR114">
        <f>15.75397611</f>
        <v>15.75397611</v>
      </c>
      <c r="DS114">
        <f>13.60617849</f>
        <v>13.60617849</v>
      </c>
      <c r="DT114">
        <f>7.99199347</f>
        <v>7.9919934699999997</v>
      </c>
      <c r="DU114">
        <f>5.488020637</f>
        <v>5.488020637</v>
      </c>
    </row>
    <row r="115" spans="1:125">
      <c r="A115" t="str">
        <f>"    Healthcare Realty Trust Inc"</f>
        <v xml:space="preserve">    Healthcare Realty Trust Inc</v>
      </c>
      <c r="B115" t="str">
        <f>"HR US Equity"</f>
        <v>HR US Equity</v>
      </c>
      <c r="C115" t="str">
        <f t="shared" si="27"/>
        <v>RR033</v>
      </c>
      <c r="D115" t="str">
        <f t="shared" si="28"/>
        <v>SALES_GROWTH</v>
      </c>
      <c r="E115" t="str">
        <f t="shared" si="29"/>
        <v>动态</v>
      </c>
      <c r="F115" t="str">
        <f ca="1">IF(AND(ISNUMBER($F$362),$B$258=1),$F$362,HLOOKUP(INDIRECT(ADDRESS(2,COLUMN())),OFFSET($BN$2,0,0,ROW()-1,60),ROW()-1,FALSE))</f>
        <v/>
      </c>
      <c r="G115">
        <f ca="1">IF(AND(ISNUMBER($G$362),$B$258=1),$G$362,HLOOKUP(INDIRECT(ADDRESS(2,COLUMN())),OFFSET($BN$2,0,0,ROW()-1,60),ROW()-1,FALSE))</f>
        <v>2.299898394</v>
      </c>
      <c r="H115">
        <f ca="1">IF(AND(ISNUMBER($H$362),$B$258=1),$H$362,HLOOKUP(INDIRECT(ADDRESS(2,COLUMN())),OFFSET($BN$2,0,0,ROW()-1,60),ROW()-1,FALSE))</f>
        <v>3.1777269700000002</v>
      </c>
      <c r="I115">
        <f ca="1">IF(AND(ISNUMBER($I$362),$B$258=1),$I$362,HLOOKUP(INDIRECT(ADDRESS(2,COLUMN())),OFFSET($BN$2,0,0,ROW()-1,60),ROW()-1,FALSE))</f>
        <v>2.5359989089999999</v>
      </c>
      <c r="J115">
        <f ca="1">IF(AND(ISNUMBER($J$362),$B$258=1),$J$362,HLOOKUP(INDIRECT(ADDRESS(2,COLUMN())),OFFSET($BN$2,0,0,ROW()-1,60),ROW()-1,FALSE))</f>
        <v>4.547045121</v>
      </c>
      <c r="K115">
        <f ca="1">IF(AND(ISNUMBER($K$362),$B$258=1),$K$362,HLOOKUP(INDIRECT(ADDRESS(2,COLUMN())),OFFSET($BN$2,0,0,ROW()-1,60),ROW()-1,FALSE))</f>
        <v>6.8237609299999997</v>
      </c>
      <c r="L115">
        <f ca="1">IF(AND(ISNUMBER($L$362),$B$258=1),$L$362,HLOOKUP(INDIRECT(ADDRESS(2,COLUMN())),OFFSET($BN$2,0,0,ROW()-1,60),ROW()-1,FALSE))</f>
        <v>7.1687774620000004</v>
      </c>
      <c r="M115">
        <f ca="1">IF(AND(ISNUMBER($M$362),$B$258=1),$M$362,HLOOKUP(INDIRECT(ADDRESS(2,COLUMN())),OFFSET($BN$2,0,0,ROW()-1,60),ROW()-1,FALSE))</f>
        <v>6.1359970219999997</v>
      </c>
      <c r="N115">
        <f ca="1">IF(AND(ISNUMBER($N$362),$B$258=1),$N$362,HLOOKUP(INDIRECT(ADDRESS(2,COLUMN())),OFFSET($BN$2,0,0,ROW()-1,60),ROW()-1,FALSE))</f>
        <v>3.6959857340000002</v>
      </c>
      <c r="O115">
        <f ca="1">IF(AND(ISNUMBER($O$362),$B$258=1),$O$362,HLOOKUP(INDIRECT(ADDRESS(2,COLUMN())),OFFSET($BN$2,0,0,ROW()-1,60),ROW()-1,FALSE))</f>
        <v>3.7705263160000002</v>
      </c>
      <c r="P115">
        <f ca="1">IF(AND(ISNUMBER($P$362),$B$258=1),$P$362,HLOOKUP(INDIRECT(ADDRESS(2,COLUMN())),OFFSET($BN$2,0,0,ROW()-1,60),ROW()-1,FALSE))</f>
        <v>3.3243246129999999</v>
      </c>
      <c r="Q115">
        <f ca="1">IF(AND(ISNUMBER($Q$362),$B$258=1),$Q$362,HLOOKUP(INDIRECT(ADDRESS(2,COLUMN())),OFFSET($BN$2,0,0,ROW()-1,60),ROW()-1,FALSE))</f>
        <v>5.4946493439999999</v>
      </c>
      <c r="R115">
        <f ca="1">IF(AND(ISNUMBER($R$362),$B$258=1),$R$362,HLOOKUP(INDIRECT(ADDRESS(2,COLUMN())),OFFSET($BN$2,0,0,ROW()-1,60),ROW()-1,FALSE))</f>
        <v>6.4976648150000003</v>
      </c>
      <c r="S115">
        <f ca="1">IF(AND(ISNUMBER($S$362),$B$258=1),$S$362,HLOOKUP(INDIRECT(ADDRESS(2,COLUMN())),OFFSET($BN$2,0,0,ROW()-1,60),ROW()-1,FALSE))</f>
        <v>7.1968585679999997</v>
      </c>
      <c r="T115">
        <f ca="1">IF(AND(ISNUMBER($T$362),$B$258=1),$T$362,HLOOKUP(INDIRECT(ADDRESS(2,COLUMN())),OFFSET($BN$2,0,0,ROW()-1,60),ROW()-1,FALSE))</f>
        <v>11.888939349999999</v>
      </c>
      <c r="U115">
        <f ca="1">IF(AND(ISNUMBER($U$362),$B$258=1),$U$362,HLOOKUP(INDIRECT(ADDRESS(2,COLUMN())),OFFSET($BN$2,0,0,ROW()-1,60),ROW()-1,FALSE))</f>
        <v>9.0620315510000005</v>
      </c>
      <c r="V115">
        <f ca="1">IF(AND(ISNUMBER($V$362),$B$258=1),$V$362,HLOOKUP(INDIRECT(ADDRESS(2,COLUMN())),OFFSET($BN$2,0,0,ROW()-1,60),ROW()-1,FALSE))</f>
        <v>12.82872199</v>
      </c>
      <c r="W115">
        <f ca="1">IF(AND(ISNUMBER($W$362),$B$258=1),$W$362,HLOOKUP(INDIRECT(ADDRESS(2,COLUMN())),OFFSET($BN$2,0,0,ROW()-1,60),ROW()-1,FALSE))</f>
        <v>13.254952080000001</v>
      </c>
      <c r="X115">
        <f ca="1">IF(AND(ISNUMBER($X$362),$B$258=1),$X$362,HLOOKUP(INDIRECT(ADDRESS(2,COLUMN())),OFFSET($BN$2,0,0,ROW()-1,60),ROW()-1,FALSE))</f>
        <v>8.7461169529999996</v>
      </c>
      <c r="Y115">
        <f ca="1">IF(AND(ISNUMBER($Y$362),$B$258=1),$Y$362,HLOOKUP(INDIRECT(ADDRESS(2,COLUMN())),OFFSET($BN$2,0,0,ROW()-1,60),ROW()-1,FALSE))</f>
        <v>8.3267820550000007</v>
      </c>
      <c r="Z115">
        <f ca="1">IF(AND(ISNUMBER($Z$362),$B$258=1),$Z$362,HLOOKUP(INDIRECT(ADDRESS(2,COLUMN())),OFFSET($BN$2,0,0,ROW()-1,60),ROW()-1,FALSE))</f>
        <v>5.3935534690000004</v>
      </c>
      <c r="AA115">
        <f ca="1">IF(AND(ISNUMBER($AA$362),$B$258=1),$AA$362,HLOOKUP(INDIRECT(ADDRESS(2,COLUMN())),OFFSET($BN$2,0,0,ROW()-1,60),ROW()-1,FALSE))</f>
        <v>3.9742755019999998</v>
      </c>
      <c r="AB115">
        <f ca="1">IF(AND(ISNUMBER($AB$362),$B$258=1),$AB$362,HLOOKUP(INDIRECT(ADDRESS(2,COLUMN())),OFFSET($BN$2,0,0,ROW()-1,60),ROW()-1,FALSE))</f>
        <v>4.1927926219999998</v>
      </c>
      <c r="AC115">
        <f ca="1">IF(AND(ISNUMBER($AC$362),$B$258=1),$AC$362,HLOOKUP(INDIRECT(ADDRESS(2,COLUMN())),OFFSET($BN$2,0,0,ROW()-1,60),ROW()-1,FALSE))</f>
        <v>8.1782313490000007</v>
      </c>
      <c r="AD115">
        <f ca="1">IF(AND(ISNUMBER($AD$362),$B$258=1),$AD$362,HLOOKUP(INDIRECT(ADDRESS(2,COLUMN())),OFFSET($BN$2,0,0,ROW()-1,60),ROW()-1,FALSE))</f>
        <v>5.7788456200000002</v>
      </c>
      <c r="AE115">
        <f ca="1">IF(AND(ISNUMBER($AE$362),$B$258=1),$AE$362,HLOOKUP(INDIRECT(ADDRESS(2,COLUMN())),OFFSET($BN$2,0,0,ROW()-1,60),ROW()-1,FALSE))</f>
        <v>13.382849220000001</v>
      </c>
      <c r="AF115">
        <f ca="1">IF(AND(ISNUMBER($AF$362),$B$258=1),$AF$362,HLOOKUP(INDIRECT(ADDRESS(2,COLUMN())),OFFSET($BN$2,0,0,ROW()-1,60),ROW()-1,FALSE))</f>
        <v>14.6830882</v>
      </c>
      <c r="AG115">
        <f ca="1">IF(AND(ISNUMBER($AG$362),$B$258=1),$AG$362,HLOOKUP(INDIRECT(ADDRESS(2,COLUMN())),OFFSET($BN$2,0,0,ROW()-1,60),ROW()-1,FALSE))</f>
        <v>12.187377809999999</v>
      </c>
      <c r="AH115">
        <f ca="1">IF(AND(ISNUMBER($AH$362),$B$258=1),$AH$362,HLOOKUP(INDIRECT(ADDRESS(2,COLUMN())),OFFSET($BN$2,0,0,ROW()-1,60),ROW()-1,FALSE))</f>
        <v>14.29750623</v>
      </c>
      <c r="AI115">
        <f ca="1">IF(AND(ISNUMBER($AI$362),$B$258=1),$AI$362,HLOOKUP(INDIRECT(ADDRESS(2,COLUMN())),OFFSET($BN$2,0,0,ROW()-1,60),ROW()-1,FALSE))</f>
        <v>6.8409361620000002</v>
      </c>
      <c r="AJ115">
        <f ca="1">IF(AND(ISNUMBER($AJ$362),$B$258=1),$AJ$362,HLOOKUP(INDIRECT(ADDRESS(2,COLUMN())),OFFSET($BN$2,0,0,ROW()-1,60),ROW()-1,FALSE))</f>
        <v>3.3018338169999999</v>
      </c>
      <c r="AK115">
        <f ca="1">IF(AND(ISNUMBER($AK$362),$B$258=1),$AK$362,HLOOKUP(INDIRECT(ADDRESS(2,COLUMN())),OFFSET($BN$2,0,0,ROW()-1,60),ROW()-1,FALSE))</f>
        <v>-0.44068641200000003</v>
      </c>
      <c r="AL115">
        <f ca="1">IF(AND(ISNUMBER($AL$362),$B$258=1),$AL$362,HLOOKUP(INDIRECT(ADDRESS(2,COLUMN())),OFFSET($BN$2,0,0,ROW()-1,60),ROW()-1,FALSE))</f>
        <v>1.4558806950000001</v>
      </c>
      <c r="AM115">
        <f ca="1">IF(AND(ISNUMBER($AM$362),$B$258=1),$AM$362,HLOOKUP(INDIRECT(ADDRESS(2,COLUMN())),OFFSET($BN$2,0,0,ROW()-1,60),ROW()-1,FALSE))</f>
        <v>14.172823169999999</v>
      </c>
      <c r="AN115">
        <f ca="1">IF(AND(ISNUMBER($AN$362),$B$258=1),$AN$362,HLOOKUP(INDIRECT(ADDRESS(2,COLUMN())),OFFSET($BN$2,0,0,ROW()-1,60),ROW()-1,FALSE))</f>
        <v>14.001170569999999</v>
      </c>
      <c r="AO115">
        <f ca="1">IF(AND(ISNUMBER($AO$362),$B$258=1),$AO$362,HLOOKUP(INDIRECT(ADDRESS(2,COLUMN())),OFFSET($BN$2,0,0,ROW()-1,60),ROW()-1,FALSE))</f>
        <v>21.99236337</v>
      </c>
      <c r="AP115">
        <f ca="1">IF(AND(ISNUMBER($AP$362),$B$258=1),$AP$362,HLOOKUP(INDIRECT(ADDRESS(2,COLUMN())),OFFSET($BN$2,0,0,ROW()-1,60),ROW()-1,FALSE))</f>
        <v>18.947549899999999</v>
      </c>
      <c r="AQ115">
        <f ca="1">IF(AND(ISNUMBER($AQ$362),$B$258=1),$AQ$362,HLOOKUP(INDIRECT(ADDRESS(2,COLUMN())),OFFSET($BN$2,0,0,ROW()-1,60),ROW()-1,FALSE))</f>
        <v>27.299099309999999</v>
      </c>
      <c r="AR115">
        <f ca="1">IF(AND(ISNUMBER($AR$362),$B$258=1),$AR$362,HLOOKUP(INDIRECT(ADDRESS(2,COLUMN())),OFFSET($BN$2,0,0,ROW()-1,60),ROW()-1,FALSE))</f>
        <v>8.3275544369999999</v>
      </c>
      <c r="AS115">
        <f ca="1">IF(AND(ISNUMBER($AS$362),$B$258=1),$AS$362,HLOOKUP(INDIRECT(ADDRESS(2,COLUMN())),OFFSET($BN$2,0,0,ROW()-1,60),ROW()-1,FALSE))</f>
        <v>2.1877547850000001</v>
      </c>
      <c r="AT115">
        <f ca="1">IF(AND(ISNUMBER($AT$362),$B$258=1),$AT$362,HLOOKUP(INDIRECT(ADDRESS(2,COLUMN())),OFFSET($BN$2,0,0,ROW()-1,60),ROW()-1,FALSE))</f>
        <v>-0.83395072299999995</v>
      </c>
      <c r="AU115">
        <f ca="1">IF(AND(ISNUMBER($AU$362),$B$258=1),$AU$362,HLOOKUP(INDIRECT(ADDRESS(2,COLUMN())),OFFSET($BN$2,0,0,ROW()-1,60),ROW()-1,FALSE))</f>
        <v>-18.75273232</v>
      </c>
      <c r="AV115">
        <f ca="1">IF(AND(ISNUMBER($AV$362),$B$258=1),$AV$362,HLOOKUP(INDIRECT(ADDRESS(2,COLUMN())),OFFSET($BN$2,0,0,ROW()-1,60),ROW()-1,FALSE))</f>
        <v>-7.0310197470000002</v>
      </c>
      <c r="AW115">
        <f ca="1">IF(AND(ISNUMBER($AW$362),$B$258=1),$AW$362,HLOOKUP(INDIRECT(ADDRESS(2,COLUMN())),OFFSET($BN$2,0,0,ROW()-1,60),ROW()-1,FALSE))</f>
        <v>-5.760752246</v>
      </c>
      <c r="AX115">
        <f ca="1">IF(AND(ISNUMBER($AX$362),$B$258=1),$AX$362,HLOOKUP(INDIRECT(ADDRESS(2,COLUMN())),OFFSET($BN$2,0,0,ROW()-1,60),ROW()-1,FALSE))</f>
        <v>1.517722837</v>
      </c>
      <c r="AY115">
        <f ca="1">IF(AND(ISNUMBER($AY$362),$B$258=1),$AY$362,HLOOKUP(INDIRECT(ADDRESS(2,COLUMN())),OFFSET($BN$2,0,0,ROW()-1,60),ROW()-1,FALSE))</f>
        <v>-20.553592460000001</v>
      </c>
      <c r="AZ115">
        <f ca="1">IF(AND(ISNUMBER($AZ$362),$B$258=1),$AZ$362,HLOOKUP(INDIRECT(ADDRESS(2,COLUMN())),OFFSET($BN$2,0,0,ROW()-1,60),ROW()-1,FALSE))</f>
        <v>-17.339667460000001</v>
      </c>
      <c r="BA115">
        <f ca="1">IF(AND(ISNUMBER($BA$362),$B$258=1),$BA$362,HLOOKUP(INDIRECT(ADDRESS(2,COLUMN())),OFFSET($BN$2,0,0,ROW()-1,60),ROW()-1,FALSE))</f>
        <v>-8.8387839170000007</v>
      </c>
      <c r="BB115">
        <f ca="1">IF(AND(ISNUMBER($BB$362),$B$258=1),$BB$362,HLOOKUP(INDIRECT(ADDRESS(2,COLUMN())),OFFSET($BN$2,0,0,ROW()-1,60),ROW()-1,FALSE))</f>
        <v>-13.448281619999999</v>
      </c>
      <c r="BC115">
        <f ca="1">IF(AND(ISNUMBER($BC$362),$B$258=1),$BC$362,HLOOKUP(INDIRECT(ADDRESS(2,COLUMN())),OFFSET($BN$2,0,0,ROW()-1,60),ROW()-1,FALSE))</f>
        <v>1.455447972</v>
      </c>
      <c r="BD115">
        <f ca="1">IF(AND(ISNUMBER($BD$362),$B$258=1),$BD$362,HLOOKUP(INDIRECT(ADDRESS(2,COLUMN())),OFFSET($BN$2,0,0,ROW()-1,60),ROW()-1,FALSE))</f>
        <v>9.8554797270000005</v>
      </c>
      <c r="BE115">
        <f ca="1">IF(AND(ISNUMBER($BE$362),$B$258=1),$BE$362,HLOOKUP(INDIRECT(ADDRESS(2,COLUMN())),OFFSET($BN$2,0,0,ROW()-1,60),ROW()-1,FALSE))</f>
        <v>7.183969684</v>
      </c>
      <c r="BF115">
        <f ca="1">IF(AND(ISNUMBER($BF$362),$B$258=1),$BF$362,HLOOKUP(INDIRECT(ADDRESS(2,COLUMN())),OFFSET($BN$2,0,0,ROW()-1,60),ROW()-1,FALSE))</f>
        <v>22.783538960000001</v>
      </c>
      <c r="BG115">
        <f ca="1">IF(AND(ISNUMBER($BG$362),$B$258=1),$BG$362,HLOOKUP(INDIRECT(ADDRESS(2,COLUMN())),OFFSET($BN$2,0,0,ROW()-1,60),ROW()-1,FALSE))</f>
        <v>66.137242920000006</v>
      </c>
      <c r="BH115">
        <f ca="1">IF(AND(ISNUMBER($BH$362),$B$258=1),$BH$362,HLOOKUP(INDIRECT(ADDRESS(2,COLUMN())),OFFSET($BN$2,0,0,ROW()-1,60),ROW()-1,FALSE))</f>
        <v>24.35310703</v>
      </c>
      <c r="BI115">
        <f ca="1">IF(AND(ISNUMBER($BI$362),$B$258=1),$BI$362,HLOOKUP(INDIRECT(ADDRESS(2,COLUMN())),OFFSET($BN$2,0,0,ROW()-1,60),ROW()-1,FALSE))</f>
        <v>19.093138509999999</v>
      </c>
      <c r="BJ115">
        <f ca="1">IF(AND(ISNUMBER($BJ$362),$B$258=1),$BJ$362,HLOOKUP(INDIRECT(ADDRESS(2,COLUMN())),OFFSET($BN$2,0,0,ROW()-1,60),ROW()-1,FALSE))</f>
        <v>3.770655664</v>
      </c>
      <c r="BK115">
        <f ca="1">IF(AND(ISNUMBER($BK$362),$B$258=1),$BK$362,HLOOKUP(INDIRECT(ADDRESS(2,COLUMN())),OFFSET($BN$2,0,0,ROW()-1,60),ROW()-1,FALSE))</f>
        <v>3.4847882050000001</v>
      </c>
      <c r="BL115">
        <f ca="1">IF(AND(ISNUMBER($BL$362),$B$258=1),$BL$362,HLOOKUP(INDIRECT(ADDRESS(2,COLUMN())),OFFSET($BN$2,0,0,ROW()-1,60),ROW()-1,FALSE))</f>
        <v>-3.4967291980000001</v>
      </c>
      <c r="BM115">
        <f ca="1">IF(AND(ISNUMBER($BM$362),$B$258=1),$BM$362,HLOOKUP(INDIRECT(ADDRESS(2,COLUMN())),OFFSET($BN$2,0,0,ROW()-1,60),ROW()-1,FALSE))</f>
        <v>-2.7634089450000001</v>
      </c>
      <c r="BN115" t="str">
        <f>""</f>
        <v/>
      </c>
      <c r="BO115">
        <f>2.299898394</f>
        <v>2.299898394</v>
      </c>
      <c r="BP115">
        <f>3.17772697</f>
        <v>3.1777269700000002</v>
      </c>
      <c r="BQ115">
        <f>2.535998909</f>
        <v>2.5359989089999999</v>
      </c>
      <c r="BR115">
        <f>4.547045121</f>
        <v>4.547045121</v>
      </c>
      <c r="BS115">
        <f>6.82376093</f>
        <v>6.8237609299999997</v>
      </c>
      <c r="BT115">
        <f>7.168777462</f>
        <v>7.1687774620000004</v>
      </c>
      <c r="BU115">
        <f>6.135997022</f>
        <v>6.1359970219999997</v>
      </c>
      <c r="BV115">
        <f>3.695985734</f>
        <v>3.6959857340000002</v>
      </c>
      <c r="BW115">
        <f>3.770526316</f>
        <v>3.7705263160000002</v>
      </c>
      <c r="BX115">
        <f>3.324324613</f>
        <v>3.3243246129999999</v>
      </c>
      <c r="BY115">
        <f>5.494649344</f>
        <v>5.4946493439999999</v>
      </c>
      <c r="BZ115">
        <f>6.497664815</f>
        <v>6.4976648150000003</v>
      </c>
      <c r="CA115">
        <f>7.196858568</f>
        <v>7.1968585679999997</v>
      </c>
      <c r="CB115">
        <f>11.88893935</f>
        <v>11.888939349999999</v>
      </c>
      <c r="CC115">
        <f>9.062031551</f>
        <v>9.0620315510000005</v>
      </c>
      <c r="CD115">
        <f>12.82872199</f>
        <v>12.82872199</v>
      </c>
      <c r="CE115">
        <f>13.25495208</f>
        <v>13.254952080000001</v>
      </c>
      <c r="CF115">
        <f>8.746116953</f>
        <v>8.7461169529999996</v>
      </c>
      <c r="CG115">
        <f>8.326782055</f>
        <v>8.3267820550000007</v>
      </c>
      <c r="CH115">
        <f>5.393553469</f>
        <v>5.3935534690000004</v>
      </c>
      <c r="CI115">
        <f>3.974275502</f>
        <v>3.9742755019999998</v>
      </c>
      <c r="CJ115">
        <f>4.192792622</f>
        <v>4.1927926219999998</v>
      </c>
      <c r="CK115">
        <f>8.178231349</f>
        <v>8.1782313490000007</v>
      </c>
      <c r="CL115">
        <f>5.77884562</f>
        <v>5.7788456200000002</v>
      </c>
      <c r="CM115">
        <f>13.38284922</f>
        <v>13.382849220000001</v>
      </c>
      <c r="CN115">
        <f>14.6830882</f>
        <v>14.6830882</v>
      </c>
      <c r="CO115">
        <f>12.18737781</f>
        <v>12.187377809999999</v>
      </c>
      <c r="CP115">
        <f>14.29750623</f>
        <v>14.29750623</v>
      </c>
      <c r="CQ115">
        <f>6.840936162</f>
        <v>6.8409361620000002</v>
      </c>
      <c r="CR115">
        <f>3.301833817</f>
        <v>3.3018338169999999</v>
      </c>
      <c r="CS115">
        <f>-0.440686412</f>
        <v>-0.44068641200000003</v>
      </c>
      <c r="CT115">
        <f>1.455880695</f>
        <v>1.4558806950000001</v>
      </c>
      <c r="CU115">
        <f>14.17282317</f>
        <v>14.172823169999999</v>
      </c>
      <c r="CV115">
        <f>14.00117057</f>
        <v>14.001170569999999</v>
      </c>
      <c r="CW115">
        <f>21.99236337</f>
        <v>21.99236337</v>
      </c>
      <c r="CX115">
        <f>18.9475499</f>
        <v>18.947549899999999</v>
      </c>
      <c r="CY115">
        <f>27.29909931</f>
        <v>27.299099309999999</v>
      </c>
      <c r="CZ115">
        <f>8.327554437</f>
        <v>8.3275544369999999</v>
      </c>
      <c r="DA115">
        <f>2.187754785</f>
        <v>2.1877547850000001</v>
      </c>
      <c r="DB115">
        <f>-0.833950723</f>
        <v>-0.83395072299999995</v>
      </c>
      <c r="DC115">
        <f>-18.75273232</f>
        <v>-18.75273232</v>
      </c>
      <c r="DD115">
        <f>-7.031019747</f>
        <v>-7.0310197470000002</v>
      </c>
      <c r="DE115">
        <f>-5.760752246</f>
        <v>-5.760752246</v>
      </c>
      <c r="DF115">
        <f>1.517722837</f>
        <v>1.517722837</v>
      </c>
      <c r="DG115">
        <f>-20.55359246</f>
        <v>-20.553592460000001</v>
      </c>
      <c r="DH115">
        <f>-17.33966746</f>
        <v>-17.339667460000001</v>
      </c>
      <c r="DI115">
        <f>-8.838783917</f>
        <v>-8.8387839170000007</v>
      </c>
      <c r="DJ115">
        <f>-13.44828162</f>
        <v>-13.448281619999999</v>
      </c>
      <c r="DK115">
        <f>1.455447972</f>
        <v>1.455447972</v>
      </c>
      <c r="DL115">
        <f>9.855479727</f>
        <v>9.8554797270000005</v>
      </c>
      <c r="DM115">
        <f>7.183969684</f>
        <v>7.183969684</v>
      </c>
      <c r="DN115">
        <f>22.78353896</f>
        <v>22.783538960000001</v>
      </c>
      <c r="DO115">
        <f>66.13724292</f>
        <v>66.137242920000006</v>
      </c>
      <c r="DP115">
        <f>24.35310703</f>
        <v>24.35310703</v>
      </c>
      <c r="DQ115">
        <f>19.09313851</f>
        <v>19.093138509999999</v>
      </c>
      <c r="DR115">
        <f>3.770655664</f>
        <v>3.770655664</v>
      </c>
      <c r="DS115">
        <f>3.484788205</f>
        <v>3.4847882050000001</v>
      </c>
      <c r="DT115">
        <f>-3.496729198</f>
        <v>-3.4967291980000001</v>
      </c>
      <c r="DU115">
        <f>-2.763408945</f>
        <v>-2.7634089450000001</v>
      </c>
    </row>
    <row r="116" spans="1:125">
      <c r="A116" t="str">
        <f>"    Healthcare Trust of America In"</f>
        <v xml:space="preserve">    Healthcare Trust of America In</v>
      </c>
      <c r="B116" t="str">
        <f>"HTA US Equity"</f>
        <v>HTA US Equity</v>
      </c>
      <c r="C116" t="str">
        <f t="shared" si="27"/>
        <v>RR033</v>
      </c>
      <c r="D116" t="str">
        <f t="shared" si="28"/>
        <v>SALES_GROWTH</v>
      </c>
      <c r="E116" t="str">
        <f t="shared" si="29"/>
        <v>动态</v>
      </c>
      <c r="F116" t="str">
        <f ca="1">IF(AND(ISNUMBER($F$363),$B$258=1),$F$363,HLOOKUP(INDIRECT(ADDRESS(2,COLUMN())),OFFSET($BN$2,0,0,ROW()-1,60),ROW()-1,FALSE))</f>
        <v/>
      </c>
      <c r="G116">
        <f ca="1">IF(AND(ISNUMBER($G$363),$B$258=1),$G$363,HLOOKUP(INDIRECT(ADDRESS(2,COLUMN())),OFFSET($BN$2,0,0,ROW()-1,60),ROW()-1,FALSE))</f>
        <v>42.388908460000003</v>
      </c>
      <c r="H116">
        <f ca="1">IF(AND(ISNUMBER($H$363),$B$258=1),$H$363,HLOOKUP(INDIRECT(ADDRESS(2,COLUMN())),OFFSET($BN$2,0,0,ROW()-1,60),ROW()-1,FALSE))</f>
        <v>48.718945410000003</v>
      </c>
      <c r="I116">
        <f ca="1">IF(AND(ISNUMBER($I$363),$B$258=1),$I$363,HLOOKUP(INDIRECT(ADDRESS(2,COLUMN())),OFFSET($BN$2,0,0,ROW()-1,60),ROW()-1,FALSE))</f>
        <v>23.530918280000002</v>
      </c>
      <c r="J116">
        <f ca="1">IF(AND(ISNUMBER($J$363),$B$258=1),$J$363,HLOOKUP(INDIRECT(ADDRESS(2,COLUMN())),OFFSET($BN$2,0,0,ROW()-1,60),ROW()-1,FALSE))</f>
        <v>15.87103387</v>
      </c>
      <c r="K116">
        <f ca="1">IF(AND(ISNUMBER($K$363),$B$258=1),$K$363,HLOOKUP(INDIRECT(ADDRESS(2,COLUMN())),OFFSET($BN$2,0,0,ROW()-1,60),ROW()-1,FALSE))</f>
        <v>19.58862899</v>
      </c>
      <c r="L116">
        <f ca="1">IF(AND(ISNUMBER($L$363),$B$258=1),$L$363,HLOOKUP(INDIRECT(ADDRESS(2,COLUMN())),OFFSET($BN$2,0,0,ROW()-1,60),ROW()-1,FALSE))</f>
        <v>13.8519559</v>
      </c>
      <c r="M116">
        <f ca="1">IF(AND(ISNUMBER($M$363),$B$258=1),$M$363,HLOOKUP(INDIRECT(ADDRESS(2,COLUMN())),OFFSET($BN$2,0,0,ROW()-1,60),ROW()-1,FALSE))</f>
        <v>14.01959501</v>
      </c>
      <c r="N116">
        <f ca="1">IF(AND(ISNUMBER($N$363),$B$258=1),$N$363,HLOOKUP(INDIRECT(ADDRESS(2,COLUMN())),OFFSET($BN$2,0,0,ROW()-1,60),ROW()-1,FALSE))</f>
        <v>8.9271213970000005</v>
      </c>
      <c r="O116">
        <f ca="1">IF(AND(ISNUMBER($O$363),$B$258=1),$O$363,HLOOKUP(INDIRECT(ADDRESS(2,COLUMN())),OFFSET($BN$2,0,0,ROW()-1,60),ROW()-1,FALSE))</f>
        <v>7.4245231379999996</v>
      </c>
      <c r="P116">
        <f ca="1">IF(AND(ISNUMBER($P$363),$B$258=1),$P$363,HLOOKUP(INDIRECT(ADDRESS(2,COLUMN())),OFFSET($BN$2,0,0,ROW()-1,60),ROW()-1,FALSE))</f>
        <v>8.8010551219999993</v>
      </c>
      <c r="Q116">
        <f ca="1">IF(AND(ISNUMBER($Q$363),$B$258=1),$Q$363,HLOOKUP(INDIRECT(ADDRESS(2,COLUMN())),OFFSET($BN$2,0,0,ROW()-1,60),ROW()-1,FALSE))</f>
        <v>10.750409830000001</v>
      </c>
      <c r="R116">
        <f ca="1">IF(AND(ISNUMBER($R$363),$B$258=1),$R$363,HLOOKUP(INDIRECT(ADDRESS(2,COLUMN())),OFFSET($BN$2,0,0,ROW()-1,60),ROW()-1,FALSE))</f>
        <v>7.9032682029999997</v>
      </c>
      <c r="S116">
        <f ca="1">IF(AND(ISNUMBER($S$363),$B$258=1),$S$363,HLOOKUP(INDIRECT(ADDRESS(2,COLUMN())),OFFSET($BN$2,0,0,ROW()-1,60),ROW()-1,FALSE))</f>
        <v>12.91304141</v>
      </c>
      <c r="T116">
        <f ca="1">IF(AND(ISNUMBER($T$363),$B$258=1),$T$363,HLOOKUP(INDIRECT(ADDRESS(2,COLUMN())),OFFSET($BN$2,0,0,ROW()-1,60),ROW()-1,FALSE))</f>
        <v>15.74126798</v>
      </c>
      <c r="U116">
        <f ca="1">IF(AND(ISNUMBER($U$363),$B$258=1),$U$363,HLOOKUP(INDIRECT(ADDRESS(2,COLUMN())),OFFSET($BN$2,0,0,ROW()-1,60),ROW()-1,FALSE))</f>
        <v>15.51968463</v>
      </c>
      <c r="V116">
        <f ca="1">IF(AND(ISNUMBER($V$363),$B$258=1),$V$363,HLOOKUP(INDIRECT(ADDRESS(2,COLUMN())),OFFSET($BN$2,0,0,ROW()-1,60),ROW()-1,FALSE))</f>
        <v>18.791064389999999</v>
      </c>
      <c r="W116">
        <f ca="1">IF(AND(ISNUMBER($W$363),$B$258=1),$W$363,HLOOKUP(INDIRECT(ADDRESS(2,COLUMN())),OFFSET($BN$2,0,0,ROW()-1,60),ROW()-1,FALSE))</f>
        <v>14.50425315</v>
      </c>
      <c r="X116">
        <f ca="1">IF(AND(ISNUMBER($X$363),$B$258=1),$X$363,HLOOKUP(INDIRECT(ADDRESS(2,COLUMN())),OFFSET($BN$2,0,0,ROW()-1,60),ROW()-1,FALSE))</f>
        <v>6.4605582210000003</v>
      </c>
      <c r="Y116">
        <f ca="1">IF(AND(ISNUMBER($Y$363),$B$258=1),$Y$363,HLOOKUP(INDIRECT(ADDRESS(2,COLUMN())),OFFSET($BN$2,0,0,ROW()-1,60),ROW()-1,FALSE))</f>
        <v>2.5456755219999998</v>
      </c>
      <c r="Z116">
        <f ca="1">IF(AND(ISNUMBER($Z$363),$B$258=1),$Z$363,HLOOKUP(INDIRECT(ADDRESS(2,COLUMN())),OFFSET($BN$2,0,0,ROW()-1,60),ROW()-1,FALSE))</f>
        <v>8.7512026709999997</v>
      </c>
      <c r="AA116">
        <f ca="1">IF(AND(ISNUMBER($AA$363),$B$258=1),$AA$363,HLOOKUP(INDIRECT(ADDRESS(2,COLUMN())),OFFSET($BN$2,0,0,ROW()-1,60),ROW()-1,FALSE))</f>
        <v>12.12079595</v>
      </c>
      <c r="AB116">
        <f ca="1">IF(AND(ISNUMBER($AB$363),$B$258=1),$AB$363,HLOOKUP(INDIRECT(ADDRESS(2,COLUMN())),OFFSET($BN$2,0,0,ROW()-1,60),ROW()-1,FALSE))</f>
        <v>10.85501859</v>
      </c>
      <c r="AC116">
        <f ca="1">IF(AND(ISNUMBER($AC$363),$B$258=1),$AC$363,HLOOKUP(INDIRECT(ADDRESS(2,COLUMN())),OFFSET($BN$2,0,0,ROW()-1,60),ROW()-1,FALSE))</f>
        <v>11.19810794</v>
      </c>
      <c r="AD116">
        <f ca="1">IF(AND(ISNUMBER($AD$363),$B$258=1),$AD$363,HLOOKUP(INDIRECT(ADDRESS(2,COLUMN())),OFFSET($BN$2,0,0,ROW()-1,60),ROW()-1,FALSE))</f>
        <v>-0.30468882200000003</v>
      </c>
      <c r="AE116">
        <f ca="1">IF(AND(ISNUMBER($AE$363),$B$258=1),$AE$363,HLOOKUP(INDIRECT(ADDRESS(2,COLUMN())),OFFSET($BN$2,0,0,ROW()-1,60),ROW()-1,FALSE))</f>
        <v>10.77079108</v>
      </c>
      <c r="AF116">
        <f ca="1">IF(AND(ISNUMBER($AF$363),$B$258=1),$AF$363,HLOOKUP(INDIRECT(ADDRESS(2,COLUMN())),OFFSET($BN$2,0,0,ROW()-1,60),ROW()-1,FALSE))</f>
        <v>33.229198420000003</v>
      </c>
      <c r="AG116">
        <f ca="1">IF(AND(ISNUMBER($AG$363),$B$258=1),$AG$363,HLOOKUP(INDIRECT(ADDRESS(2,COLUMN())),OFFSET($BN$2,0,0,ROW()-1,60),ROW()-1,FALSE))</f>
        <v>46.326469199999998</v>
      </c>
      <c r="AH116">
        <f ca="1">IF(AND(ISNUMBER($AH$363),$B$258=1),$AH$363,HLOOKUP(INDIRECT(ADDRESS(2,COLUMN())),OFFSET($BN$2,0,0,ROW()-1,60),ROW()-1,FALSE))</f>
        <v>57.72003204</v>
      </c>
      <c r="AI116" t="str">
        <f ca="1">IF(AND(ISNUMBER($AI$363),$B$258=1),$AI$363,HLOOKUP(INDIRECT(ADDRESS(2,COLUMN())),OFFSET($BN$2,0,0,ROW()-1,60),ROW()-1,FALSE))</f>
        <v/>
      </c>
      <c r="AJ116" t="str">
        <f ca="1">IF(AND(ISNUMBER($AJ$363),$B$258=1),$AJ$363,HLOOKUP(INDIRECT(ADDRESS(2,COLUMN())),OFFSET($BN$2,0,0,ROW()-1,60),ROW()-1,FALSE))</f>
        <v/>
      </c>
      <c r="AK116" t="str">
        <f ca="1">IF(AND(ISNUMBER($AK$363),$B$258=1),$AK$363,HLOOKUP(INDIRECT(ADDRESS(2,COLUMN())),OFFSET($BN$2,0,0,ROW()-1,60),ROW()-1,FALSE))</f>
        <v/>
      </c>
      <c r="AL116" t="str">
        <f ca="1">IF(AND(ISNUMBER($AL$363),$B$258=1),$AL$363,HLOOKUP(INDIRECT(ADDRESS(2,COLUMN())),OFFSET($BN$2,0,0,ROW()-1,60),ROW()-1,FALSE))</f>
        <v/>
      </c>
      <c r="AM116" t="str">
        <f ca="1">IF(AND(ISNUMBER($AM$363),$B$258=1),$AM$363,HLOOKUP(INDIRECT(ADDRESS(2,COLUMN())),OFFSET($BN$2,0,0,ROW()-1,60),ROW()-1,FALSE))</f>
        <v/>
      </c>
      <c r="AN116" t="str">
        <f ca="1">IF(AND(ISNUMBER($AN$363),$B$258=1),$AN$363,HLOOKUP(INDIRECT(ADDRESS(2,COLUMN())),OFFSET($BN$2,0,0,ROW()-1,60),ROW()-1,FALSE))</f>
        <v/>
      </c>
      <c r="AO116" t="str">
        <f ca="1">IF(AND(ISNUMBER($AO$363),$B$258=1),$AO$363,HLOOKUP(INDIRECT(ADDRESS(2,COLUMN())),OFFSET($BN$2,0,0,ROW()-1,60),ROW()-1,FALSE))</f>
        <v/>
      </c>
      <c r="AP116" t="str">
        <f ca="1">IF(AND(ISNUMBER($AP$363),$B$258=1),$AP$363,HLOOKUP(INDIRECT(ADDRESS(2,COLUMN())),OFFSET($BN$2,0,0,ROW()-1,60),ROW()-1,FALSE))</f>
        <v/>
      </c>
      <c r="AQ116" t="str">
        <f ca="1">IF(AND(ISNUMBER($AQ$363),$B$258=1),$AQ$363,HLOOKUP(INDIRECT(ADDRESS(2,COLUMN())),OFFSET($BN$2,0,0,ROW()-1,60),ROW()-1,FALSE))</f>
        <v/>
      </c>
      <c r="AR116" t="str">
        <f ca="1">IF(AND(ISNUMBER($AR$363),$B$258=1),$AR$363,HLOOKUP(INDIRECT(ADDRESS(2,COLUMN())),OFFSET($BN$2,0,0,ROW()-1,60),ROW()-1,FALSE))</f>
        <v/>
      </c>
      <c r="AS116" t="str">
        <f ca="1">IF(AND(ISNUMBER($AS$363),$B$258=1),$AS$363,HLOOKUP(INDIRECT(ADDRESS(2,COLUMN())),OFFSET($BN$2,0,0,ROW()-1,60),ROW()-1,FALSE))</f>
        <v/>
      </c>
      <c r="AT116" t="str">
        <f ca="1">IF(AND(ISNUMBER($AT$363),$B$258=1),$AT$363,HLOOKUP(INDIRECT(ADDRESS(2,COLUMN())),OFFSET($BN$2,0,0,ROW()-1,60),ROW()-1,FALSE))</f>
        <v/>
      </c>
      <c r="AU116" t="str">
        <f ca="1">IF(AND(ISNUMBER($AU$363),$B$258=1),$AU$363,HLOOKUP(INDIRECT(ADDRESS(2,COLUMN())),OFFSET($BN$2,0,0,ROW()-1,60),ROW()-1,FALSE))</f>
        <v/>
      </c>
      <c r="AV116" t="str">
        <f ca="1">IF(AND(ISNUMBER($AV$363),$B$258=1),$AV$363,HLOOKUP(INDIRECT(ADDRESS(2,COLUMN())),OFFSET($BN$2,0,0,ROW()-1,60),ROW()-1,FALSE))</f>
        <v/>
      </c>
      <c r="AW116" t="str">
        <f ca="1">IF(AND(ISNUMBER($AW$363),$B$258=1),$AW$363,HLOOKUP(INDIRECT(ADDRESS(2,COLUMN())),OFFSET($BN$2,0,0,ROW()-1,60),ROW()-1,FALSE))</f>
        <v/>
      </c>
      <c r="AX116" t="str">
        <f ca="1">IF(AND(ISNUMBER($AX$363),$B$258=1),$AX$363,HLOOKUP(INDIRECT(ADDRESS(2,COLUMN())),OFFSET($BN$2,0,0,ROW()-1,60),ROW()-1,FALSE))</f>
        <v/>
      </c>
      <c r="AY116" t="str">
        <f ca="1">IF(AND(ISNUMBER($AY$363),$B$258=1),$AY$363,HLOOKUP(INDIRECT(ADDRESS(2,COLUMN())),OFFSET($BN$2,0,0,ROW()-1,60),ROW()-1,FALSE))</f>
        <v/>
      </c>
      <c r="AZ116" t="str">
        <f ca="1">IF(AND(ISNUMBER($AZ$363),$B$258=1),$AZ$363,HLOOKUP(INDIRECT(ADDRESS(2,COLUMN())),OFFSET($BN$2,0,0,ROW()-1,60),ROW()-1,FALSE))</f>
        <v/>
      </c>
      <c r="BA116" t="str">
        <f ca="1">IF(AND(ISNUMBER($BA$363),$B$258=1),$BA$363,HLOOKUP(INDIRECT(ADDRESS(2,COLUMN())),OFFSET($BN$2,0,0,ROW()-1,60),ROW()-1,FALSE))</f>
        <v/>
      </c>
      <c r="BB116" t="str">
        <f ca="1">IF(AND(ISNUMBER($BB$363),$B$258=1),$BB$363,HLOOKUP(INDIRECT(ADDRESS(2,COLUMN())),OFFSET($BN$2,0,0,ROW()-1,60),ROW()-1,FALSE))</f>
        <v/>
      </c>
      <c r="BC116" t="str">
        <f ca="1">IF(AND(ISNUMBER($BC$363),$B$258=1),$BC$363,HLOOKUP(INDIRECT(ADDRESS(2,COLUMN())),OFFSET($BN$2,0,0,ROW()-1,60),ROW()-1,FALSE))</f>
        <v/>
      </c>
      <c r="BD116" t="str">
        <f ca="1">IF(AND(ISNUMBER($BD$363),$B$258=1),$BD$363,HLOOKUP(INDIRECT(ADDRESS(2,COLUMN())),OFFSET($BN$2,0,0,ROW()-1,60),ROW()-1,FALSE))</f>
        <v/>
      </c>
      <c r="BE116" t="str">
        <f ca="1">IF(AND(ISNUMBER($BE$363),$B$258=1),$BE$363,HLOOKUP(INDIRECT(ADDRESS(2,COLUMN())),OFFSET($BN$2,0,0,ROW()-1,60),ROW()-1,FALSE))</f>
        <v/>
      </c>
      <c r="BF116" t="str">
        <f ca="1">IF(AND(ISNUMBER($BF$363),$B$258=1),$BF$363,HLOOKUP(INDIRECT(ADDRESS(2,COLUMN())),OFFSET($BN$2,0,0,ROW()-1,60),ROW()-1,FALSE))</f>
        <v/>
      </c>
      <c r="BG116" t="str">
        <f ca="1">IF(AND(ISNUMBER($BG$363),$B$258=1),$BG$363,HLOOKUP(INDIRECT(ADDRESS(2,COLUMN())),OFFSET($BN$2,0,0,ROW()-1,60),ROW()-1,FALSE))</f>
        <v/>
      </c>
      <c r="BH116" t="str">
        <f ca="1">IF(AND(ISNUMBER($BH$363),$B$258=1),$BH$363,HLOOKUP(INDIRECT(ADDRESS(2,COLUMN())),OFFSET($BN$2,0,0,ROW()-1,60),ROW()-1,FALSE))</f>
        <v/>
      </c>
      <c r="BI116" t="str">
        <f ca="1">IF(AND(ISNUMBER($BI$363),$B$258=1),$BI$363,HLOOKUP(INDIRECT(ADDRESS(2,COLUMN())),OFFSET($BN$2,0,0,ROW()-1,60),ROW()-1,FALSE))</f>
        <v/>
      </c>
      <c r="BJ116" t="str">
        <f ca="1">IF(AND(ISNUMBER($BJ$363),$B$258=1),$BJ$363,HLOOKUP(INDIRECT(ADDRESS(2,COLUMN())),OFFSET($BN$2,0,0,ROW()-1,60),ROW()-1,FALSE))</f>
        <v/>
      </c>
      <c r="BK116" t="str">
        <f ca="1">IF(AND(ISNUMBER($BK$363),$B$258=1),$BK$363,HLOOKUP(INDIRECT(ADDRESS(2,COLUMN())),OFFSET($BN$2,0,0,ROW()-1,60),ROW()-1,FALSE))</f>
        <v/>
      </c>
      <c r="BL116" t="str">
        <f ca="1">IF(AND(ISNUMBER($BL$363),$B$258=1),$BL$363,HLOOKUP(INDIRECT(ADDRESS(2,COLUMN())),OFFSET($BN$2,0,0,ROW()-1,60),ROW()-1,FALSE))</f>
        <v/>
      </c>
      <c r="BM116" t="str">
        <f ca="1">IF(AND(ISNUMBER($BM$363),$B$258=1),$BM$363,HLOOKUP(INDIRECT(ADDRESS(2,COLUMN())),OFFSET($BN$2,0,0,ROW()-1,60),ROW()-1,FALSE))</f>
        <v/>
      </c>
      <c r="BN116" t="str">
        <f>""</f>
        <v/>
      </c>
      <c r="BO116">
        <f>42.38890846</f>
        <v>42.388908460000003</v>
      </c>
      <c r="BP116">
        <f>48.71894541</f>
        <v>48.718945410000003</v>
      </c>
      <c r="BQ116">
        <f>23.53091828</f>
        <v>23.530918280000002</v>
      </c>
      <c r="BR116">
        <f>15.87103387</f>
        <v>15.87103387</v>
      </c>
      <c r="BS116">
        <f>19.58862899</f>
        <v>19.58862899</v>
      </c>
      <c r="BT116">
        <f>13.8519559</f>
        <v>13.8519559</v>
      </c>
      <c r="BU116">
        <f>14.01959501</f>
        <v>14.01959501</v>
      </c>
      <c r="BV116">
        <f>8.927121397</f>
        <v>8.9271213970000005</v>
      </c>
      <c r="BW116">
        <f>7.424523138</f>
        <v>7.4245231379999996</v>
      </c>
      <c r="BX116">
        <f>8.801055122</f>
        <v>8.8010551219999993</v>
      </c>
      <c r="BY116">
        <f>10.75040983</f>
        <v>10.750409830000001</v>
      </c>
      <c r="BZ116">
        <f>7.903268203</f>
        <v>7.9032682029999997</v>
      </c>
      <c r="CA116">
        <f>12.91304141</f>
        <v>12.91304141</v>
      </c>
      <c r="CB116">
        <f>15.74126798</f>
        <v>15.74126798</v>
      </c>
      <c r="CC116">
        <f>15.51968463</f>
        <v>15.51968463</v>
      </c>
      <c r="CD116">
        <f>18.79106439</f>
        <v>18.791064389999999</v>
      </c>
      <c r="CE116">
        <f>14.50425315</f>
        <v>14.50425315</v>
      </c>
      <c r="CF116">
        <f>6.460558221</f>
        <v>6.4605582210000003</v>
      </c>
      <c r="CG116">
        <f>2.545675522</f>
        <v>2.5456755219999998</v>
      </c>
      <c r="CH116">
        <f>8.751202671</f>
        <v>8.7512026709999997</v>
      </c>
      <c r="CI116">
        <f>12.12079595</f>
        <v>12.12079595</v>
      </c>
      <c r="CJ116">
        <f>10.85501859</f>
        <v>10.85501859</v>
      </c>
      <c r="CK116">
        <f>11.19810794</f>
        <v>11.19810794</v>
      </c>
      <c r="CL116">
        <f>-0.304688822</f>
        <v>-0.30468882200000003</v>
      </c>
      <c r="CM116">
        <f>10.77079108</f>
        <v>10.77079108</v>
      </c>
      <c r="CN116">
        <f>33.22919842</f>
        <v>33.229198420000003</v>
      </c>
      <c r="CO116">
        <f>46.3264692</f>
        <v>46.326469199999998</v>
      </c>
      <c r="CP116">
        <f>57.72003204</f>
        <v>57.72003204</v>
      </c>
      <c r="CQ116" t="str">
        <f>""</f>
        <v/>
      </c>
      <c r="CR116" t="str">
        <f>""</f>
        <v/>
      </c>
      <c r="CS116" t="str">
        <f>""</f>
        <v/>
      </c>
      <c r="CT116" t="str">
        <f>""</f>
        <v/>
      </c>
      <c r="CU116" t="str">
        <f>""</f>
        <v/>
      </c>
      <c r="CV116" t="str">
        <f>""</f>
        <v/>
      </c>
      <c r="CW116" t="str">
        <f>""</f>
        <v/>
      </c>
      <c r="CX116" t="str">
        <f>""</f>
        <v/>
      </c>
      <c r="CY116" t="str">
        <f>""</f>
        <v/>
      </c>
      <c r="CZ116" t="str">
        <f>""</f>
        <v/>
      </c>
      <c r="DA116" t="str">
        <f>""</f>
        <v/>
      </c>
      <c r="DB116" t="str">
        <f>""</f>
        <v/>
      </c>
      <c r="DC116" t="str">
        <f>""</f>
        <v/>
      </c>
      <c r="DD116" t="str">
        <f>""</f>
        <v/>
      </c>
      <c r="DE116" t="str">
        <f>""</f>
        <v/>
      </c>
      <c r="DF116" t="str">
        <f>""</f>
        <v/>
      </c>
      <c r="DG116" t="str">
        <f>""</f>
        <v/>
      </c>
      <c r="DH116" t="str">
        <f>""</f>
        <v/>
      </c>
      <c r="DI116" t="str">
        <f>""</f>
        <v/>
      </c>
      <c r="DJ116" t="str">
        <f>""</f>
        <v/>
      </c>
      <c r="DK116" t="str">
        <f>""</f>
        <v/>
      </c>
      <c r="DL116" t="str">
        <f>""</f>
        <v/>
      </c>
      <c r="DM116" t="str">
        <f>""</f>
        <v/>
      </c>
      <c r="DN116" t="str">
        <f>""</f>
        <v/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  <c r="DT116" t="str">
        <f>""</f>
        <v/>
      </c>
      <c r="DU116" t="str">
        <f>""</f>
        <v/>
      </c>
    </row>
    <row r="117" spans="1:125">
      <c r="A117" t="str">
        <f>"    Medical Properties Trust Inc"</f>
        <v xml:space="preserve">    Medical Properties Trust Inc</v>
      </c>
      <c r="B117" t="str">
        <f>"MPW US Equity"</f>
        <v>MPW US Equity</v>
      </c>
      <c r="C117" t="str">
        <f t="shared" si="27"/>
        <v>RR033</v>
      </c>
      <c r="D117" t="str">
        <f t="shared" si="28"/>
        <v>SALES_GROWTH</v>
      </c>
      <c r="E117" t="str">
        <f t="shared" si="29"/>
        <v>动态</v>
      </c>
      <c r="F117" t="str">
        <f ca="1">IF(AND(ISNUMBER($F$364),$B$258=1),$F$364,HLOOKUP(INDIRECT(ADDRESS(2,COLUMN())),OFFSET($BN$2,0,0,ROW()-1,60),ROW()-1,FALSE))</f>
        <v/>
      </c>
      <c r="G117">
        <f ca="1">IF(AND(ISNUMBER($G$364),$B$258=1),$G$364,HLOOKUP(INDIRECT(ADDRESS(2,COLUMN())),OFFSET($BN$2,0,0,ROW()-1,60),ROW()-1,FALSE))</f>
        <v>33.714110499999997</v>
      </c>
      <c r="H117">
        <f ca="1">IF(AND(ISNUMBER($H$364),$B$258=1),$H$364,HLOOKUP(INDIRECT(ADDRESS(2,COLUMN())),OFFSET($BN$2,0,0,ROW()-1,60),ROW()-1,FALSE))</f>
        <v>39.528268339999997</v>
      </c>
      <c r="I117">
        <f ca="1">IF(AND(ISNUMBER($I$364),$B$258=1),$I$364,HLOOKUP(INDIRECT(ADDRESS(2,COLUMN())),OFFSET($BN$2,0,0,ROW()-1,60),ROW()-1,FALSE))</f>
        <v>32.072050670000003</v>
      </c>
      <c r="J117">
        <f ca="1">IF(AND(ISNUMBER($J$364),$B$258=1),$J$364,HLOOKUP(INDIRECT(ADDRESS(2,COLUMN())),OFFSET($BN$2,0,0,ROW()-1,60),ROW()-1,FALSE))</f>
        <v>15.85048778</v>
      </c>
      <c r="K117">
        <f ca="1">IF(AND(ISNUMBER($K$364),$B$258=1),$K$364,HLOOKUP(INDIRECT(ADDRESS(2,COLUMN())),OFFSET($BN$2,0,0,ROW()-1,60),ROW()-1,FALSE))</f>
        <v>16.524257670000001</v>
      </c>
      <c r="L117">
        <f ca="1">IF(AND(ISNUMBER($L$364),$B$258=1),$L$364,HLOOKUP(INDIRECT(ADDRESS(2,COLUMN())),OFFSET($BN$2,0,0,ROW()-1,60),ROW()-1,FALSE))</f>
        <v>10.460853630000001</v>
      </c>
      <c r="M117">
        <f ca="1">IF(AND(ISNUMBER($M$364),$B$258=1),$M$364,HLOOKUP(INDIRECT(ADDRESS(2,COLUMN())),OFFSET($BN$2,0,0,ROW()-1,60),ROW()-1,FALSE))</f>
        <v>26.551838159999999</v>
      </c>
      <c r="N117">
        <f ca="1">IF(AND(ISNUMBER($N$364),$B$258=1),$N$364,HLOOKUP(INDIRECT(ADDRESS(2,COLUMN())),OFFSET($BN$2,0,0,ROW()-1,60),ROW()-1,FALSE))</f>
        <v>40.681110029999999</v>
      </c>
      <c r="O117">
        <f ca="1">IF(AND(ISNUMBER($O$364),$B$258=1),$O$364,HLOOKUP(INDIRECT(ADDRESS(2,COLUMN())),OFFSET($BN$2,0,0,ROW()-1,60),ROW()-1,FALSE))</f>
        <v>60.216011119999997</v>
      </c>
      <c r="P117">
        <f ca="1">IF(AND(ISNUMBER($P$364),$B$258=1),$P$364,HLOOKUP(INDIRECT(ADDRESS(2,COLUMN())),OFFSET($BN$2,0,0,ROW()-1,60),ROW()-1,FALSE))</f>
        <v>41.834928259999998</v>
      </c>
      <c r="Q117">
        <f ca="1">IF(AND(ISNUMBER($Q$364),$B$258=1),$Q$364,HLOOKUP(INDIRECT(ADDRESS(2,COLUMN())),OFFSET($BN$2,0,0,ROW()-1,60),ROW()-1,FALSE))</f>
        <v>30.356583069999999</v>
      </c>
      <c r="R117">
        <f ca="1">IF(AND(ISNUMBER($R$364),$B$258=1),$R$364,HLOOKUP(INDIRECT(ADDRESS(2,COLUMN())),OFFSET($BN$2,0,0,ROW()-1,60),ROW()-1,FALSE))</f>
        <v>31.29335468</v>
      </c>
      <c r="S117">
        <f ca="1">IF(AND(ISNUMBER($S$364),$B$258=1),$S$364,HLOOKUP(INDIRECT(ADDRESS(2,COLUMN())),OFFSET($BN$2,0,0,ROW()-1,60),ROW()-1,FALSE))</f>
        <v>21.31505138</v>
      </c>
      <c r="T117">
        <f ca="1">IF(AND(ISNUMBER($T$364),$B$258=1),$T$364,HLOOKUP(INDIRECT(ADDRESS(2,COLUMN())),OFFSET($BN$2,0,0,ROW()-1,60),ROW()-1,FALSE))</f>
        <v>34.390909389999997</v>
      </c>
      <c r="U117">
        <f ca="1">IF(AND(ISNUMBER($U$364),$B$258=1),$U$364,HLOOKUP(INDIRECT(ADDRESS(2,COLUMN())),OFFSET($BN$2,0,0,ROW()-1,60),ROW()-1,FALSE))</f>
        <v>34.024228000000001</v>
      </c>
      <c r="V117">
        <f ca="1">IF(AND(ISNUMBER($V$364),$B$258=1),$V$364,HLOOKUP(INDIRECT(ADDRESS(2,COLUMN())),OFFSET($BN$2,0,0,ROW()-1,60),ROW()-1,FALSE))</f>
        <v>26.861992950000001</v>
      </c>
      <c r="W117">
        <f ca="1">IF(AND(ISNUMBER($W$364),$B$258=1),$W$364,HLOOKUP(INDIRECT(ADDRESS(2,COLUMN())),OFFSET($BN$2,0,0,ROW()-1,60),ROW()-1,FALSE))</f>
        <v>19.580700719999999</v>
      </c>
      <c r="X117">
        <f ca="1">IF(AND(ISNUMBER($X$364),$B$258=1),$X$364,HLOOKUP(INDIRECT(ADDRESS(2,COLUMN())),OFFSET($BN$2,0,0,ROW()-1,60),ROW()-1,FALSE))</f>
        <v>13.722967479999999</v>
      </c>
      <c r="Y117">
        <f ca="1">IF(AND(ISNUMBER($Y$364),$B$258=1),$Y$364,HLOOKUP(INDIRECT(ADDRESS(2,COLUMN())),OFFSET($BN$2,0,0,ROW()-1,60),ROW()-1,FALSE))</f>
        <v>16.775011240000001</v>
      </c>
      <c r="Z117">
        <f ca="1">IF(AND(ISNUMBER($Z$364),$B$258=1),$Z$364,HLOOKUP(INDIRECT(ADDRESS(2,COLUMN())),OFFSET($BN$2,0,0,ROW()-1,60),ROW()-1,FALSE))</f>
        <v>39.6103424</v>
      </c>
      <c r="AA117">
        <f ca="1">IF(AND(ISNUMBER($AA$364),$B$258=1),$AA$364,HLOOKUP(INDIRECT(ADDRESS(2,COLUMN())),OFFSET($BN$2,0,0,ROW()-1,60),ROW()-1,FALSE))</f>
        <v>64.443708060000006</v>
      </c>
      <c r="AB117">
        <f ca="1">IF(AND(ISNUMBER($AB$364),$B$258=1),$AB$364,HLOOKUP(INDIRECT(ADDRESS(2,COLUMN())),OFFSET($BN$2,0,0,ROW()-1,60),ROW()-1,FALSE))</f>
        <v>52.613190109999998</v>
      </c>
      <c r="AC117">
        <f ca="1">IF(AND(ISNUMBER($AC$364),$B$258=1),$AC$364,HLOOKUP(INDIRECT(ADDRESS(2,COLUMN())),OFFSET($BN$2,0,0,ROW()-1,60),ROW()-1,FALSE))</f>
        <v>39.941640919999998</v>
      </c>
      <c r="AD117">
        <f ca="1">IF(AND(ISNUMBER($AD$364),$B$258=1),$AD$364,HLOOKUP(INDIRECT(ADDRESS(2,COLUMN())),OFFSET($BN$2,0,0,ROW()-1,60),ROW()-1,FALSE))</f>
        <v>20.147320000000001</v>
      </c>
      <c r="AE117">
        <f ca="1">IF(AND(ISNUMBER($AE$364),$B$258=1),$AE$364,HLOOKUP(INDIRECT(ADDRESS(2,COLUMN())),OFFSET($BN$2,0,0,ROW()-1,60),ROW()-1,FALSE))</f>
        <v>12.194166750000001</v>
      </c>
      <c r="AF117">
        <f ca="1">IF(AND(ISNUMBER($AF$364),$B$258=1),$AF$364,HLOOKUP(INDIRECT(ADDRESS(2,COLUMN())),OFFSET($BN$2,0,0,ROW()-1,60),ROW()-1,FALSE))</f>
        <v>20.904901550000002</v>
      </c>
      <c r="AG117">
        <f ca="1">IF(AND(ISNUMBER($AG$364),$B$258=1),$AG$364,HLOOKUP(INDIRECT(ADDRESS(2,COLUMN())),OFFSET($BN$2,0,0,ROW()-1,60),ROW()-1,FALSE))</f>
        <v>14.26143235</v>
      </c>
      <c r="AH117">
        <f ca="1">IF(AND(ISNUMBER($AH$364),$B$258=1),$AH$364,HLOOKUP(INDIRECT(ADDRESS(2,COLUMN())),OFFSET($BN$2,0,0,ROW()-1,60),ROW()-1,FALSE))</f>
        <v>11.306630370000001</v>
      </c>
      <c r="AI117">
        <f ca="1">IF(AND(ISNUMBER($AI$364),$B$258=1),$AI$364,HLOOKUP(INDIRECT(ADDRESS(2,COLUMN())),OFFSET($BN$2,0,0,ROW()-1,60),ROW()-1,FALSE))</f>
        <v>2.0193060150000002</v>
      </c>
      <c r="AJ117">
        <f ca="1">IF(AND(ISNUMBER($AJ$364),$B$258=1),$AJ$364,HLOOKUP(INDIRECT(ADDRESS(2,COLUMN())),OFFSET($BN$2,0,0,ROW()-1,60),ROW()-1,FALSE))</f>
        <v>-8.5995086000000001</v>
      </c>
      <c r="AK117">
        <f ca="1">IF(AND(ISNUMBER($AK$364),$B$258=1),$AK$364,HLOOKUP(INDIRECT(ADDRESS(2,COLUMN())),OFFSET($BN$2,0,0,ROW()-1,60),ROW()-1,FALSE))</f>
        <v>4.2706203140000003</v>
      </c>
      <c r="AL117">
        <f ca="1">IF(AND(ISNUMBER($AL$364),$B$258=1),$AL$364,HLOOKUP(INDIRECT(ADDRESS(2,COLUMN())),OFFSET($BN$2,0,0,ROW()-1,60),ROW()-1,FALSE))</f>
        <v>-3.487317424</v>
      </c>
      <c r="AM117">
        <f ca="1">IF(AND(ISNUMBER($AM$364),$B$258=1),$AM$364,HLOOKUP(INDIRECT(ADDRESS(2,COLUMN())),OFFSET($BN$2,0,0,ROW()-1,60),ROW()-1,FALSE))</f>
        <v>1.7900216600000001</v>
      </c>
      <c r="AN117">
        <f ca="1">IF(AND(ISNUMBER($AN$364),$B$258=1),$AN$364,HLOOKUP(INDIRECT(ADDRESS(2,COLUMN())),OFFSET($BN$2,0,0,ROW()-1,60),ROW()-1,FALSE))</f>
        <v>-5.3688437960000002</v>
      </c>
      <c r="AO117">
        <f ca="1">IF(AND(ISNUMBER($AO$364),$B$258=1),$AO$364,HLOOKUP(INDIRECT(ADDRESS(2,COLUMN())),OFFSET($BN$2,0,0,ROW()-1,60),ROW()-1,FALSE))</f>
        <v>-5.874049597</v>
      </c>
      <c r="AP117">
        <f ca="1">IF(AND(ISNUMBER($AP$364),$B$258=1),$AP$364,HLOOKUP(INDIRECT(ADDRESS(2,COLUMN())),OFFSET($BN$2,0,0,ROW()-1,60),ROW()-1,FALSE))</f>
        <v>36.982134440000003</v>
      </c>
      <c r="AQ117">
        <f ca="1">IF(AND(ISNUMBER($AQ$364),$B$258=1),$AQ$364,HLOOKUP(INDIRECT(ADDRESS(2,COLUMN())),OFFSET($BN$2,0,0,ROW()-1,60),ROW()-1,FALSE))</f>
        <v>21.375145159999999</v>
      </c>
      <c r="AR117">
        <f ca="1">IF(AND(ISNUMBER($AR$364),$B$258=1),$AR$364,HLOOKUP(INDIRECT(ADDRESS(2,COLUMN())),OFFSET($BN$2,0,0,ROW()-1,60),ROW()-1,FALSE))</f>
        <v>53.949411140000002</v>
      </c>
      <c r="AS117">
        <f ca="1">IF(AND(ISNUMBER($AS$364),$B$258=1),$AS$364,HLOOKUP(INDIRECT(ADDRESS(2,COLUMN())),OFFSET($BN$2,0,0,ROW()-1,60),ROW()-1,FALSE))</f>
        <v>45.761701809999998</v>
      </c>
      <c r="AT117">
        <f ca="1">IF(AND(ISNUMBER($AT$364),$B$258=1),$AT$364,HLOOKUP(INDIRECT(ADDRESS(2,COLUMN())),OFFSET($BN$2,0,0,ROW()-1,60),ROW()-1,FALSE))</f>
        <v>56.528441790000002</v>
      </c>
      <c r="AU117">
        <f ca="1">IF(AND(ISNUMBER($AU$364),$B$258=1),$AU$364,HLOOKUP(INDIRECT(ADDRESS(2,COLUMN())),OFFSET($BN$2,0,0,ROW()-1,60),ROW()-1,FALSE))</f>
        <v>52.435555119999997</v>
      </c>
      <c r="AV117">
        <f ca="1">IF(AND(ISNUMBER($AV$364),$B$258=1),$AV$364,HLOOKUP(INDIRECT(ADDRESS(2,COLUMN())),OFFSET($BN$2,0,0,ROW()-1,60),ROW()-1,FALSE))</f>
        <v>66.554299330000006</v>
      </c>
      <c r="AW117">
        <f ca="1">IF(AND(ISNUMBER($AW$364),$B$258=1),$AW$364,HLOOKUP(INDIRECT(ADDRESS(2,COLUMN())),OFFSET($BN$2,0,0,ROW()-1,60),ROW()-1,FALSE))</f>
        <v>90.399444419999995</v>
      </c>
      <c r="AX117">
        <f ca="1">IF(AND(ISNUMBER($AX$364),$B$258=1),$AX$364,HLOOKUP(INDIRECT(ADDRESS(2,COLUMN())),OFFSET($BN$2,0,0,ROW()-1,60),ROW()-1,FALSE))</f>
        <v>35.438086869999999</v>
      </c>
      <c r="AY117">
        <f ca="1">IF(AND(ISNUMBER($AY$364),$B$258=1),$AY$364,HLOOKUP(INDIRECT(ADDRESS(2,COLUMN())),OFFSET($BN$2,0,0,ROW()-1,60),ROW()-1,FALSE))</f>
        <v>75.303255620000002</v>
      </c>
      <c r="AZ117">
        <f ca="1">IF(AND(ISNUMBER($AZ$364),$B$258=1),$AZ$364,HLOOKUP(INDIRECT(ADDRESS(2,COLUMN())),OFFSET($BN$2,0,0,ROW()-1,60),ROW()-1,FALSE))</f>
        <v>43.94159587</v>
      </c>
      <c r="BA117">
        <f ca="1">IF(AND(ISNUMBER($BA$364),$B$258=1),$BA$364,HLOOKUP(INDIRECT(ADDRESS(2,COLUMN())),OFFSET($BN$2,0,0,ROW()-1,60),ROW()-1,FALSE))</f>
        <v>47.784388550000003</v>
      </c>
      <c r="BB117">
        <f ca="1">IF(AND(ISNUMBER($BB$364),$B$258=1),$BB$364,HLOOKUP(INDIRECT(ADDRESS(2,COLUMN())),OFFSET($BN$2,0,0,ROW()-1,60),ROW()-1,FALSE))</f>
        <v>60.424757900000003</v>
      </c>
      <c r="BC117" t="str">
        <f ca="1">IF(AND(ISNUMBER($BC$364),$B$258=1),$BC$364,HLOOKUP(INDIRECT(ADDRESS(2,COLUMN())),OFFSET($BN$2,0,0,ROW()-1,60),ROW()-1,FALSE))</f>
        <v/>
      </c>
      <c r="BD117" t="str">
        <f ca="1">IF(AND(ISNUMBER($BD$364),$B$258=1),$BD$364,HLOOKUP(INDIRECT(ADDRESS(2,COLUMN())),OFFSET($BN$2,0,0,ROW()-1,60),ROW()-1,FALSE))</f>
        <v/>
      </c>
      <c r="BE117" t="str">
        <f ca="1">IF(AND(ISNUMBER($BE$364),$B$258=1),$BE$364,HLOOKUP(INDIRECT(ADDRESS(2,COLUMN())),OFFSET($BN$2,0,0,ROW()-1,60),ROW()-1,FALSE))</f>
        <v/>
      </c>
      <c r="BF117" t="str">
        <f ca="1">IF(AND(ISNUMBER($BF$364),$B$258=1),$BF$364,HLOOKUP(INDIRECT(ADDRESS(2,COLUMN())),OFFSET($BN$2,0,0,ROW()-1,60),ROW()-1,FALSE))</f>
        <v/>
      </c>
      <c r="BG117" t="str">
        <f ca="1">IF(AND(ISNUMBER($BG$364),$B$258=1),$BG$364,HLOOKUP(INDIRECT(ADDRESS(2,COLUMN())),OFFSET($BN$2,0,0,ROW()-1,60),ROW()-1,FALSE))</f>
        <v/>
      </c>
      <c r="BH117" t="str">
        <f ca="1">IF(AND(ISNUMBER($BH$364),$B$258=1),$BH$364,HLOOKUP(INDIRECT(ADDRESS(2,COLUMN())),OFFSET($BN$2,0,0,ROW()-1,60),ROW()-1,FALSE))</f>
        <v/>
      </c>
      <c r="BI117" t="str">
        <f ca="1">IF(AND(ISNUMBER($BI$364),$B$258=1),$BI$364,HLOOKUP(INDIRECT(ADDRESS(2,COLUMN())),OFFSET($BN$2,0,0,ROW()-1,60),ROW()-1,FALSE))</f>
        <v/>
      </c>
      <c r="BJ117" t="str">
        <f ca="1">IF(AND(ISNUMBER($BJ$364),$B$258=1),$BJ$364,HLOOKUP(INDIRECT(ADDRESS(2,COLUMN())),OFFSET($BN$2,0,0,ROW()-1,60),ROW()-1,FALSE))</f>
        <v/>
      </c>
      <c r="BK117" t="str">
        <f ca="1">IF(AND(ISNUMBER($BK$364),$B$258=1),$BK$364,HLOOKUP(INDIRECT(ADDRESS(2,COLUMN())),OFFSET($BN$2,0,0,ROW()-1,60),ROW()-1,FALSE))</f>
        <v/>
      </c>
      <c r="BL117" t="str">
        <f ca="1">IF(AND(ISNUMBER($BL$364),$B$258=1),$BL$364,HLOOKUP(INDIRECT(ADDRESS(2,COLUMN())),OFFSET($BN$2,0,0,ROW()-1,60),ROW()-1,FALSE))</f>
        <v/>
      </c>
      <c r="BM117" t="str">
        <f ca="1">IF(AND(ISNUMBER($BM$364),$B$258=1),$BM$364,HLOOKUP(INDIRECT(ADDRESS(2,COLUMN())),OFFSET($BN$2,0,0,ROW()-1,60),ROW()-1,FALSE))</f>
        <v/>
      </c>
      <c r="BN117" t="str">
        <f>""</f>
        <v/>
      </c>
      <c r="BO117">
        <f>33.7141105</f>
        <v>33.714110499999997</v>
      </c>
      <c r="BP117">
        <f>39.52826834</f>
        <v>39.528268339999997</v>
      </c>
      <c r="BQ117">
        <f>32.07205067</f>
        <v>32.072050670000003</v>
      </c>
      <c r="BR117">
        <f>15.85048778</f>
        <v>15.85048778</v>
      </c>
      <c r="BS117">
        <f>16.52425767</f>
        <v>16.524257670000001</v>
      </c>
      <c r="BT117">
        <f>10.46085363</f>
        <v>10.460853630000001</v>
      </c>
      <c r="BU117">
        <f>26.55183816</f>
        <v>26.551838159999999</v>
      </c>
      <c r="BV117">
        <f>40.68111003</f>
        <v>40.681110029999999</v>
      </c>
      <c r="BW117">
        <f>60.21601112</f>
        <v>60.216011119999997</v>
      </c>
      <c r="BX117">
        <f>41.83492826</f>
        <v>41.834928259999998</v>
      </c>
      <c r="BY117">
        <f>30.35658307</f>
        <v>30.356583069999999</v>
      </c>
      <c r="BZ117">
        <f>31.29335468</f>
        <v>31.29335468</v>
      </c>
      <c r="CA117">
        <f>21.31505138</f>
        <v>21.31505138</v>
      </c>
      <c r="CB117">
        <f>34.39090939</f>
        <v>34.390909389999997</v>
      </c>
      <c r="CC117">
        <f>34.024228</f>
        <v>34.024228000000001</v>
      </c>
      <c r="CD117">
        <f>26.86199295</f>
        <v>26.861992950000001</v>
      </c>
      <c r="CE117">
        <f>19.58070072</f>
        <v>19.580700719999999</v>
      </c>
      <c r="CF117">
        <f>13.72296748</f>
        <v>13.722967479999999</v>
      </c>
      <c r="CG117">
        <f>16.77501124</f>
        <v>16.775011240000001</v>
      </c>
      <c r="CH117">
        <f>39.6103424</f>
        <v>39.6103424</v>
      </c>
      <c r="CI117">
        <f>64.44370806</f>
        <v>64.443708060000006</v>
      </c>
      <c r="CJ117">
        <f>52.61319011</f>
        <v>52.613190109999998</v>
      </c>
      <c r="CK117">
        <f>39.94164092</f>
        <v>39.941640919999998</v>
      </c>
      <c r="CL117">
        <f>20.14732</f>
        <v>20.147320000000001</v>
      </c>
      <c r="CM117">
        <f>12.19416675</f>
        <v>12.194166750000001</v>
      </c>
      <c r="CN117">
        <f>20.90490155</f>
        <v>20.904901550000002</v>
      </c>
      <c r="CO117">
        <f>14.26143235</f>
        <v>14.26143235</v>
      </c>
      <c r="CP117">
        <f>11.30663037</f>
        <v>11.306630370000001</v>
      </c>
      <c r="CQ117">
        <f>2.019306015</f>
        <v>2.0193060150000002</v>
      </c>
      <c r="CR117">
        <f>-8.5995086</f>
        <v>-8.5995086000000001</v>
      </c>
      <c r="CS117">
        <f>4.270620314</f>
        <v>4.2706203140000003</v>
      </c>
      <c r="CT117">
        <f>-3.487317424</f>
        <v>-3.487317424</v>
      </c>
      <c r="CU117">
        <f>1.79002166</f>
        <v>1.7900216600000001</v>
      </c>
      <c r="CV117">
        <f>-5.368843796</f>
        <v>-5.3688437960000002</v>
      </c>
      <c r="CW117">
        <f>-5.874049597</f>
        <v>-5.874049597</v>
      </c>
      <c r="CX117">
        <f>36.98213444</f>
        <v>36.982134440000003</v>
      </c>
      <c r="CY117">
        <f>21.37514516</f>
        <v>21.375145159999999</v>
      </c>
      <c r="CZ117">
        <f>53.94941114</f>
        <v>53.949411140000002</v>
      </c>
      <c r="DA117">
        <f>45.76170181</f>
        <v>45.761701809999998</v>
      </c>
      <c r="DB117">
        <f>56.52844179</f>
        <v>56.528441790000002</v>
      </c>
      <c r="DC117">
        <f>52.43555512</f>
        <v>52.435555119999997</v>
      </c>
      <c r="DD117">
        <f>66.55429933</f>
        <v>66.554299330000006</v>
      </c>
      <c r="DE117">
        <f>90.39944442</f>
        <v>90.399444419999995</v>
      </c>
      <c r="DF117">
        <f>35.43808687</f>
        <v>35.438086869999999</v>
      </c>
      <c r="DG117">
        <f>75.30325562</f>
        <v>75.303255620000002</v>
      </c>
      <c r="DH117">
        <f>43.94159587</f>
        <v>43.94159587</v>
      </c>
      <c r="DI117">
        <f>47.78438855</f>
        <v>47.784388550000003</v>
      </c>
      <c r="DJ117">
        <f>60.4247579</f>
        <v>60.424757900000003</v>
      </c>
      <c r="DK117" t="str">
        <f>""</f>
        <v/>
      </c>
      <c r="DL117" t="str">
        <f>""</f>
        <v/>
      </c>
      <c r="DM117" t="str">
        <f>""</f>
        <v/>
      </c>
      <c r="DN117" t="str">
        <f>""</f>
        <v/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  <c r="DT117" t="str">
        <f>""</f>
        <v/>
      </c>
      <c r="DU117" t="str">
        <f>""</f>
        <v/>
      </c>
    </row>
    <row r="118" spans="1:125">
      <c r="A118" t="str">
        <f>"    Omega Healthcare Investors Inc"</f>
        <v xml:space="preserve">    Omega Healthcare Investors Inc</v>
      </c>
      <c r="B118" t="str">
        <f>"OHI US Equity"</f>
        <v>OHI US Equity</v>
      </c>
      <c r="C118" t="str">
        <f t="shared" si="27"/>
        <v>RR033</v>
      </c>
      <c r="D118" t="str">
        <f t="shared" si="28"/>
        <v>SALES_GROWTH</v>
      </c>
      <c r="E118" t="str">
        <f t="shared" si="29"/>
        <v>动态</v>
      </c>
      <c r="F118" t="str">
        <f ca="1">IF(AND(ISNUMBER($F$365),$B$258=1),$F$365,HLOOKUP(INDIRECT(ADDRESS(2,COLUMN())),OFFSET($BN$2,0,0,ROW()-1,60),ROW()-1,FALSE))</f>
        <v/>
      </c>
      <c r="G118">
        <f ca="1">IF(AND(ISNUMBER($G$365),$B$258=1),$G$365,HLOOKUP(INDIRECT(ADDRESS(2,COLUMN())),OFFSET($BN$2,0,0,ROW()-1,60),ROW()-1,FALSE))</f>
        <v>-5.6634511229999998</v>
      </c>
      <c r="H118">
        <f ca="1">IF(AND(ISNUMBER($H$365),$B$258=1),$H$365,HLOOKUP(INDIRECT(ADDRESS(2,COLUMN())),OFFSET($BN$2,0,0,ROW()-1,60),ROW()-1,FALSE))</f>
        <v>-2.2258032920000002</v>
      </c>
      <c r="I118">
        <f ca="1">IF(AND(ISNUMBER($I$365),$B$258=1),$I$365,HLOOKUP(INDIRECT(ADDRESS(2,COLUMN())),OFFSET($BN$2,0,0,ROW()-1,60),ROW()-1,FALSE))</f>
        <v>3.0473202110000002</v>
      </c>
      <c r="J118">
        <f ca="1">IF(AND(ISNUMBER($J$365),$B$258=1),$J$365,HLOOKUP(INDIRECT(ADDRESS(2,COLUMN())),OFFSET($BN$2,0,0,ROW()-1,60),ROW()-1,FALSE))</f>
        <v>8.8618417039999997</v>
      </c>
      <c r="K118">
        <f ca="1">IF(AND(ISNUMBER($K$365),$B$258=1),$K$365,HLOOKUP(INDIRECT(ADDRESS(2,COLUMN())),OFFSET($BN$2,0,0,ROW()-1,60),ROW()-1,FALSE))</f>
        <v>11.388424410000001</v>
      </c>
      <c r="L118">
        <f ca="1">IF(AND(ISNUMBER($L$365),$B$258=1),$L$365,HLOOKUP(INDIRECT(ADDRESS(2,COLUMN())),OFFSET($BN$2,0,0,ROW()-1,60),ROW()-1,FALSE))</f>
        <v>11.221246300000001</v>
      </c>
      <c r="M118">
        <f ca="1">IF(AND(ISNUMBER($M$365),$B$258=1),$M$365,HLOOKUP(INDIRECT(ADDRESS(2,COLUMN())),OFFSET($BN$2,0,0,ROW()-1,60),ROW()-1,FALSE))</f>
        <v>15.736605450000001</v>
      </c>
      <c r="N118">
        <f ca="1">IF(AND(ISNUMBER($N$365),$B$258=1),$N$365,HLOOKUP(INDIRECT(ADDRESS(2,COLUMN())),OFFSET($BN$2,0,0,ROW()-1,60),ROW()-1,FALSE))</f>
        <v>59.555538900000002</v>
      </c>
      <c r="O118">
        <f ca="1">IF(AND(ISNUMBER($O$365),$B$258=1),$O$365,HLOOKUP(INDIRECT(ADDRESS(2,COLUMN())),OFFSET($BN$2,0,0,ROW()-1,60),ROW()-1,FALSE))</f>
        <v>60.303378739999999</v>
      </c>
      <c r="P118">
        <f ca="1">IF(AND(ISNUMBER($P$365),$B$258=1),$P$365,HLOOKUP(INDIRECT(ADDRESS(2,COLUMN())),OFFSET($BN$2,0,0,ROW()-1,60),ROW()-1,FALSE))</f>
        <v>54.573910380000001</v>
      </c>
      <c r="Q118">
        <f ca="1">IF(AND(ISNUMBER($Q$365),$B$258=1),$Q$365,HLOOKUP(INDIRECT(ADDRESS(2,COLUMN())),OFFSET($BN$2,0,0,ROW()-1,60),ROW()-1,FALSE))</f>
        <v>62.32430213</v>
      </c>
      <c r="R118">
        <f ca="1">IF(AND(ISNUMBER($R$365),$B$258=1),$R$365,HLOOKUP(INDIRECT(ADDRESS(2,COLUMN())),OFFSET($BN$2,0,0,ROW()-1,60),ROW()-1,FALSE))</f>
        <v>10.26355154</v>
      </c>
      <c r="S118">
        <f ca="1">IF(AND(ISNUMBER($S$365),$B$258=1),$S$365,HLOOKUP(INDIRECT(ADDRESS(2,COLUMN())),OFFSET($BN$2,0,0,ROW()-1,60),ROW()-1,FALSE))</f>
        <v>18.161368400000001</v>
      </c>
      <c r="T118">
        <f ca="1">IF(AND(ISNUMBER($T$365),$B$258=1),$T$365,HLOOKUP(INDIRECT(ADDRESS(2,COLUMN())),OFFSET($BN$2,0,0,ROW()-1,60),ROW()-1,FALSE))</f>
        <v>26.489578999999999</v>
      </c>
      <c r="U118">
        <f ca="1">IF(AND(ISNUMBER($U$365),$B$258=1),$U$365,HLOOKUP(INDIRECT(ADDRESS(2,COLUMN())),OFFSET($BN$2,0,0,ROW()-1,60),ROW()-1,FALSE))</f>
        <v>18.811881190000001</v>
      </c>
      <c r="V118">
        <f ca="1">IF(AND(ISNUMBER($V$365),$B$258=1),$V$365,HLOOKUP(INDIRECT(ADDRESS(2,COLUMN())),OFFSET($BN$2,0,0,ROW()-1,60),ROW()-1,FALSE))</f>
        <v>18.907046900000001</v>
      </c>
      <c r="W118">
        <f ca="1">IF(AND(ISNUMBER($W$365),$B$258=1),$W$365,HLOOKUP(INDIRECT(ADDRESS(2,COLUMN())),OFFSET($BN$2,0,0,ROW()-1,60),ROW()-1,FALSE))</f>
        <v>16.971540439999998</v>
      </c>
      <c r="X118">
        <f ca="1">IF(AND(ISNUMBER($X$365),$B$258=1),$X$365,HLOOKUP(INDIRECT(ADDRESS(2,COLUMN())),OFFSET($BN$2,0,0,ROW()-1,60),ROW()-1,FALSE))</f>
        <v>18.58956697</v>
      </c>
      <c r="Y118">
        <f ca="1">IF(AND(ISNUMBER($Y$365),$B$258=1),$Y$365,HLOOKUP(INDIRECT(ADDRESS(2,COLUMN())),OFFSET($BN$2,0,0,ROW()-1,60),ROW()-1,FALSE))</f>
        <v>22.29645094</v>
      </c>
      <c r="Z118">
        <f ca="1">IF(AND(ISNUMBER($Z$365),$B$258=1),$Z$365,HLOOKUP(INDIRECT(ADDRESS(2,COLUMN())),OFFSET($BN$2,0,0,ROW()-1,60),ROW()-1,FALSE))</f>
        <v>20.405845119999999</v>
      </c>
      <c r="AA118">
        <f ca="1">IF(AND(ISNUMBER($AA$365),$B$258=1),$AA$365,HLOOKUP(INDIRECT(ADDRESS(2,COLUMN())),OFFSET($BN$2,0,0,ROW()-1,60),ROW()-1,FALSE))</f>
        <v>24.517718599999998</v>
      </c>
      <c r="AB118">
        <f ca="1">IF(AND(ISNUMBER($AB$365),$B$258=1),$AB$365,HLOOKUP(INDIRECT(ADDRESS(2,COLUMN())),OFFSET($BN$2,0,0,ROW()-1,60),ROW()-1,FALSE))</f>
        <v>19.62426872</v>
      </c>
      <c r="AC118">
        <f ca="1">IF(AND(ISNUMBER($AC$365),$B$258=1),$AC$365,HLOOKUP(INDIRECT(ADDRESS(2,COLUMN())),OFFSET($BN$2,0,0,ROW()-1,60),ROW()-1,FALSE))</f>
        <v>15.451891030000001</v>
      </c>
      <c r="AD118">
        <f ca="1">IF(AND(ISNUMBER($AD$365),$B$258=1),$AD$365,HLOOKUP(INDIRECT(ADDRESS(2,COLUMN())),OFFSET($BN$2,0,0,ROW()-1,60),ROW()-1,FALSE))</f>
        <v>19.92025654</v>
      </c>
      <c r="AE118">
        <f ca="1">IF(AND(ISNUMBER($AE$365),$B$258=1),$AE$365,HLOOKUP(INDIRECT(ADDRESS(2,COLUMN())),OFFSET($BN$2,0,0,ROW()-1,60),ROW()-1,FALSE))</f>
        <v>7.2981410130000004</v>
      </c>
      <c r="AF118">
        <f ca="1">IF(AND(ISNUMBER($AF$365),$B$258=1),$AF$365,HLOOKUP(INDIRECT(ADDRESS(2,COLUMN())),OFFSET($BN$2,0,0,ROW()-1,60),ROW()-1,FALSE))</f>
        <v>4.4374964139999999</v>
      </c>
      <c r="AG118">
        <f ca="1">IF(AND(ISNUMBER($AG$365),$B$258=1),$AG$365,HLOOKUP(INDIRECT(ADDRESS(2,COLUMN())),OFFSET($BN$2,0,0,ROW()-1,60),ROW()-1,FALSE))</f>
        <v>23.469092759999999</v>
      </c>
      <c r="AH118">
        <f ca="1">IF(AND(ISNUMBER($AH$365),$B$258=1),$AH$365,HLOOKUP(INDIRECT(ADDRESS(2,COLUMN())),OFFSET($BN$2,0,0,ROW()-1,60),ROW()-1,FALSE))</f>
        <v>20.106343089999999</v>
      </c>
      <c r="AI118">
        <f ca="1">IF(AND(ISNUMBER($AI$365),$B$258=1),$AI$365,HLOOKUP(INDIRECT(ADDRESS(2,COLUMN())),OFFSET($BN$2,0,0,ROW()-1,60),ROW()-1,FALSE))</f>
        <v>44.034188729999997</v>
      </c>
      <c r="AJ118">
        <f ca="1">IF(AND(ISNUMBER($AJ$365),$B$258=1),$AJ$365,HLOOKUP(INDIRECT(ADDRESS(2,COLUMN())),OFFSET($BN$2,0,0,ROW()-1,60),ROW()-1,FALSE))</f>
        <v>40.140293049999997</v>
      </c>
      <c r="AK118">
        <f ca="1">IF(AND(ISNUMBER($AK$365),$B$258=1),$AK$365,HLOOKUP(INDIRECT(ADDRESS(2,COLUMN())),OFFSET($BN$2,0,0,ROW()-1,60),ROW()-1,FALSE))</f>
        <v>19.639078779999998</v>
      </c>
      <c r="AL118">
        <f ca="1">IF(AND(ISNUMBER($AL$365),$B$258=1),$AL$365,HLOOKUP(INDIRECT(ADDRESS(2,COLUMN())),OFFSET($BN$2,0,0,ROW()-1,60),ROW()-1,FALSE))</f>
        <v>19.361269320000002</v>
      </c>
      <c r="AM118">
        <f ca="1">IF(AND(ISNUMBER($AM$365),$B$258=1),$AM$365,HLOOKUP(INDIRECT(ADDRESS(2,COLUMN())),OFFSET($BN$2,0,0,ROW()-1,60),ROW()-1,FALSE))</f>
        <v>0.42919327899999998</v>
      </c>
      <c r="AN118">
        <f ca="1">IF(AND(ISNUMBER($AN$365),$B$258=1),$AN$365,HLOOKUP(INDIRECT(ADDRESS(2,COLUMN())),OFFSET($BN$2,0,0,ROW()-1,60),ROW()-1,FALSE))</f>
        <v>-17.076951279999999</v>
      </c>
      <c r="AO118">
        <f ca="1">IF(AND(ISNUMBER($AO$365),$B$258=1),$AO$365,HLOOKUP(INDIRECT(ADDRESS(2,COLUMN())),OFFSET($BN$2,0,0,ROW()-1,60),ROW()-1,FALSE))</f>
        <v>12.385960900000001</v>
      </c>
      <c r="AP118">
        <f ca="1">IF(AND(ISNUMBER($AP$365),$B$258=1),$AP$365,HLOOKUP(INDIRECT(ADDRESS(2,COLUMN())),OFFSET($BN$2,0,0,ROW()-1,60),ROW()-1,FALSE))</f>
        <v>20.104566219999999</v>
      </c>
      <c r="AQ118">
        <f ca="1">IF(AND(ISNUMBER($AQ$365),$B$258=1),$AQ$365,HLOOKUP(INDIRECT(ADDRESS(2,COLUMN())),OFFSET($BN$2,0,0,ROW()-1,60),ROW()-1,FALSE))</f>
        <v>23.780748800000001</v>
      </c>
      <c r="AR118">
        <f ca="1">IF(AND(ISNUMBER($AR$365),$B$258=1),$AR$365,HLOOKUP(INDIRECT(ADDRESS(2,COLUMN())),OFFSET($BN$2,0,0,ROW()-1,60),ROW()-1,FALSE))</f>
        <v>52.824758019999997</v>
      </c>
      <c r="AS118">
        <f ca="1">IF(AND(ISNUMBER($AS$365),$B$258=1),$AS$365,HLOOKUP(INDIRECT(ADDRESS(2,COLUMN())),OFFSET($BN$2,0,0,ROW()-1,60),ROW()-1,FALSE))</f>
        <v>14.738830439999999</v>
      </c>
      <c r="AT118">
        <f ca="1">IF(AND(ISNUMBER($AT$365),$B$258=1),$AT$365,HLOOKUP(INDIRECT(ADDRESS(2,COLUMN())),OFFSET($BN$2,0,0,ROW()-1,60),ROW()-1,FALSE))</f>
        <v>-4.0597238830000002</v>
      </c>
      <c r="AU118">
        <f ca="1">IF(AND(ISNUMBER($AU$365),$B$258=1),$AU$365,HLOOKUP(INDIRECT(ADDRESS(2,COLUMN())),OFFSET($BN$2,0,0,ROW()-1,60),ROW()-1,FALSE))</f>
        <v>9.8429116650000008</v>
      </c>
      <c r="AV118">
        <f ca="1">IF(AND(ISNUMBER($AV$365),$B$258=1),$AV$365,HLOOKUP(INDIRECT(ADDRESS(2,COLUMN())),OFFSET($BN$2,0,0,ROW()-1,60),ROW()-1,FALSE))</f>
        <v>11.233885819999999</v>
      </c>
      <c r="AW118">
        <f ca="1">IF(AND(ISNUMBER($AW$365),$B$258=1),$AW$365,HLOOKUP(INDIRECT(ADDRESS(2,COLUMN())),OFFSET($BN$2,0,0,ROW()-1,60),ROW()-1,FALSE))</f>
        <v>17.710456430000001</v>
      </c>
      <c r="AX118">
        <f ca="1">IF(AND(ISNUMBER($AX$365),$B$258=1),$AX$365,HLOOKUP(INDIRECT(ADDRESS(2,COLUMN())),OFFSET($BN$2,0,0,ROW()-1,60),ROW()-1,FALSE))</f>
        <v>32.576134240000002</v>
      </c>
      <c r="AY118">
        <f ca="1">IF(AND(ISNUMBER($AY$365),$B$258=1),$AY$365,HLOOKUP(INDIRECT(ADDRESS(2,COLUMN())),OFFSET($BN$2,0,0,ROW()-1,60),ROW()-1,FALSE))</f>
        <v>19.58592406</v>
      </c>
      <c r="AZ118">
        <f ca="1">IF(AND(ISNUMBER($AZ$365),$B$258=1),$AZ$365,HLOOKUP(INDIRECT(ADDRESS(2,COLUMN())),OFFSET($BN$2,0,0,ROW()-1,60),ROW()-1,FALSE))</f>
        <v>30.182207139999999</v>
      </c>
      <c r="BA118">
        <f ca="1">IF(AND(ISNUMBER($BA$365),$B$258=1),$BA$365,HLOOKUP(INDIRECT(ADDRESS(2,COLUMN())),OFFSET($BN$2,0,0,ROW()-1,60),ROW()-1,FALSE))</f>
        <v>27.946580269999998</v>
      </c>
      <c r="BB118">
        <f ca="1">IF(AND(ISNUMBER($BB$365),$B$258=1),$BB$365,HLOOKUP(INDIRECT(ADDRESS(2,COLUMN())),OFFSET($BN$2,0,0,ROW()-1,60),ROW()-1,FALSE))</f>
        <v>18.456894649999999</v>
      </c>
      <c r="BC118">
        <f ca="1">IF(AND(ISNUMBER($BC$365),$B$258=1),$BC$365,HLOOKUP(INDIRECT(ADDRESS(2,COLUMN())),OFFSET($BN$2,0,0,ROW()-1,60),ROW()-1,FALSE))</f>
        <v>65.187937059999996</v>
      </c>
      <c r="BD118">
        <f ca="1">IF(AND(ISNUMBER($BD$365),$B$258=1),$BD$365,HLOOKUP(INDIRECT(ADDRESS(2,COLUMN())),OFFSET($BN$2,0,0,ROW()-1,60),ROW()-1,FALSE))</f>
        <v>19.927454239999999</v>
      </c>
      <c r="BE118">
        <f ca="1">IF(AND(ISNUMBER($BE$365),$B$258=1),$BE$365,HLOOKUP(INDIRECT(ADDRESS(2,COLUMN())),OFFSET($BN$2,0,0,ROW()-1,60),ROW()-1,FALSE))</f>
        <v>13.26471594</v>
      </c>
      <c r="BF118">
        <f ca="1">IF(AND(ISNUMBER($BF$365),$B$258=1),$BF$365,HLOOKUP(INDIRECT(ADDRESS(2,COLUMN())),OFFSET($BN$2,0,0,ROW()-1,60),ROW()-1,FALSE))</f>
        <v>26.14227751</v>
      </c>
      <c r="BG118">
        <f ca="1">IF(AND(ISNUMBER($BG$365),$B$258=1),$BG$365,HLOOKUP(INDIRECT(ADDRESS(2,COLUMN())),OFFSET($BN$2,0,0,ROW()-1,60),ROW()-1,FALSE))</f>
        <v>-15.618657369999999</v>
      </c>
      <c r="BH118">
        <f ca="1">IF(AND(ISNUMBER($BH$365),$B$258=1),$BH$365,HLOOKUP(INDIRECT(ADDRESS(2,COLUMN())),OFFSET($BN$2,0,0,ROW()-1,60),ROW()-1,FALSE))</f>
        <v>8.0330675140000007</v>
      </c>
      <c r="BI118">
        <f ca="1">IF(AND(ISNUMBER($BI$365),$B$258=1),$BI$365,HLOOKUP(INDIRECT(ADDRESS(2,COLUMN())),OFFSET($BN$2,0,0,ROW()-1,60),ROW()-1,FALSE))</f>
        <v>7.4847264850000004</v>
      </c>
      <c r="BJ118">
        <f ca="1">IF(AND(ISNUMBER($BJ$365),$B$258=1),$BJ$365,HLOOKUP(INDIRECT(ADDRESS(2,COLUMN())),OFFSET($BN$2,0,0,ROW()-1,60),ROW()-1,FALSE))</f>
        <v>-12.326982490000001</v>
      </c>
      <c r="BK118">
        <f ca="1">IF(AND(ISNUMBER($BK$365),$B$258=1),$BK$365,HLOOKUP(INDIRECT(ADDRESS(2,COLUMN())),OFFSET($BN$2,0,0,ROW()-1,60),ROW()-1,FALSE))</f>
        <v>-20.84656738</v>
      </c>
      <c r="BL118">
        <f ca="1">IF(AND(ISNUMBER($BL$365),$B$258=1),$BL$365,HLOOKUP(INDIRECT(ADDRESS(2,COLUMN())),OFFSET($BN$2,0,0,ROW()-1,60),ROW()-1,FALSE))</f>
        <v>-32.23884271</v>
      </c>
      <c r="BM118">
        <f ca="1">IF(AND(ISNUMBER($BM$365),$B$258=1),$BM$365,HLOOKUP(INDIRECT(ADDRESS(2,COLUMN())),OFFSET($BN$2,0,0,ROW()-1,60),ROW()-1,FALSE))</f>
        <v>-39.573886860000002</v>
      </c>
      <c r="BN118" t="str">
        <f>""</f>
        <v/>
      </c>
      <c r="BO118">
        <f>-5.663451123</f>
        <v>-5.6634511229999998</v>
      </c>
      <c r="BP118">
        <f>-2.225803292</f>
        <v>-2.2258032920000002</v>
      </c>
      <c r="BQ118">
        <f>3.047320211</f>
        <v>3.0473202110000002</v>
      </c>
      <c r="BR118">
        <f>8.861841704</f>
        <v>8.8618417039999997</v>
      </c>
      <c r="BS118">
        <f>11.38842441</f>
        <v>11.388424410000001</v>
      </c>
      <c r="BT118">
        <f>11.2212463</f>
        <v>11.221246300000001</v>
      </c>
      <c r="BU118">
        <f>15.73660545</f>
        <v>15.736605450000001</v>
      </c>
      <c r="BV118">
        <f>59.5555389</f>
        <v>59.555538900000002</v>
      </c>
      <c r="BW118">
        <f>60.30337874</f>
        <v>60.303378739999999</v>
      </c>
      <c r="BX118">
        <f>54.57391038</f>
        <v>54.573910380000001</v>
      </c>
      <c r="BY118">
        <f>62.32430213</f>
        <v>62.32430213</v>
      </c>
      <c r="BZ118">
        <f>10.26355154</f>
        <v>10.26355154</v>
      </c>
      <c r="CA118">
        <f>18.1613684</f>
        <v>18.161368400000001</v>
      </c>
      <c r="CB118">
        <f>26.489579</f>
        <v>26.489578999999999</v>
      </c>
      <c r="CC118">
        <f>18.81188119</f>
        <v>18.811881190000001</v>
      </c>
      <c r="CD118">
        <f>18.9070469</f>
        <v>18.907046900000001</v>
      </c>
      <c r="CE118">
        <f>16.97154044</f>
        <v>16.971540439999998</v>
      </c>
      <c r="CF118">
        <f>18.58956697</f>
        <v>18.58956697</v>
      </c>
      <c r="CG118">
        <f>22.29645094</f>
        <v>22.29645094</v>
      </c>
      <c r="CH118">
        <f>20.40584512</f>
        <v>20.405845119999999</v>
      </c>
      <c r="CI118">
        <f>24.5177186</f>
        <v>24.517718599999998</v>
      </c>
      <c r="CJ118">
        <f>19.62426872</f>
        <v>19.62426872</v>
      </c>
      <c r="CK118">
        <f>15.45189103</f>
        <v>15.451891030000001</v>
      </c>
      <c r="CL118">
        <f>19.92025654</f>
        <v>19.92025654</v>
      </c>
      <c r="CM118">
        <f>7.298141013</f>
        <v>7.2981410130000004</v>
      </c>
      <c r="CN118">
        <f>4.437496414</f>
        <v>4.4374964139999999</v>
      </c>
      <c r="CO118">
        <f>23.46909276</f>
        <v>23.469092759999999</v>
      </c>
      <c r="CP118">
        <f>20.10634309</f>
        <v>20.106343089999999</v>
      </c>
      <c r="CQ118">
        <f>44.03418873</f>
        <v>44.034188729999997</v>
      </c>
      <c r="CR118">
        <f>40.14029305</f>
        <v>40.140293049999997</v>
      </c>
      <c r="CS118">
        <f>19.63907878</f>
        <v>19.639078779999998</v>
      </c>
      <c r="CT118">
        <f>19.36126932</f>
        <v>19.361269320000002</v>
      </c>
      <c r="CU118">
        <f>0.429193279</f>
        <v>0.42919327899999998</v>
      </c>
      <c r="CV118">
        <f>-17.07695128</f>
        <v>-17.076951279999999</v>
      </c>
      <c r="CW118">
        <f>12.3859609</f>
        <v>12.385960900000001</v>
      </c>
      <c r="CX118">
        <f>20.10456622</f>
        <v>20.104566219999999</v>
      </c>
      <c r="CY118">
        <f>23.7807488</f>
        <v>23.780748800000001</v>
      </c>
      <c r="CZ118">
        <f>52.82475802</f>
        <v>52.824758019999997</v>
      </c>
      <c r="DA118">
        <f>14.73883044</f>
        <v>14.738830439999999</v>
      </c>
      <c r="DB118">
        <f>-4.059723883</f>
        <v>-4.0597238830000002</v>
      </c>
      <c r="DC118">
        <f>9.842911665</f>
        <v>9.8429116650000008</v>
      </c>
      <c r="DD118">
        <f>11.23388582</f>
        <v>11.233885819999999</v>
      </c>
      <c r="DE118">
        <f>17.71045643</f>
        <v>17.710456430000001</v>
      </c>
      <c r="DF118">
        <f>32.57613424</f>
        <v>32.576134240000002</v>
      </c>
      <c r="DG118">
        <f>19.58592406</f>
        <v>19.58592406</v>
      </c>
      <c r="DH118">
        <f>30.18220714</f>
        <v>30.182207139999999</v>
      </c>
      <c r="DI118">
        <f>27.94658027</f>
        <v>27.946580269999998</v>
      </c>
      <c r="DJ118">
        <f>18.45689465</f>
        <v>18.456894649999999</v>
      </c>
      <c r="DK118">
        <f>65.18793706</f>
        <v>65.187937059999996</v>
      </c>
      <c r="DL118">
        <f>19.92745424</f>
        <v>19.927454239999999</v>
      </c>
      <c r="DM118">
        <f>13.26471594</f>
        <v>13.26471594</v>
      </c>
      <c r="DN118">
        <f>26.14227751</f>
        <v>26.14227751</v>
      </c>
      <c r="DO118">
        <f>-15.61865737</f>
        <v>-15.618657369999999</v>
      </c>
      <c r="DP118">
        <f>8.033067514</f>
        <v>8.0330675140000007</v>
      </c>
      <c r="DQ118">
        <f>7.484726485</f>
        <v>7.4847264850000004</v>
      </c>
      <c r="DR118">
        <f>-12.32698249</f>
        <v>-12.326982490000001</v>
      </c>
      <c r="DS118">
        <f>-20.84656738</f>
        <v>-20.84656738</v>
      </c>
      <c r="DT118">
        <f>-32.23884271</f>
        <v>-32.23884271</v>
      </c>
      <c r="DU118">
        <f>-39.57388686</f>
        <v>-39.573886860000002</v>
      </c>
    </row>
    <row r="119" spans="1:125">
      <c r="A119" t="str">
        <f>"    Sabra Health Care REIT Inc"</f>
        <v xml:space="preserve">    Sabra Health Care REIT Inc</v>
      </c>
      <c r="B119" t="str">
        <f>"SBRA US Equity"</f>
        <v>SBRA US Equity</v>
      </c>
      <c r="C119" t="str">
        <f t="shared" si="27"/>
        <v>RR033</v>
      </c>
      <c r="D119" t="str">
        <f t="shared" si="28"/>
        <v>SALES_GROWTH</v>
      </c>
      <c r="E119" t="str">
        <f t="shared" si="29"/>
        <v>动态</v>
      </c>
      <c r="F119" t="str">
        <f ca="1">IF(AND(ISNUMBER($F$366),$B$258=1),$F$366,HLOOKUP(INDIRECT(ADDRESS(2,COLUMN())),OFFSET($BN$2,0,0,ROW()-1,60),ROW()-1,FALSE))</f>
        <v/>
      </c>
      <c r="G119">
        <f ca="1">IF(AND(ISNUMBER($G$366),$B$258=1),$G$366,HLOOKUP(INDIRECT(ADDRESS(2,COLUMN())),OFFSET($BN$2,0,0,ROW()-1,60),ROW()-1,FALSE))</f>
        <v>169.41140300000001</v>
      </c>
      <c r="H119">
        <f ca="1">IF(AND(ISNUMBER($H$366),$B$258=1),$H$366,HLOOKUP(INDIRECT(ADDRESS(2,COLUMN())),OFFSET($BN$2,0,0,ROW()-1,60),ROW()-1,FALSE))</f>
        <v>80.517383370000005</v>
      </c>
      <c r="I119">
        <f ca="1">IF(AND(ISNUMBER($I$366),$B$258=1),$I$366,HLOOKUP(INDIRECT(ADDRESS(2,COLUMN())),OFFSET($BN$2,0,0,ROW()-1,60),ROW()-1,FALSE))</f>
        <v>-12.81229377</v>
      </c>
      <c r="J119">
        <f ca="1">IF(AND(ISNUMBER($J$366),$B$258=1),$J$366,HLOOKUP(INDIRECT(ADDRESS(2,COLUMN())),OFFSET($BN$2,0,0,ROW()-1,60),ROW()-1,FALSE))</f>
        <v>0.14546268300000001</v>
      </c>
      <c r="K119">
        <f ca="1">IF(AND(ISNUMBER($K$366),$B$258=1),$K$366,HLOOKUP(INDIRECT(ADDRESS(2,COLUMN())),OFFSET($BN$2,0,0,ROW()-1,60),ROW()-1,FALSE))</f>
        <v>-7.4597136519999996</v>
      </c>
      <c r="L119">
        <f ca="1">IF(AND(ISNUMBER($L$366),$B$258=1),$L$366,HLOOKUP(INDIRECT(ADDRESS(2,COLUMN())),OFFSET($BN$2,0,0,ROW()-1,60),ROW()-1,FALSE))</f>
        <v>3.325324524</v>
      </c>
      <c r="M119">
        <f ca="1">IF(AND(ISNUMBER($M$366),$B$258=1),$M$366,HLOOKUP(INDIRECT(ADDRESS(2,COLUMN())),OFFSET($BN$2,0,0,ROW()-1,60),ROW()-1,FALSE))</f>
        <v>31.214434669999999</v>
      </c>
      <c r="N119">
        <f ca="1">IF(AND(ISNUMBER($N$366),$B$258=1),$N$366,HLOOKUP(INDIRECT(ADDRESS(2,COLUMN())),OFFSET($BN$2,0,0,ROW()-1,60),ROW()-1,FALSE))</f>
        <v>12.572878429999999</v>
      </c>
      <c r="O119">
        <f ca="1">IF(AND(ISNUMBER($O$366),$B$258=1),$O$366,HLOOKUP(INDIRECT(ADDRESS(2,COLUMN())),OFFSET($BN$2,0,0,ROW()-1,60),ROW()-1,FALSE))</f>
        <v>19.85424781</v>
      </c>
      <c r="P119">
        <f ca="1">IF(AND(ISNUMBER($P$366),$B$258=1),$P$366,HLOOKUP(INDIRECT(ADDRESS(2,COLUMN())),OFFSET($BN$2,0,0,ROW()-1,60),ROW()-1,FALSE))</f>
        <v>36.263186609999998</v>
      </c>
      <c r="Q119">
        <f ca="1">IF(AND(ISNUMBER($Q$366),$B$258=1),$Q$366,HLOOKUP(INDIRECT(ADDRESS(2,COLUMN())),OFFSET($BN$2,0,0,ROW()-1,60),ROW()-1,FALSE))</f>
        <v>31.67803039</v>
      </c>
      <c r="R119">
        <f ca="1">IF(AND(ISNUMBER($R$366),$B$258=1),$R$366,HLOOKUP(INDIRECT(ADDRESS(2,COLUMN())),OFFSET($BN$2,0,0,ROW()-1,60),ROW()-1,FALSE))</f>
        <v>36.039167689999999</v>
      </c>
      <c r="S119">
        <f ca="1">IF(AND(ISNUMBER($S$366),$B$258=1),$S$366,HLOOKUP(INDIRECT(ADDRESS(2,COLUMN())),OFFSET($BN$2,0,0,ROW()-1,60),ROW()-1,FALSE))</f>
        <v>48.33719413</v>
      </c>
      <c r="T119">
        <f ca="1">IF(AND(ISNUMBER($T$366),$B$258=1),$T$366,HLOOKUP(INDIRECT(ADDRESS(2,COLUMN())),OFFSET($BN$2,0,0,ROW()-1,60),ROW()-1,FALSE))</f>
        <v>33.584401380000003</v>
      </c>
      <c r="U119">
        <f ca="1">IF(AND(ISNUMBER($U$366),$B$258=1),$U$366,HLOOKUP(INDIRECT(ADDRESS(2,COLUMN())),OFFSET($BN$2,0,0,ROW()-1,60),ROW()-1,FALSE))</f>
        <v>33.146398140000002</v>
      </c>
      <c r="V119">
        <f ca="1">IF(AND(ISNUMBER($V$366),$B$258=1),$V$366,HLOOKUP(INDIRECT(ADDRESS(2,COLUMN())),OFFSET($BN$2,0,0,ROW()-1,60),ROW()-1,FALSE))</f>
        <v>27.568546619999999</v>
      </c>
      <c r="W119">
        <f ca="1">IF(AND(ISNUMBER($W$366),$B$258=1),$W$366,HLOOKUP(INDIRECT(ADDRESS(2,COLUMN())),OFFSET($BN$2,0,0,ROW()-1,60),ROW()-1,FALSE))</f>
        <v>32.766544119999999</v>
      </c>
      <c r="X119">
        <f ca="1">IF(AND(ISNUMBER($X$366),$B$258=1),$X$366,HLOOKUP(INDIRECT(ADDRESS(2,COLUMN())),OFFSET($BN$2,0,0,ROW()-1,60),ROW()-1,FALSE))</f>
        <v>26.453644669999999</v>
      </c>
      <c r="Y119">
        <f ca="1">IF(AND(ISNUMBER($Y$366),$B$258=1),$Y$366,HLOOKUP(INDIRECT(ADDRESS(2,COLUMN())),OFFSET($BN$2,0,0,ROW()-1,60),ROW()-1,FALSE))</f>
        <v>28.498626430000002</v>
      </c>
      <c r="Z119">
        <f ca="1">IF(AND(ISNUMBER($Z$366),$B$258=1),$Z$366,HLOOKUP(INDIRECT(ADDRESS(2,COLUMN())),OFFSET($BN$2,0,0,ROW()-1,60),ROW()-1,FALSE))</f>
        <v>34.960171959999997</v>
      </c>
      <c r="AA119">
        <f ca="1">IF(AND(ISNUMBER($AA$366),$B$258=1),$AA$366,HLOOKUP(INDIRECT(ADDRESS(2,COLUMN())),OFFSET($BN$2,0,0,ROW()-1,60),ROW()-1,FALSE))</f>
        <v>7.3589130520000001</v>
      </c>
      <c r="AB119">
        <f ca="1">IF(AND(ISNUMBER($AB$366),$B$258=1),$AB$366,HLOOKUP(INDIRECT(ADDRESS(2,COLUMN())),OFFSET($BN$2,0,0,ROW()-1,60),ROW()-1,FALSE))</f>
        <v>21.276199349999999</v>
      </c>
      <c r="AC119">
        <f ca="1">IF(AND(ISNUMBER($AC$366),$B$258=1),$AC$366,HLOOKUP(INDIRECT(ADDRESS(2,COLUMN())),OFFSET($BN$2,0,0,ROW()-1,60),ROW()-1,FALSE))</f>
        <v>33.565541080000003</v>
      </c>
      <c r="AD119">
        <f ca="1">IF(AND(ISNUMBER($AD$366),$B$258=1),$AD$366,HLOOKUP(INDIRECT(ADDRESS(2,COLUMN())),OFFSET($BN$2,0,0,ROW()-1,60),ROW()-1,FALSE))</f>
        <v>34.804840630000001</v>
      </c>
      <c r="AE119" t="str">
        <f ca="1">IF(AND(ISNUMBER($AE$366),$B$258=1),$AE$366,HLOOKUP(INDIRECT(ADDRESS(2,COLUMN())),OFFSET($BN$2,0,0,ROW()-1,60),ROW()-1,FALSE))</f>
        <v/>
      </c>
      <c r="AF119">
        <f ca="1">IF(AND(ISNUMBER($AF$366),$B$258=1),$AF$366,HLOOKUP(INDIRECT(ADDRESS(2,COLUMN())),OFFSET($BN$2,0,0,ROW()-1,60),ROW()-1,FALSE))</f>
        <v>-95.48946737</v>
      </c>
      <c r="AG119">
        <f ca="1">IF(AND(ISNUMBER($AG$366),$B$258=1),$AG$366,HLOOKUP(INDIRECT(ADDRESS(2,COLUMN())),OFFSET($BN$2,0,0,ROW()-1,60),ROW()-1,FALSE))</f>
        <v>-96.03786624</v>
      </c>
      <c r="AH119">
        <f ca="1">IF(AND(ISNUMBER($AH$366),$B$258=1),$AH$366,HLOOKUP(INDIRECT(ADDRESS(2,COLUMN())),OFFSET($BN$2,0,0,ROW()-1,60),ROW()-1,FALSE))</f>
        <v>-96.28086338</v>
      </c>
      <c r="AI119" t="str">
        <f ca="1">IF(AND(ISNUMBER($AI$366),$B$258=1),$AI$366,HLOOKUP(INDIRECT(ADDRESS(2,COLUMN())),OFFSET($BN$2,0,0,ROW()-1,60),ROW()-1,FALSE))</f>
        <v/>
      </c>
      <c r="AJ119">
        <f ca="1">IF(AND(ISNUMBER($AJ$366),$B$258=1),$AJ$366,HLOOKUP(INDIRECT(ADDRESS(2,COLUMN())),OFFSET($BN$2,0,0,ROW()-1,60),ROW()-1,FALSE))</f>
        <v>1.0838980410000001</v>
      </c>
      <c r="AK119">
        <f ca="1">IF(AND(ISNUMBER($AK$366),$B$258=1),$AK$366,HLOOKUP(INDIRECT(ADDRESS(2,COLUMN())),OFFSET($BN$2,0,0,ROW()-1,60),ROW()-1,FALSE))</f>
        <v>1.2229037460000001</v>
      </c>
      <c r="AL119">
        <f ca="1">IF(AND(ISNUMBER($AL$366),$B$258=1),$AL$366,HLOOKUP(INDIRECT(ADDRESS(2,COLUMN())),OFFSET($BN$2,0,0,ROW()-1,60),ROW()-1,FALSE))</f>
        <v>1.0589456239999999</v>
      </c>
      <c r="AM119">
        <f ca="1">IF(AND(ISNUMBER($AM$366),$B$258=1),$AM$366,HLOOKUP(INDIRECT(ADDRESS(2,COLUMN())),OFFSET($BN$2,0,0,ROW()-1,60),ROW()-1,FALSE))</f>
        <v>1.519590207</v>
      </c>
      <c r="AN119">
        <f ca="1">IF(AND(ISNUMBER($AN$366),$B$258=1),$AN$366,HLOOKUP(INDIRECT(ADDRESS(2,COLUMN())),OFFSET($BN$2,0,0,ROW()-1,60),ROW()-1,FALSE))</f>
        <v>3.1027627309999999</v>
      </c>
      <c r="AO119">
        <f ca="1">IF(AND(ISNUMBER($AO$366),$B$258=1),$AO$366,HLOOKUP(INDIRECT(ADDRESS(2,COLUMN())),OFFSET($BN$2,0,0,ROW()-1,60),ROW()-1,FALSE))</f>
        <v>3.234755346</v>
      </c>
      <c r="AP119">
        <f ca="1">IF(AND(ISNUMBER($AP$366),$B$258=1),$AP$366,HLOOKUP(INDIRECT(ADDRESS(2,COLUMN())),OFFSET($BN$2,0,0,ROW()-1,60),ROW()-1,FALSE))</f>
        <v>2.194037212</v>
      </c>
      <c r="AQ119">
        <f ca="1">IF(AND(ISNUMBER($AQ$366),$B$258=1),$AQ$366,HLOOKUP(INDIRECT(ADDRESS(2,COLUMN())),OFFSET($BN$2,0,0,ROW()-1,60),ROW()-1,FALSE))</f>
        <v>3.6442207170000001</v>
      </c>
      <c r="AR119">
        <f ca="1">IF(AND(ISNUMBER($AR$366),$B$258=1),$AR$366,HLOOKUP(INDIRECT(ADDRESS(2,COLUMN())),OFFSET($BN$2,0,0,ROW()-1,60),ROW()-1,FALSE))</f>
        <v>3.9019951320000001</v>
      </c>
      <c r="AS119">
        <f ca="1">IF(AND(ISNUMBER($AS$366),$B$258=1),$AS$366,HLOOKUP(INDIRECT(ADDRESS(2,COLUMN())),OFFSET($BN$2,0,0,ROW()-1,60),ROW()-1,FALSE))</f>
        <v>1.685155542</v>
      </c>
      <c r="AT119">
        <f ca="1">IF(AND(ISNUMBER($AT$366),$B$258=1),$AT$366,HLOOKUP(INDIRECT(ADDRESS(2,COLUMN())),OFFSET($BN$2,0,0,ROW()-1,60),ROW()-1,FALSE))</f>
        <v>67.505090120000006</v>
      </c>
      <c r="AU119">
        <f ca="1">IF(AND(ISNUMBER($AU$366),$B$258=1),$AU$366,HLOOKUP(INDIRECT(ADDRESS(2,COLUMN())),OFFSET($BN$2,0,0,ROW()-1,60),ROW()-1,FALSE))</f>
        <v>67.924816629999995</v>
      </c>
      <c r="AV119" t="str">
        <f ca="1">IF(AND(ISNUMBER($AV$366),$B$258=1),$AV$366,HLOOKUP(INDIRECT(ADDRESS(2,COLUMN())),OFFSET($BN$2,0,0,ROW()-1,60),ROW()-1,FALSE))</f>
        <v/>
      </c>
      <c r="AW119" t="str">
        <f ca="1">IF(AND(ISNUMBER($AW$366),$B$258=1),$AW$366,HLOOKUP(INDIRECT(ADDRESS(2,COLUMN())),OFFSET($BN$2,0,0,ROW()-1,60),ROW()-1,FALSE))</f>
        <v/>
      </c>
      <c r="AX119" t="str">
        <f ca="1">IF(AND(ISNUMBER($AX$366),$B$258=1),$AX$366,HLOOKUP(INDIRECT(ADDRESS(2,COLUMN())),OFFSET($BN$2,0,0,ROW()-1,60),ROW()-1,FALSE))</f>
        <v/>
      </c>
      <c r="AY119" t="str">
        <f ca="1">IF(AND(ISNUMBER($AY$366),$B$258=1),$AY$366,HLOOKUP(INDIRECT(ADDRESS(2,COLUMN())),OFFSET($BN$2,0,0,ROW()-1,60),ROW()-1,FALSE))</f>
        <v/>
      </c>
      <c r="AZ119" t="str">
        <f ca="1">IF(AND(ISNUMBER($AZ$366),$B$258=1),$AZ$366,HLOOKUP(INDIRECT(ADDRESS(2,COLUMN())),OFFSET($BN$2,0,0,ROW()-1,60),ROW()-1,FALSE))</f>
        <v/>
      </c>
      <c r="BA119" t="str">
        <f ca="1">IF(AND(ISNUMBER($BA$366),$B$258=1),$BA$366,HLOOKUP(INDIRECT(ADDRESS(2,COLUMN())),OFFSET($BN$2,0,0,ROW()-1,60),ROW()-1,FALSE))</f>
        <v/>
      </c>
      <c r="BB119" t="str">
        <f ca="1">IF(AND(ISNUMBER($BB$366),$B$258=1),$BB$366,HLOOKUP(INDIRECT(ADDRESS(2,COLUMN())),OFFSET($BN$2,0,0,ROW()-1,60),ROW()-1,FALSE))</f>
        <v/>
      </c>
      <c r="BC119" t="str">
        <f ca="1">IF(AND(ISNUMBER($BC$366),$B$258=1),$BC$366,HLOOKUP(INDIRECT(ADDRESS(2,COLUMN())),OFFSET($BN$2,0,0,ROW()-1,60),ROW()-1,FALSE))</f>
        <v/>
      </c>
      <c r="BD119" t="str">
        <f ca="1">IF(AND(ISNUMBER($BD$366),$B$258=1),$BD$366,HLOOKUP(INDIRECT(ADDRESS(2,COLUMN())),OFFSET($BN$2,0,0,ROW()-1,60),ROW()-1,FALSE))</f>
        <v/>
      </c>
      <c r="BE119" t="str">
        <f ca="1">IF(AND(ISNUMBER($BE$366),$B$258=1),$BE$366,HLOOKUP(INDIRECT(ADDRESS(2,COLUMN())),OFFSET($BN$2,0,0,ROW()-1,60),ROW()-1,FALSE))</f>
        <v/>
      </c>
      <c r="BF119" t="str">
        <f ca="1">IF(AND(ISNUMBER($BF$366),$B$258=1),$BF$366,HLOOKUP(INDIRECT(ADDRESS(2,COLUMN())),OFFSET($BN$2,0,0,ROW()-1,60),ROW()-1,FALSE))</f>
        <v/>
      </c>
      <c r="BG119" t="str">
        <f ca="1">IF(AND(ISNUMBER($BG$366),$B$258=1),$BG$366,HLOOKUP(INDIRECT(ADDRESS(2,COLUMN())),OFFSET($BN$2,0,0,ROW()-1,60),ROW()-1,FALSE))</f>
        <v/>
      </c>
      <c r="BH119" t="str">
        <f ca="1">IF(AND(ISNUMBER($BH$366),$B$258=1),$BH$366,HLOOKUP(INDIRECT(ADDRESS(2,COLUMN())),OFFSET($BN$2,0,0,ROW()-1,60),ROW()-1,FALSE))</f>
        <v/>
      </c>
      <c r="BI119" t="str">
        <f ca="1">IF(AND(ISNUMBER($BI$366),$B$258=1),$BI$366,HLOOKUP(INDIRECT(ADDRESS(2,COLUMN())),OFFSET($BN$2,0,0,ROW()-1,60),ROW()-1,FALSE))</f>
        <v/>
      </c>
      <c r="BJ119" t="str">
        <f ca="1">IF(AND(ISNUMBER($BJ$366),$B$258=1),$BJ$366,HLOOKUP(INDIRECT(ADDRESS(2,COLUMN())),OFFSET($BN$2,0,0,ROW()-1,60),ROW()-1,FALSE))</f>
        <v/>
      </c>
      <c r="BK119" t="str">
        <f ca="1">IF(AND(ISNUMBER($BK$366),$B$258=1),$BK$366,HLOOKUP(INDIRECT(ADDRESS(2,COLUMN())),OFFSET($BN$2,0,0,ROW()-1,60),ROW()-1,FALSE))</f>
        <v/>
      </c>
      <c r="BL119" t="str">
        <f ca="1">IF(AND(ISNUMBER($BL$366),$B$258=1),$BL$366,HLOOKUP(INDIRECT(ADDRESS(2,COLUMN())),OFFSET($BN$2,0,0,ROW()-1,60),ROW()-1,FALSE))</f>
        <v/>
      </c>
      <c r="BM119" t="str">
        <f ca="1">IF(AND(ISNUMBER($BM$366),$B$258=1),$BM$366,HLOOKUP(INDIRECT(ADDRESS(2,COLUMN())),OFFSET($BN$2,0,0,ROW()-1,60),ROW()-1,FALSE))</f>
        <v/>
      </c>
      <c r="BN119" t="str">
        <f>""</f>
        <v/>
      </c>
      <c r="BO119">
        <f>169.411403</f>
        <v>169.41140300000001</v>
      </c>
      <c r="BP119">
        <f>80.51738337</f>
        <v>80.517383370000005</v>
      </c>
      <c r="BQ119">
        <f>-12.81229377</f>
        <v>-12.81229377</v>
      </c>
      <c r="BR119">
        <f>0.145462683</f>
        <v>0.14546268300000001</v>
      </c>
      <c r="BS119">
        <f>-7.459713652</f>
        <v>-7.4597136519999996</v>
      </c>
      <c r="BT119">
        <f>3.325324524</f>
        <v>3.325324524</v>
      </c>
      <c r="BU119">
        <f>31.21443467</f>
        <v>31.214434669999999</v>
      </c>
      <c r="BV119">
        <f>12.57287843</f>
        <v>12.572878429999999</v>
      </c>
      <c r="BW119">
        <f>19.85424781</f>
        <v>19.85424781</v>
      </c>
      <c r="BX119">
        <f>36.26318661</f>
        <v>36.263186609999998</v>
      </c>
      <c r="BY119">
        <f>31.67803039</f>
        <v>31.67803039</v>
      </c>
      <c r="BZ119">
        <f>36.03916769</f>
        <v>36.039167689999999</v>
      </c>
      <c r="CA119">
        <f>48.33719413</f>
        <v>48.33719413</v>
      </c>
      <c r="CB119">
        <f>33.58440138</f>
        <v>33.584401380000003</v>
      </c>
      <c r="CC119">
        <f>33.14639814</f>
        <v>33.146398140000002</v>
      </c>
      <c r="CD119">
        <f>27.56854662</f>
        <v>27.568546619999999</v>
      </c>
      <c r="CE119">
        <f>32.76654412</f>
        <v>32.766544119999999</v>
      </c>
      <c r="CF119">
        <f>26.45364467</f>
        <v>26.453644669999999</v>
      </c>
      <c r="CG119">
        <f>28.49862643</f>
        <v>28.498626430000002</v>
      </c>
      <c r="CH119">
        <f>34.96017196</f>
        <v>34.960171959999997</v>
      </c>
      <c r="CI119">
        <f>7.358913052</f>
        <v>7.3589130520000001</v>
      </c>
      <c r="CJ119">
        <f>21.27619935</f>
        <v>21.276199349999999</v>
      </c>
      <c r="CK119">
        <f>33.56554108</f>
        <v>33.565541080000003</v>
      </c>
      <c r="CL119">
        <f>34.80484063</f>
        <v>34.804840630000001</v>
      </c>
      <c r="CM119" t="str">
        <f>""</f>
        <v/>
      </c>
      <c r="CN119">
        <f>-95.48946737</f>
        <v>-95.48946737</v>
      </c>
      <c r="CO119">
        <f>-96.03786624</f>
        <v>-96.03786624</v>
      </c>
      <c r="CP119">
        <f>-96.28086338</f>
        <v>-96.28086338</v>
      </c>
      <c r="CQ119" t="str">
        <f>""</f>
        <v/>
      </c>
      <c r="CR119">
        <f>1.083898041</f>
        <v>1.0838980410000001</v>
      </c>
      <c r="CS119">
        <f>1.222903746</f>
        <v>1.2229037460000001</v>
      </c>
      <c r="CT119">
        <f>1.058945624</f>
        <v>1.0589456239999999</v>
      </c>
      <c r="CU119">
        <f>1.519590207</f>
        <v>1.519590207</v>
      </c>
      <c r="CV119">
        <f>3.102762731</f>
        <v>3.1027627309999999</v>
      </c>
      <c r="CW119">
        <f>3.234755346</f>
        <v>3.234755346</v>
      </c>
      <c r="CX119">
        <f>2.194037212</f>
        <v>2.194037212</v>
      </c>
      <c r="CY119">
        <f>3.644220717</f>
        <v>3.6442207170000001</v>
      </c>
      <c r="CZ119">
        <f>3.901995132</f>
        <v>3.9019951320000001</v>
      </c>
      <c r="DA119">
        <f>1.685155542</f>
        <v>1.685155542</v>
      </c>
      <c r="DB119">
        <f>67.50509012</f>
        <v>67.505090120000006</v>
      </c>
      <c r="DC119">
        <f>67.92481663</f>
        <v>67.924816629999995</v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>
      <c r="A120" t="str">
        <f>"    Senior Housing Properties Trus"</f>
        <v xml:space="preserve">    Senior Housing Properties Trus</v>
      </c>
      <c r="B120" t="str">
        <f>"SNH US Equity"</f>
        <v>SNH US Equity</v>
      </c>
      <c r="C120" t="str">
        <f t="shared" si="27"/>
        <v>RR033</v>
      </c>
      <c r="D120" t="str">
        <f t="shared" si="28"/>
        <v>SALES_GROWTH</v>
      </c>
      <c r="E120" t="str">
        <f t="shared" si="29"/>
        <v>动态</v>
      </c>
      <c r="F120" t="str">
        <f ca="1">IF(AND(ISNUMBER($F$367),$B$258=1),$F$367,HLOOKUP(INDIRECT(ADDRESS(2,COLUMN())),OFFSET($BN$2,0,0,ROW()-1,60),ROW()-1,FALSE))</f>
        <v/>
      </c>
      <c r="G120">
        <f ca="1">IF(AND(ISNUMBER($G$367),$B$258=1),$G$367,HLOOKUP(INDIRECT(ADDRESS(2,COLUMN())),OFFSET($BN$2,0,0,ROW()-1,60),ROW()-1,FALSE))</f>
        <v>1.5567124569999999</v>
      </c>
      <c r="H120">
        <f ca="1">IF(AND(ISNUMBER($H$367),$B$258=1),$H$367,HLOOKUP(INDIRECT(ADDRESS(2,COLUMN())),OFFSET($BN$2,0,0,ROW()-1,60),ROW()-1,FALSE))</f>
        <v>1.0212778849999999</v>
      </c>
      <c r="I120">
        <f ca="1">IF(AND(ISNUMBER($I$367),$B$258=1),$I$367,HLOOKUP(INDIRECT(ADDRESS(2,COLUMN())),OFFSET($BN$2,0,0,ROW()-1,60),ROW()-1,FALSE))</f>
        <v>1.3949733520000001</v>
      </c>
      <c r="J120">
        <f ca="1">IF(AND(ISNUMBER($J$367),$B$258=1),$J$367,HLOOKUP(INDIRECT(ADDRESS(2,COLUMN())),OFFSET($BN$2,0,0,ROW()-1,60),ROW()-1,FALSE))</f>
        <v>2.3941944849999999</v>
      </c>
      <c r="K120">
        <f ca="1">IF(AND(ISNUMBER($K$367),$B$258=1),$K$367,HLOOKUP(INDIRECT(ADDRESS(2,COLUMN())),OFFSET($BN$2,0,0,ROW()-1,60),ROW()-1,FALSE))</f>
        <v>2.5332780100000001</v>
      </c>
      <c r="L120">
        <f ca="1">IF(AND(ISNUMBER($L$367),$B$258=1),$L$367,HLOOKUP(INDIRECT(ADDRESS(2,COLUMN())),OFFSET($BN$2,0,0,ROW()-1,60),ROW()-1,FALSE))</f>
        <v>3.4112231909999999</v>
      </c>
      <c r="M120">
        <f ca="1">IF(AND(ISNUMBER($M$367),$B$258=1),$M$367,HLOOKUP(INDIRECT(ADDRESS(2,COLUMN())),OFFSET($BN$2,0,0,ROW()-1,60),ROW()-1,FALSE))</f>
        <v>5.6446592989999997</v>
      </c>
      <c r="N120">
        <f ca="1">IF(AND(ISNUMBER($N$367),$B$258=1),$N$367,HLOOKUP(INDIRECT(ADDRESS(2,COLUMN())),OFFSET($BN$2,0,0,ROW()-1,60),ROW()-1,FALSE))</f>
        <v>13.036307239999999</v>
      </c>
      <c r="O120">
        <f ca="1">IF(AND(ISNUMBER($O$367),$B$258=1),$O$367,HLOOKUP(INDIRECT(ADDRESS(2,COLUMN())),OFFSET($BN$2,0,0,ROW()-1,60),ROW()-1,FALSE))</f>
        <v>16.409279009999999</v>
      </c>
      <c r="P120">
        <f ca="1">IF(AND(ISNUMBER($P$367),$B$258=1),$P$367,HLOOKUP(INDIRECT(ADDRESS(2,COLUMN())),OFFSET($BN$2,0,0,ROW()-1,60),ROW()-1,FALSE))</f>
        <v>17.707137360000001</v>
      </c>
      <c r="Q120">
        <f ca="1">IF(AND(ISNUMBER($Q$367),$B$258=1),$Q$367,HLOOKUP(INDIRECT(ADDRESS(2,COLUMN())),OFFSET($BN$2,0,0,ROW()-1,60),ROW()-1,FALSE))</f>
        <v>19.686707819999999</v>
      </c>
      <c r="R120">
        <f ca="1">IF(AND(ISNUMBER($R$367),$B$258=1),$R$367,HLOOKUP(INDIRECT(ADDRESS(2,COLUMN())),OFFSET($BN$2,0,0,ROW()-1,60),ROW()-1,FALSE))</f>
        <v>19.36322762</v>
      </c>
      <c r="S120">
        <f ca="1">IF(AND(ISNUMBER($S$367),$B$258=1),$S$367,HLOOKUP(INDIRECT(ADDRESS(2,COLUMN())),OFFSET($BN$2,0,0,ROW()-1,60),ROW()-1,FALSE))</f>
        <v>14.7117842</v>
      </c>
      <c r="T120">
        <f ca="1">IF(AND(ISNUMBER($T$367),$B$258=1),$T$367,HLOOKUP(INDIRECT(ADDRESS(2,COLUMN())),OFFSET($BN$2,0,0,ROW()-1,60),ROW()-1,FALSE))</f>
        <v>15.810749469999999</v>
      </c>
      <c r="U120">
        <f ca="1">IF(AND(ISNUMBER($U$367),$B$258=1),$U$367,HLOOKUP(INDIRECT(ADDRESS(2,COLUMN())),OFFSET($BN$2,0,0,ROW()-1,60),ROW()-1,FALSE))</f>
        <v>10.581614310000001</v>
      </c>
      <c r="V120">
        <f ca="1">IF(AND(ISNUMBER($V$367),$B$258=1),$V$367,HLOOKUP(INDIRECT(ADDRESS(2,COLUMN())),OFFSET($BN$2,0,0,ROW()-1,60),ROW()-1,FALSE))</f>
        <v>2.4552186100000002</v>
      </c>
      <c r="W120">
        <f ca="1">IF(AND(ISNUMBER($W$367),$B$258=1),$W$367,HLOOKUP(INDIRECT(ADDRESS(2,COLUMN())),OFFSET($BN$2,0,0,ROW()-1,60),ROW()-1,FALSE))</f>
        <v>3.178756103</v>
      </c>
      <c r="X120">
        <f ca="1">IF(AND(ISNUMBER($X$367),$B$258=1),$X$367,HLOOKUP(INDIRECT(ADDRESS(2,COLUMN())),OFFSET($BN$2,0,0,ROW()-1,60),ROW()-1,FALSE))</f>
        <v>19.958618390000002</v>
      </c>
      <c r="Y120">
        <f ca="1">IF(AND(ISNUMBER($Y$367),$B$258=1),$Y$367,HLOOKUP(INDIRECT(ADDRESS(2,COLUMN())),OFFSET($BN$2,0,0,ROW()-1,60),ROW()-1,FALSE))</f>
        <v>29.4577992</v>
      </c>
      <c r="Z120">
        <f ca="1">IF(AND(ISNUMBER($Z$367),$B$258=1),$Z$367,HLOOKUP(INDIRECT(ADDRESS(2,COLUMN())),OFFSET($BN$2,0,0,ROW()-1,60),ROW()-1,FALSE))</f>
        <v>28.8372061</v>
      </c>
      <c r="AA120">
        <f ca="1">IF(AND(ISNUMBER($AA$367),$B$258=1),$AA$367,HLOOKUP(INDIRECT(ADDRESS(2,COLUMN())),OFFSET($BN$2,0,0,ROW()-1,60),ROW()-1,FALSE))</f>
        <v>42.137434759999998</v>
      </c>
      <c r="AB120">
        <f ca="1">IF(AND(ISNUMBER($AB$367),$B$258=1),$AB$367,HLOOKUP(INDIRECT(ADDRESS(2,COLUMN())),OFFSET($BN$2,0,0,ROW()-1,60),ROW()-1,FALSE))</f>
        <v>37.298153030000002</v>
      </c>
      <c r="AC120">
        <f ca="1">IF(AND(ISNUMBER($AC$367),$B$258=1),$AC$367,HLOOKUP(INDIRECT(ADDRESS(2,COLUMN())),OFFSET($BN$2,0,0,ROW()-1,60),ROW()-1,FALSE))</f>
        <v>42.734425969999997</v>
      </c>
      <c r="AD120">
        <f ca="1">IF(AND(ISNUMBER($AD$367),$B$258=1),$AD$367,HLOOKUP(INDIRECT(ADDRESS(2,COLUMN())),OFFSET($BN$2,0,0,ROW()-1,60),ROW()-1,FALSE))</f>
        <v>47.204521470000003</v>
      </c>
      <c r="AE120">
        <f ca="1">IF(AND(ISNUMBER($AE$367),$B$258=1),$AE$367,HLOOKUP(INDIRECT(ADDRESS(2,COLUMN())),OFFSET($BN$2,0,0,ROW()-1,60),ROW()-1,FALSE))</f>
        <v>40.302784430000003</v>
      </c>
      <c r="AF120">
        <f ca="1">IF(AND(ISNUMBER($AF$367),$B$258=1),$AF$367,HLOOKUP(INDIRECT(ADDRESS(2,COLUMN())),OFFSET($BN$2,0,0,ROW()-1,60),ROW()-1,FALSE))</f>
        <v>40.437988660000002</v>
      </c>
      <c r="AG120">
        <f ca="1">IF(AND(ISNUMBER($AG$367),$B$258=1),$AG$367,HLOOKUP(INDIRECT(ADDRESS(2,COLUMN())),OFFSET($BN$2,0,0,ROW()-1,60),ROW()-1,FALSE))</f>
        <v>25.25475144</v>
      </c>
      <c r="AH120">
        <f ca="1">IF(AND(ISNUMBER($AH$367),$B$258=1),$AH$367,HLOOKUP(INDIRECT(ADDRESS(2,COLUMN())),OFFSET($BN$2,0,0,ROW()-1,60),ROW()-1,FALSE))</f>
        <v>22.505500519999998</v>
      </c>
      <c r="AI120">
        <f ca="1">IF(AND(ISNUMBER($AI$367),$B$258=1),$AI$367,HLOOKUP(INDIRECT(ADDRESS(2,COLUMN())),OFFSET($BN$2,0,0,ROW()-1,60),ROW()-1,FALSE))</f>
        <v>11.921785910000001</v>
      </c>
      <c r="AJ120">
        <f ca="1">IF(AND(ISNUMBER($AJ$367),$B$258=1),$AJ$367,HLOOKUP(INDIRECT(ADDRESS(2,COLUMN())),OFFSET($BN$2,0,0,ROW()-1,60),ROW()-1,FALSE))</f>
        <v>12.430218030000001</v>
      </c>
      <c r="AK120">
        <f ca="1">IF(AND(ISNUMBER($AK$367),$B$258=1),$AK$367,HLOOKUP(INDIRECT(ADDRESS(2,COLUMN())),OFFSET($BN$2,0,0,ROW()-1,60),ROW()-1,FALSE))</f>
        <v>16.377757599999999</v>
      </c>
      <c r="AL120">
        <f ca="1">IF(AND(ISNUMBER($AL$367),$B$258=1),$AL$367,HLOOKUP(INDIRECT(ADDRESS(2,COLUMN())),OFFSET($BN$2,0,0,ROW()-1,60),ROW()-1,FALSE))</f>
        <v>17.652134490000002</v>
      </c>
      <c r="AM120">
        <f ca="1">IF(AND(ISNUMBER($AM$367),$B$258=1),$AM$367,HLOOKUP(INDIRECT(ADDRESS(2,COLUMN())),OFFSET($BN$2,0,0,ROW()-1,60),ROW()-1,FALSE))</f>
        <v>19.296224680000002</v>
      </c>
      <c r="AN120">
        <f ca="1">IF(AND(ISNUMBER($AN$367),$B$258=1),$AN$367,HLOOKUP(INDIRECT(ADDRESS(2,COLUMN())),OFFSET($BN$2,0,0,ROW()-1,60),ROW()-1,FALSE))</f>
        <v>20.674341829999999</v>
      </c>
      <c r="AO120">
        <f ca="1">IF(AND(ISNUMBER($AO$367),$B$258=1),$AO$367,HLOOKUP(INDIRECT(ADDRESS(2,COLUMN())),OFFSET($BN$2,0,0,ROW()-1,60),ROW()-1,FALSE))</f>
        <v>29.985015919999999</v>
      </c>
      <c r="AP120">
        <f ca="1">IF(AND(ISNUMBER($AP$367),$B$258=1),$AP$367,HLOOKUP(INDIRECT(ADDRESS(2,COLUMN())),OFFSET($BN$2,0,0,ROW()-1,60),ROW()-1,FALSE))</f>
        <v>37.987609229999997</v>
      </c>
      <c r="AQ120">
        <f ca="1">IF(AND(ISNUMBER($AQ$367),$B$258=1),$AQ$367,HLOOKUP(INDIRECT(ADDRESS(2,COLUMN())),OFFSET($BN$2,0,0,ROW()-1,60),ROW()-1,FALSE))</f>
        <v>37.369075430000002</v>
      </c>
      <c r="AR120">
        <f ca="1">IF(AND(ISNUMBER($AR$367),$B$258=1),$AR$367,HLOOKUP(INDIRECT(ADDRESS(2,COLUMN())),OFFSET($BN$2,0,0,ROW()-1,60),ROW()-1,FALSE))</f>
        <v>31.94984964</v>
      </c>
      <c r="AS120">
        <f ca="1">IF(AND(ISNUMBER($AS$367),$B$258=1),$AS$367,HLOOKUP(INDIRECT(ADDRESS(2,COLUMN())),OFFSET($BN$2,0,0,ROW()-1,60),ROW()-1,FALSE))</f>
        <v>18.74471776</v>
      </c>
      <c r="AT120">
        <f ca="1">IF(AND(ISNUMBER($AT$367),$B$258=1),$AT$367,HLOOKUP(INDIRECT(ADDRESS(2,COLUMN())),OFFSET($BN$2,0,0,ROW()-1,60),ROW()-1,FALSE))</f>
        <v>10.72801216</v>
      </c>
      <c r="AU120">
        <f ca="1">IF(AND(ISNUMBER($AU$367),$B$258=1),$AU$367,HLOOKUP(INDIRECT(ADDRESS(2,COLUMN())),OFFSET($BN$2,0,0,ROW()-1,60),ROW()-1,FALSE))</f>
        <v>-3.5607877330000002</v>
      </c>
      <c r="AV120">
        <f ca="1">IF(AND(ISNUMBER($AV$367),$B$258=1),$AV$367,HLOOKUP(INDIRECT(ADDRESS(2,COLUMN())),OFFSET($BN$2,0,0,ROW()-1,60),ROW()-1,FALSE))</f>
        <v>6.869579602</v>
      </c>
      <c r="AW120">
        <f ca="1">IF(AND(ISNUMBER($AW$367),$B$258=1),$AW$367,HLOOKUP(INDIRECT(ADDRESS(2,COLUMN())),OFFSET($BN$2,0,0,ROW()-1,60),ROW()-1,FALSE))</f>
        <v>8.9301288880000005</v>
      </c>
      <c r="AX120">
        <f ca="1">IF(AND(ISNUMBER($AX$367),$B$258=1),$AX$367,HLOOKUP(INDIRECT(ADDRESS(2,COLUMN())),OFFSET($BN$2,0,0,ROW()-1,60),ROW()-1,FALSE))</f>
        <v>8.7031504290000008</v>
      </c>
      <c r="AY120">
        <f ca="1">IF(AND(ISNUMBER($AY$367),$B$258=1),$AY$367,HLOOKUP(INDIRECT(ADDRESS(2,COLUMN())),OFFSET($BN$2,0,0,ROW()-1,60),ROW()-1,FALSE))</f>
        <v>24.785200970000002</v>
      </c>
      <c r="AZ120">
        <f ca="1">IF(AND(ISNUMBER($AZ$367),$B$258=1),$AZ$367,HLOOKUP(INDIRECT(ADDRESS(2,COLUMN())),OFFSET($BN$2,0,0,ROW()-1,60),ROW()-1,FALSE))</f>
        <v>5.1510797769999996</v>
      </c>
      <c r="BA120">
        <f ca="1">IF(AND(ISNUMBER($BA$367),$B$258=1),$BA$367,HLOOKUP(INDIRECT(ADDRESS(2,COLUMN())),OFFSET($BN$2,0,0,ROW()-1,60),ROW()-1,FALSE))</f>
        <v>4.2191654520000004</v>
      </c>
      <c r="BB120">
        <f ca="1">IF(AND(ISNUMBER($BB$367),$B$258=1),$BB$367,HLOOKUP(INDIRECT(ADDRESS(2,COLUMN())),OFFSET($BN$2,0,0,ROW()-1,60),ROW()-1,FALSE))</f>
        <v>4.9506685470000003</v>
      </c>
      <c r="BC120">
        <f ca="1">IF(AND(ISNUMBER($BC$367),$B$258=1),$BC$367,HLOOKUP(INDIRECT(ADDRESS(2,COLUMN())),OFFSET($BN$2,0,0,ROW()-1,60),ROW()-1,FALSE))</f>
        <v>8.3010066289999997</v>
      </c>
      <c r="BD120">
        <f ca="1">IF(AND(ISNUMBER($BD$367),$B$258=1),$BD$367,HLOOKUP(INDIRECT(ADDRESS(2,COLUMN())),OFFSET($BN$2,0,0,ROW()-1,60),ROW()-1,FALSE))</f>
        <v>12.589525699999999</v>
      </c>
      <c r="BE120">
        <f ca="1">IF(AND(ISNUMBER($BE$367),$B$258=1),$BE$367,HLOOKUP(INDIRECT(ADDRESS(2,COLUMN())),OFFSET($BN$2,0,0,ROW()-1,60),ROW()-1,FALSE))</f>
        <v>11.544524770000001</v>
      </c>
      <c r="BF120">
        <f ca="1">IF(AND(ISNUMBER($BF$367),$B$258=1),$BF$367,HLOOKUP(INDIRECT(ADDRESS(2,COLUMN())),OFFSET($BN$2,0,0,ROW()-1,60),ROW()-1,FALSE))</f>
        <v>7.3447773209999996</v>
      </c>
      <c r="BG120">
        <f ca="1">IF(AND(ISNUMBER($BG$367),$B$258=1),$BG$367,HLOOKUP(INDIRECT(ADDRESS(2,COLUMN())),OFFSET($BN$2,0,0,ROW()-1,60),ROW()-1,FALSE))</f>
        <v>13.596431519999999</v>
      </c>
      <c r="BH120">
        <f ca="1">IF(AND(ISNUMBER($BH$367),$B$258=1),$BH$367,HLOOKUP(INDIRECT(ADDRESS(2,COLUMN())),OFFSET($BN$2,0,0,ROW()-1,60),ROW()-1,FALSE))</f>
        <v>11.348554500000001</v>
      </c>
      <c r="BI120">
        <f ca="1">IF(AND(ISNUMBER($BI$367),$B$258=1),$BI$367,HLOOKUP(INDIRECT(ADDRESS(2,COLUMN())),OFFSET($BN$2,0,0,ROW()-1,60),ROW()-1,FALSE))</f>
        <v>11.50681653</v>
      </c>
      <c r="BJ120">
        <f ca="1">IF(AND(ISNUMBER($BJ$367),$B$258=1),$BJ$367,HLOOKUP(INDIRECT(ADDRESS(2,COLUMN())),OFFSET($BN$2,0,0,ROW()-1,60),ROW()-1,FALSE))</f>
        <v>16.564590970000001</v>
      </c>
      <c r="BK120">
        <f ca="1">IF(AND(ISNUMBER($BK$367),$B$258=1),$BK$367,HLOOKUP(INDIRECT(ADDRESS(2,COLUMN())),OFFSET($BN$2,0,0,ROW()-1,60),ROW()-1,FALSE))</f>
        <v>9.1975043149999998</v>
      </c>
      <c r="BL120">
        <f ca="1">IF(AND(ISNUMBER($BL$367),$B$258=1),$BL$367,HLOOKUP(INDIRECT(ADDRESS(2,COLUMN())),OFFSET($BN$2,0,0,ROW()-1,60),ROW()-1,FALSE))</f>
        <v>5.6753464789999999</v>
      </c>
      <c r="BM120">
        <f ca="1">IF(AND(ISNUMBER($BM$367),$B$258=1),$BM$367,HLOOKUP(INDIRECT(ADDRESS(2,COLUMN())),OFFSET($BN$2,0,0,ROW()-1,60),ROW()-1,FALSE))</f>
        <v>4.8192771079999996</v>
      </c>
      <c r="BN120" t="str">
        <f>""</f>
        <v/>
      </c>
      <c r="BO120">
        <f>1.556712457</f>
        <v>1.5567124569999999</v>
      </c>
      <c r="BP120">
        <f>1.021277885</f>
        <v>1.0212778849999999</v>
      </c>
      <c r="BQ120">
        <f>1.394973352</f>
        <v>1.3949733520000001</v>
      </c>
      <c r="BR120">
        <f>2.394194485</f>
        <v>2.3941944849999999</v>
      </c>
      <c r="BS120">
        <f>2.53327801</f>
        <v>2.5332780100000001</v>
      </c>
      <c r="BT120">
        <f>3.411223191</f>
        <v>3.4112231909999999</v>
      </c>
      <c r="BU120">
        <f>5.644659299</f>
        <v>5.6446592989999997</v>
      </c>
      <c r="BV120">
        <f>13.03630724</f>
        <v>13.036307239999999</v>
      </c>
      <c r="BW120">
        <f>16.40927901</f>
        <v>16.409279009999999</v>
      </c>
      <c r="BX120">
        <f>17.70713736</f>
        <v>17.707137360000001</v>
      </c>
      <c r="BY120">
        <f>19.68670782</f>
        <v>19.686707819999999</v>
      </c>
      <c r="BZ120">
        <f>19.36322762</f>
        <v>19.36322762</v>
      </c>
      <c r="CA120">
        <f>14.7117842</f>
        <v>14.7117842</v>
      </c>
      <c r="CB120">
        <f>15.81074947</f>
        <v>15.810749469999999</v>
      </c>
      <c r="CC120">
        <f>10.58161431</f>
        <v>10.581614310000001</v>
      </c>
      <c r="CD120">
        <f>2.45521861</f>
        <v>2.4552186100000002</v>
      </c>
      <c r="CE120">
        <f>3.178756103</f>
        <v>3.178756103</v>
      </c>
      <c r="CF120">
        <f>19.95861839</f>
        <v>19.958618390000002</v>
      </c>
      <c r="CG120">
        <f>29.4577992</f>
        <v>29.4577992</v>
      </c>
      <c r="CH120">
        <f>28.8372061</f>
        <v>28.8372061</v>
      </c>
      <c r="CI120">
        <f>42.13743476</f>
        <v>42.137434759999998</v>
      </c>
      <c r="CJ120">
        <f>37.29815303</f>
        <v>37.298153030000002</v>
      </c>
      <c r="CK120">
        <f>42.73442597</f>
        <v>42.734425969999997</v>
      </c>
      <c r="CL120">
        <f>47.20452147</f>
        <v>47.204521470000003</v>
      </c>
      <c r="CM120">
        <f>40.30278443</f>
        <v>40.302784430000003</v>
      </c>
      <c r="CN120">
        <f>40.43798866</f>
        <v>40.437988660000002</v>
      </c>
      <c r="CO120">
        <f>25.25475144</f>
        <v>25.25475144</v>
      </c>
      <c r="CP120">
        <f>22.50550052</f>
        <v>22.505500519999998</v>
      </c>
      <c r="CQ120">
        <f>11.92178591</f>
        <v>11.921785910000001</v>
      </c>
      <c r="CR120">
        <f>12.43021803</f>
        <v>12.430218030000001</v>
      </c>
      <c r="CS120">
        <f>16.3777576</f>
        <v>16.377757599999999</v>
      </c>
      <c r="CT120">
        <f>17.65213449</f>
        <v>17.652134490000002</v>
      </c>
      <c r="CU120">
        <f>19.29622468</f>
        <v>19.296224680000002</v>
      </c>
      <c r="CV120">
        <f>20.67434183</f>
        <v>20.674341829999999</v>
      </c>
      <c r="CW120">
        <f>29.98501592</f>
        <v>29.985015919999999</v>
      </c>
      <c r="CX120">
        <f>37.98760923</f>
        <v>37.987609229999997</v>
      </c>
      <c r="CY120">
        <f>37.36907543</f>
        <v>37.369075430000002</v>
      </c>
      <c r="CZ120">
        <f>31.94984964</f>
        <v>31.94984964</v>
      </c>
      <c r="DA120">
        <f>18.74471776</f>
        <v>18.74471776</v>
      </c>
      <c r="DB120">
        <f>10.72801216</f>
        <v>10.72801216</v>
      </c>
      <c r="DC120">
        <f>-3.560787733</f>
        <v>-3.5607877330000002</v>
      </c>
      <c r="DD120">
        <f>6.869579602</f>
        <v>6.869579602</v>
      </c>
      <c r="DE120">
        <f>8.930128888</f>
        <v>8.9301288880000005</v>
      </c>
      <c r="DF120">
        <f>8.703150429</f>
        <v>8.7031504290000008</v>
      </c>
      <c r="DG120">
        <f>24.78520097</f>
        <v>24.785200970000002</v>
      </c>
      <c r="DH120">
        <f>5.151079777</f>
        <v>5.1510797769999996</v>
      </c>
      <c r="DI120">
        <f>4.219165452</f>
        <v>4.2191654520000004</v>
      </c>
      <c r="DJ120">
        <f>4.950668547</f>
        <v>4.9506685470000003</v>
      </c>
      <c r="DK120">
        <f>8.301006629</f>
        <v>8.3010066289999997</v>
      </c>
      <c r="DL120">
        <f>12.5895257</f>
        <v>12.589525699999999</v>
      </c>
      <c r="DM120">
        <f>11.54452477</f>
        <v>11.544524770000001</v>
      </c>
      <c r="DN120">
        <f>7.344777321</f>
        <v>7.3447773209999996</v>
      </c>
      <c r="DO120">
        <f>13.59643152</f>
        <v>13.596431519999999</v>
      </c>
      <c r="DP120">
        <f>11.3485545</f>
        <v>11.348554500000001</v>
      </c>
      <c r="DQ120">
        <f>11.50681653</f>
        <v>11.50681653</v>
      </c>
      <c r="DR120">
        <f>16.56459097</f>
        <v>16.564590970000001</v>
      </c>
      <c r="DS120">
        <f>9.197504315</f>
        <v>9.1975043149999998</v>
      </c>
      <c r="DT120">
        <f>5.675346479</f>
        <v>5.6753464789999999</v>
      </c>
      <c r="DU120">
        <f>4.819277108</f>
        <v>4.8192771079999996</v>
      </c>
    </row>
    <row r="121" spans="1:125">
      <c r="A121" t="str">
        <f>"    Ventas Inc"</f>
        <v xml:space="preserve">    Ventas Inc</v>
      </c>
      <c r="B121" t="str">
        <f>"VTR US Equity"</f>
        <v>VTR US Equity</v>
      </c>
      <c r="C121" t="str">
        <f t="shared" si="27"/>
        <v>RR033</v>
      </c>
      <c r="D121" t="str">
        <f t="shared" si="28"/>
        <v>SALES_GROWTH</v>
      </c>
      <c r="E121" t="str">
        <f t="shared" si="29"/>
        <v>动态</v>
      </c>
      <c r="F121" t="str">
        <f ca="1">IF(AND(ISNUMBER($F$368),$B$258=1),$F$368,HLOOKUP(INDIRECT(ADDRESS(2,COLUMN())),OFFSET($BN$2,0,0,ROW()-1,60),ROW()-1,FALSE))</f>
        <v/>
      </c>
      <c r="G121">
        <f ca="1">IF(AND(ISNUMBER($G$368),$B$258=1),$G$368,HLOOKUP(INDIRECT(ADDRESS(2,COLUMN())),OFFSET($BN$2,0,0,ROW()-1,60),ROW()-1,FALSE))</f>
        <v>2.2353213900000002</v>
      </c>
      <c r="H121">
        <f ca="1">IF(AND(ISNUMBER($H$368),$B$258=1),$H$368,HLOOKUP(INDIRECT(ADDRESS(2,COLUMN())),OFFSET($BN$2,0,0,ROW()-1,60),ROW()-1,FALSE))</f>
        <v>3.7840381220000001</v>
      </c>
      <c r="I121">
        <f ca="1">IF(AND(ISNUMBER($I$368),$B$258=1),$I$368,HLOOKUP(INDIRECT(ADDRESS(2,COLUMN())),OFFSET($BN$2,0,0,ROW()-1,60),ROW()-1,FALSE))</f>
        <v>5.5499502600000001</v>
      </c>
      <c r="J121">
        <f ca="1">IF(AND(ISNUMBER($J$368),$B$258=1),$J$368,HLOOKUP(INDIRECT(ADDRESS(2,COLUMN())),OFFSET($BN$2,0,0,ROW()-1,60),ROW()-1,FALSE))</f>
        <v>3.655332874</v>
      </c>
      <c r="K121">
        <f ca="1">IF(AND(ISNUMBER($K$368),$B$258=1),$K$368,HLOOKUP(INDIRECT(ADDRESS(2,COLUMN())),OFFSET($BN$2,0,0,ROW()-1,60),ROW()-1,FALSE))</f>
        <v>4.0936722159999999</v>
      </c>
      <c r="L121">
        <f ca="1">IF(AND(ISNUMBER($L$368),$B$258=1),$L$368,HLOOKUP(INDIRECT(ADDRESS(2,COLUMN())),OFFSET($BN$2,0,0,ROW()-1,60),ROW()-1,FALSE))</f>
        <v>4.7740108220000002</v>
      </c>
      <c r="M121">
        <f ca="1">IF(AND(ISNUMBER($M$368),$B$258=1),$M$368,HLOOKUP(INDIRECT(ADDRESS(2,COLUMN())),OFFSET($BN$2,0,0,ROW()-1,60),ROW()-1,FALSE))</f>
        <v>4.4935461620000003</v>
      </c>
      <c r="N121">
        <f ca="1">IF(AND(ISNUMBER($N$368),$B$258=1),$N$368,HLOOKUP(INDIRECT(ADDRESS(2,COLUMN())),OFFSET($BN$2,0,0,ROW()-1,60),ROW()-1,FALSE))</f>
        <v>5.7958187580000002</v>
      </c>
      <c r="O121">
        <f ca="1">IF(AND(ISNUMBER($O$368),$B$258=1),$O$368,HLOOKUP(INDIRECT(ADDRESS(2,COLUMN())),OFFSET($BN$2,0,0,ROW()-1,60),ROW()-1,FALSE))</f>
        <v>14.914013300000001</v>
      </c>
      <c r="P121">
        <f ca="1">IF(AND(ISNUMBER($P$368),$B$258=1),$P$368,HLOOKUP(INDIRECT(ADDRESS(2,COLUMN())),OFFSET($BN$2,0,0,ROW()-1,60),ROW()-1,FALSE))</f>
        <v>17.40224589</v>
      </c>
      <c r="Q121">
        <f ca="1">IF(AND(ISNUMBER($Q$368),$B$258=1),$Q$368,HLOOKUP(INDIRECT(ADDRESS(2,COLUMN())),OFFSET($BN$2,0,0,ROW()-1,60),ROW()-1,FALSE))</f>
        <v>8.0752981019999996</v>
      </c>
      <c r="R121">
        <f ca="1">IF(AND(ISNUMBER($R$368),$B$258=1),$R$368,HLOOKUP(INDIRECT(ADDRESS(2,COLUMN())),OFFSET($BN$2,0,0,ROW()-1,60),ROW()-1,FALSE))</f>
        <v>8.6487652910000001</v>
      </c>
      <c r="S121">
        <f ca="1">IF(AND(ISNUMBER($S$368),$B$258=1),$S$368,HLOOKUP(INDIRECT(ADDRESS(2,COLUMN())),OFFSET($BN$2,0,0,ROW()-1,60),ROW()-1,FALSE))</f>
        <v>-0.149348391</v>
      </c>
      <c r="T121">
        <f ca="1">IF(AND(ISNUMBER($T$368),$B$258=1),$T$368,HLOOKUP(INDIRECT(ADDRESS(2,COLUMN())),OFFSET($BN$2,0,0,ROW()-1,60),ROW()-1,FALSE))</f>
        <v>-0.88815590600000005</v>
      </c>
      <c r="U121">
        <f ca="1">IF(AND(ISNUMBER($U$368),$B$258=1),$U$368,HLOOKUP(INDIRECT(ADDRESS(2,COLUMN())),OFFSET($BN$2,0,0,ROW()-1,60),ROW()-1,FALSE))</f>
        <v>9.8149563890000007</v>
      </c>
      <c r="V121">
        <f ca="1">IF(AND(ISNUMBER($V$368),$B$258=1),$V$368,HLOOKUP(INDIRECT(ADDRESS(2,COLUMN())),OFFSET($BN$2,0,0,ROW()-1,60),ROW()-1,FALSE))</f>
        <v>8.5752274459999995</v>
      </c>
      <c r="W121">
        <f ca="1">IF(AND(ISNUMBER($W$368),$B$258=1),$W$368,HLOOKUP(INDIRECT(ADDRESS(2,COLUMN())),OFFSET($BN$2,0,0,ROW()-1,60),ROW()-1,FALSE))</f>
        <v>11.81202629</v>
      </c>
      <c r="X121">
        <f ca="1">IF(AND(ISNUMBER($X$368),$B$258=1),$X$368,HLOOKUP(INDIRECT(ADDRESS(2,COLUMN())),OFFSET($BN$2,0,0,ROW()-1,60),ROW()-1,FALSE))</f>
        <v>11.36670033</v>
      </c>
      <c r="Y121">
        <f ca="1">IF(AND(ISNUMBER($Y$368),$B$258=1),$Y$368,HLOOKUP(INDIRECT(ADDRESS(2,COLUMN())),OFFSET($BN$2,0,0,ROW()-1,60),ROW()-1,FALSE))</f>
        <v>11.78909217</v>
      </c>
      <c r="Z121">
        <f ca="1">IF(AND(ISNUMBER($Z$368),$B$258=1),$Z$368,HLOOKUP(INDIRECT(ADDRESS(2,COLUMN())),OFFSET($BN$2,0,0,ROW()-1,60),ROW()-1,FALSE))</f>
        <v>20.564983120000001</v>
      </c>
      <c r="AA121">
        <f ca="1">IF(AND(ISNUMBER($AA$368),$B$258=1),$AA$368,HLOOKUP(INDIRECT(ADDRESS(2,COLUMN())),OFFSET($BN$2,0,0,ROW()-1,60),ROW()-1,FALSE))</f>
        <v>16.440703549999999</v>
      </c>
      <c r="AB121">
        <f ca="1">IF(AND(ISNUMBER($AB$368),$B$258=1),$AB$368,HLOOKUP(INDIRECT(ADDRESS(2,COLUMN())),OFFSET($BN$2,0,0,ROW()-1,60),ROW()-1,FALSE))</f>
        <v>14.994652289999999</v>
      </c>
      <c r="AC121">
        <f ca="1">IF(AND(ISNUMBER($AC$368),$B$258=1),$AC$368,HLOOKUP(INDIRECT(ADDRESS(2,COLUMN())),OFFSET($BN$2,0,0,ROW()-1,60),ROW()-1,FALSE))</f>
        <v>70.223584590000002</v>
      </c>
      <c r="AD121">
        <f ca="1">IF(AND(ISNUMBER($AD$368),$B$258=1),$AD$368,HLOOKUP(INDIRECT(ADDRESS(2,COLUMN())),OFFSET($BN$2,0,0,ROW()-1,60),ROW()-1,FALSE))</f>
        <v>111.0120999</v>
      </c>
      <c r="AE121">
        <f ca="1">IF(AND(ISNUMBER($AE$368),$B$258=1),$AE$368,HLOOKUP(INDIRECT(ADDRESS(2,COLUMN())),OFFSET($BN$2,0,0,ROW()-1,60),ROW()-1,FALSE))</f>
        <v>111.73650670000001</v>
      </c>
      <c r="AF121">
        <f ca="1">IF(AND(ISNUMBER($AF$368),$B$258=1),$AF$368,HLOOKUP(INDIRECT(ADDRESS(2,COLUMN())),OFFSET($BN$2,0,0,ROW()-1,60),ROW()-1,FALSE))</f>
        <v>109.84187559999999</v>
      </c>
      <c r="AG121">
        <f ca="1">IF(AND(ISNUMBER($AG$368),$B$258=1),$AG$368,HLOOKUP(INDIRECT(ADDRESS(2,COLUMN())),OFFSET($BN$2,0,0,ROW()-1,60),ROW()-1,FALSE))</f>
        <v>47.75028769</v>
      </c>
      <c r="AH121">
        <f ca="1">IF(AND(ISNUMBER($AH$368),$B$258=1),$AH$368,HLOOKUP(INDIRECT(ADDRESS(2,COLUMN())),OFFSET($BN$2,0,0,ROW()-1,60),ROW()-1,FALSE))</f>
        <v>11.434359540000001</v>
      </c>
      <c r="AI121">
        <f ca="1">IF(AND(ISNUMBER($AI$368),$B$258=1),$AI$368,HLOOKUP(INDIRECT(ADDRESS(2,COLUMN())),OFFSET($BN$2,0,0,ROW()-1,60),ROW()-1,FALSE))</f>
        <v>11.798853279999999</v>
      </c>
      <c r="AJ121">
        <f ca="1">IF(AND(ISNUMBER($AJ$368),$B$258=1),$AJ$368,HLOOKUP(INDIRECT(ADDRESS(2,COLUMN())),OFFSET($BN$2,0,0,ROW()-1,60),ROW()-1,FALSE))</f>
        <v>12.79764061</v>
      </c>
      <c r="AK121">
        <f ca="1">IF(AND(ISNUMBER($AK$368),$B$258=1),$AK$368,HLOOKUP(INDIRECT(ADDRESS(2,COLUMN())),OFFSET($BN$2,0,0,ROW()-1,60),ROW()-1,FALSE))</f>
        <v>5.1276290549999999</v>
      </c>
      <c r="AL121">
        <f ca="1">IF(AND(ISNUMBER($AL$368),$B$258=1),$AL$368,HLOOKUP(INDIRECT(ADDRESS(2,COLUMN())),OFFSET($BN$2,0,0,ROW()-1,60),ROW()-1,FALSE))</f>
        <v>5.2353825179999998</v>
      </c>
      <c r="AM121">
        <f ca="1">IF(AND(ISNUMBER($AM$368),$B$258=1),$AM$368,HLOOKUP(INDIRECT(ADDRESS(2,COLUMN())),OFFSET($BN$2,0,0,ROW()-1,60),ROW()-1,FALSE))</f>
        <v>2.3415486140000001</v>
      </c>
      <c r="AN121">
        <f ca="1">IF(AND(ISNUMBER($AN$368),$B$258=1),$AN$368,HLOOKUP(INDIRECT(ADDRESS(2,COLUMN())),OFFSET($BN$2,0,0,ROW()-1,60),ROW()-1,FALSE))</f>
        <v>-0.20585145499999999</v>
      </c>
      <c r="AO121">
        <f ca="1">IF(AND(ISNUMBER($AO$368),$B$258=1),$AO$368,HLOOKUP(INDIRECT(ADDRESS(2,COLUMN())),OFFSET($BN$2,0,0,ROW()-1,60),ROW()-1,FALSE))</f>
        <v>1.0570621440000001</v>
      </c>
      <c r="AP121">
        <f ca="1">IF(AND(ISNUMBER($AP$368),$B$258=1),$AP$368,HLOOKUP(INDIRECT(ADDRESS(2,COLUMN())),OFFSET($BN$2,0,0,ROW()-1,60),ROW()-1,FALSE))</f>
        <v>0.10145535999999999</v>
      </c>
      <c r="AQ121">
        <f ca="1">IF(AND(ISNUMBER($AQ$368),$B$258=1),$AQ$368,HLOOKUP(INDIRECT(ADDRESS(2,COLUMN())),OFFSET($BN$2,0,0,ROW()-1,60),ROW()-1,FALSE))</f>
        <v>2.0690169969999999</v>
      </c>
      <c r="AR121">
        <f ca="1">IF(AND(ISNUMBER($AR$368),$B$258=1),$AR$368,HLOOKUP(INDIRECT(ADDRESS(2,COLUMN())),OFFSET($BN$2,0,0,ROW()-1,60),ROW()-1,FALSE))</f>
        <v>5.2033182399999998</v>
      </c>
      <c r="AS121">
        <f ca="1">IF(AND(ISNUMBER($AS$368),$B$258=1),$AS$368,HLOOKUP(INDIRECT(ADDRESS(2,COLUMN())),OFFSET($BN$2,0,0,ROW()-1,60),ROW()-1,FALSE))</f>
        <v>19.338568240000001</v>
      </c>
      <c r="AT121">
        <f ca="1">IF(AND(ISNUMBER($AT$368),$B$258=1),$AT$368,HLOOKUP(INDIRECT(ADDRESS(2,COLUMN())),OFFSET($BN$2,0,0,ROW()-1,60),ROW()-1,FALSE))</f>
        <v>94.752037610000002</v>
      </c>
      <c r="AU121">
        <f ca="1">IF(AND(ISNUMBER($AU$368),$B$258=1),$AU$368,HLOOKUP(INDIRECT(ADDRESS(2,COLUMN())),OFFSET($BN$2,0,0,ROW()-1,60),ROW()-1,FALSE))</f>
        <v>98.992546770000004</v>
      </c>
      <c r="AV121">
        <f ca="1">IF(AND(ISNUMBER($AV$368),$B$258=1),$AV$368,HLOOKUP(INDIRECT(ADDRESS(2,COLUMN())),OFFSET($BN$2,0,0,ROW()-1,60),ROW()-1,FALSE))</f>
        <v>109.1540115</v>
      </c>
      <c r="AW121">
        <f ca="1">IF(AND(ISNUMBER($AW$368),$B$258=1),$AW$368,HLOOKUP(INDIRECT(ADDRESS(2,COLUMN())),OFFSET($BN$2,0,0,ROW()-1,60),ROW()-1,FALSE))</f>
        <v>98.392532250000002</v>
      </c>
      <c r="AX121">
        <f ca="1">IF(AND(ISNUMBER($AX$368),$B$258=1),$AX$368,HLOOKUP(INDIRECT(ADDRESS(2,COLUMN())),OFFSET($BN$2,0,0,ROW()-1,60),ROW()-1,FALSE))</f>
        <v>20.04109841</v>
      </c>
      <c r="AY121">
        <f ca="1">IF(AND(ISNUMBER($AY$368),$B$258=1),$AY$368,HLOOKUP(INDIRECT(ADDRESS(2,COLUMN())),OFFSET($BN$2,0,0,ROW()-1,60),ROW()-1,FALSE))</f>
        <v>16.4226931</v>
      </c>
      <c r="AZ121">
        <f ca="1">IF(AND(ISNUMBER($AZ$368),$B$258=1),$AZ$368,HLOOKUP(INDIRECT(ADDRESS(2,COLUMN())),OFFSET($BN$2,0,0,ROW()-1,60),ROW()-1,FALSE))</f>
        <v>11.385268890000001</v>
      </c>
      <c r="BA121">
        <f ca="1">IF(AND(ISNUMBER($BA$368),$B$258=1),$BA$368,HLOOKUP(INDIRECT(ADDRESS(2,COLUMN())),OFFSET($BN$2,0,0,ROW()-1,60),ROW()-1,FALSE))</f>
        <v>29.063934249999999</v>
      </c>
      <c r="BB121">
        <f ca="1">IF(AND(ISNUMBER($BB$368),$B$258=1),$BB$368,HLOOKUP(INDIRECT(ADDRESS(2,COLUMN())),OFFSET($BN$2,0,0,ROW()-1,60),ROW()-1,FALSE))</f>
        <v>52.827211220000002</v>
      </c>
      <c r="BC121">
        <f ca="1">IF(AND(ISNUMBER($BC$368),$B$258=1),$BC$368,HLOOKUP(INDIRECT(ADDRESS(2,COLUMN())),OFFSET($BN$2,0,0,ROW()-1,60),ROW()-1,FALSE))</f>
        <v>57.977372799999998</v>
      </c>
      <c r="BD121">
        <f ca="1">IF(AND(ISNUMBER($BD$368),$B$258=1),$BD$368,HLOOKUP(INDIRECT(ADDRESS(2,COLUMN())),OFFSET($BN$2,0,0,ROW()-1,60),ROW()-1,FALSE))</f>
        <v>56.594626359999999</v>
      </c>
      <c r="BE121">
        <f ca="1">IF(AND(ISNUMBER($BE$368),$B$258=1),$BE$368,HLOOKUP(INDIRECT(ADDRESS(2,COLUMN())),OFFSET($BN$2,0,0,ROW()-1,60),ROW()-1,FALSE))</f>
        <v>25.40699717</v>
      </c>
      <c r="BF121">
        <f ca="1">IF(AND(ISNUMBER($BF$368),$B$258=1),$BF$368,HLOOKUP(INDIRECT(ADDRESS(2,COLUMN())),OFFSET($BN$2,0,0,ROW()-1,60),ROW()-1,FALSE))</f>
        <v>17.919192290000002</v>
      </c>
      <c r="BG121">
        <f ca="1">IF(AND(ISNUMBER($BG$368),$B$258=1),$BG$368,HLOOKUP(INDIRECT(ADDRESS(2,COLUMN())),OFFSET($BN$2,0,0,ROW()-1,60),ROW()-1,FALSE))</f>
        <v>23.931490010000001</v>
      </c>
      <c r="BH121">
        <f ca="1">IF(AND(ISNUMBER($BH$368),$B$258=1),$BH$368,HLOOKUP(INDIRECT(ADDRESS(2,COLUMN())),OFFSET($BN$2,0,0,ROW()-1,60),ROW()-1,FALSE))</f>
        <v>21.54917326</v>
      </c>
      <c r="BI121">
        <f ca="1">IF(AND(ISNUMBER($BI$368),$B$258=1),$BI$368,HLOOKUP(INDIRECT(ADDRESS(2,COLUMN())),OFFSET($BN$2,0,0,ROW()-1,60),ROW()-1,FALSE))</f>
        <v>24.473092300000001</v>
      </c>
      <c r="BJ121">
        <f ca="1">IF(AND(ISNUMBER($BJ$368),$B$258=1),$BJ$368,HLOOKUP(INDIRECT(ADDRESS(2,COLUMN())),OFFSET($BN$2,0,0,ROW()-1,60),ROW()-1,FALSE))</f>
        <v>15.47560794</v>
      </c>
      <c r="BK121">
        <f ca="1">IF(AND(ISNUMBER($BK$368),$B$258=1),$BK$368,HLOOKUP(INDIRECT(ADDRESS(2,COLUMN())),OFFSET($BN$2,0,0,ROW()-1,60),ROW()-1,FALSE))</f>
        <v>8.1995483359999994</v>
      </c>
      <c r="BL121">
        <f ca="1">IF(AND(ISNUMBER($BL$368),$B$258=1),$BL$368,HLOOKUP(INDIRECT(ADDRESS(2,COLUMN())),OFFSET($BN$2,0,0,ROW()-1,60),ROW()-1,FALSE))</f>
        <v>10.320450409999999</v>
      </c>
      <c r="BM121">
        <f ca="1">IF(AND(ISNUMBER($BM$368),$B$258=1),$BM$368,HLOOKUP(INDIRECT(ADDRESS(2,COLUMN())),OFFSET($BN$2,0,0,ROW()-1,60),ROW()-1,FALSE))</f>
        <v>5.8857256270000002</v>
      </c>
      <c r="BN121" t="str">
        <f>""</f>
        <v/>
      </c>
      <c r="BO121">
        <f>2.23532139</f>
        <v>2.2353213900000002</v>
      </c>
      <c r="BP121">
        <f>3.784038122</f>
        <v>3.7840381220000001</v>
      </c>
      <c r="BQ121">
        <f>5.54995026</f>
        <v>5.5499502600000001</v>
      </c>
      <c r="BR121">
        <f>3.655332874</f>
        <v>3.655332874</v>
      </c>
      <c r="BS121">
        <f>4.093672216</f>
        <v>4.0936722159999999</v>
      </c>
      <c r="BT121">
        <f>4.774010822</f>
        <v>4.7740108220000002</v>
      </c>
      <c r="BU121">
        <f>4.493546162</f>
        <v>4.4935461620000003</v>
      </c>
      <c r="BV121">
        <f>5.795818758</f>
        <v>5.7958187580000002</v>
      </c>
      <c r="BW121">
        <f>14.9140133</f>
        <v>14.914013300000001</v>
      </c>
      <c r="BX121">
        <f>17.40224589</f>
        <v>17.40224589</v>
      </c>
      <c r="BY121">
        <f>8.075298102</f>
        <v>8.0752981019999996</v>
      </c>
      <c r="BZ121">
        <f>8.648765291</f>
        <v>8.6487652910000001</v>
      </c>
      <c r="CA121">
        <f>-0.149348391</f>
        <v>-0.149348391</v>
      </c>
      <c r="CB121">
        <f>-0.888155906</f>
        <v>-0.88815590600000005</v>
      </c>
      <c r="CC121">
        <f>9.814956389</f>
        <v>9.8149563890000007</v>
      </c>
      <c r="CD121">
        <f>8.575227446</f>
        <v>8.5752274459999995</v>
      </c>
      <c r="CE121">
        <f>11.81202629</f>
        <v>11.81202629</v>
      </c>
      <c r="CF121">
        <f>11.36670033</f>
        <v>11.36670033</v>
      </c>
      <c r="CG121">
        <f>11.78909217</f>
        <v>11.78909217</v>
      </c>
      <c r="CH121">
        <f>20.56498312</f>
        <v>20.564983120000001</v>
      </c>
      <c r="CI121">
        <f>16.44070355</f>
        <v>16.440703549999999</v>
      </c>
      <c r="CJ121">
        <f>14.99465229</f>
        <v>14.994652289999999</v>
      </c>
      <c r="CK121">
        <f>70.22358459</f>
        <v>70.223584590000002</v>
      </c>
      <c r="CL121">
        <f>111.0120999</f>
        <v>111.0120999</v>
      </c>
      <c r="CM121">
        <f>111.7365067</f>
        <v>111.73650670000001</v>
      </c>
      <c r="CN121">
        <f>109.8418756</f>
        <v>109.84187559999999</v>
      </c>
      <c r="CO121">
        <f>47.75028769</f>
        <v>47.75028769</v>
      </c>
      <c r="CP121">
        <f>11.43435954</f>
        <v>11.434359540000001</v>
      </c>
      <c r="CQ121">
        <f>11.79885328</f>
        <v>11.798853279999999</v>
      </c>
      <c r="CR121">
        <f>12.79764061</f>
        <v>12.79764061</v>
      </c>
      <c r="CS121">
        <f>5.127629055</f>
        <v>5.1276290549999999</v>
      </c>
      <c r="CT121">
        <f>5.235382518</f>
        <v>5.2353825179999998</v>
      </c>
      <c r="CU121">
        <f>2.341548614</f>
        <v>2.3415486140000001</v>
      </c>
      <c r="CV121">
        <f>-0.205851455</f>
        <v>-0.20585145499999999</v>
      </c>
      <c r="CW121">
        <f>1.057062144</f>
        <v>1.0570621440000001</v>
      </c>
      <c r="CX121">
        <f>0.10145536</f>
        <v>0.10145535999999999</v>
      </c>
      <c r="CY121">
        <f>2.069016997</f>
        <v>2.0690169969999999</v>
      </c>
      <c r="CZ121">
        <f>5.20331824</f>
        <v>5.2033182399999998</v>
      </c>
      <c r="DA121">
        <f>19.33856824</f>
        <v>19.338568240000001</v>
      </c>
      <c r="DB121">
        <f>94.75203761</f>
        <v>94.752037610000002</v>
      </c>
      <c r="DC121">
        <f>98.99254677</f>
        <v>98.992546770000004</v>
      </c>
      <c r="DD121">
        <f>109.1540115</f>
        <v>109.1540115</v>
      </c>
      <c r="DE121">
        <f>98.39253225</f>
        <v>98.392532250000002</v>
      </c>
      <c r="DF121">
        <f>20.04109841</f>
        <v>20.04109841</v>
      </c>
      <c r="DG121">
        <f>16.4226931</f>
        <v>16.4226931</v>
      </c>
      <c r="DH121">
        <f>11.38526889</f>
        <v>11.385268890000001</v>
      </c>
      <c r="DI121">
        <f>29.06393425</f>
        <v>29.063934249999999</v>
      </c>
      <c r="DJ121">
        <f>52.82721122</f>
        <v>52.827211220000002</v>
      </c>
      <c r="DK121">
        <f>57.9773728</f>
        <v>57.977372799999998</v>
      </c>
      <c r="DL121">
        <f>56.59462636</f>
        <v>56.594626359999999</v>
      </c>
      <c r="DM121">
        <f>25.40699717</f>
        <v>25.40699717</v>
      </c>
      <c r="DN121">
        <f>17.91919229</f>
        <v>17.919192290000002</v>
      </c>
      <c r="DO121">
        <f>23.93149001</f>
        <v>23.931490010000001</v>
      </c>
      <c r="DP121">
        <f>21.54917326</f>
        <v>21.54917326</v>
      </c>
      <c r="DQ121">
        <f>24.4730923</f>
        <v>24.473092300000001</v>
      </c>
      <c r="DR121">
        <f>15.47560794</f>
        <v>15.47560794</v>
      </c>
      <c r="DS121">
        <f>8.199548336</f>
        <v>8.1995483359999994</v>
      </c>
      <c r="DT121">
        <f>10.32045041</f>
        <v>10.320450409999999</v>
      </c>
      <c r="DU121">
        <f>5.885725627</f>
        <v>5.8857256270000002</v>
      </c>
    </row>
    <row r="122" spans="1:125">
      <c r="A122" t="str">
        <f>"    Welltower Inc"</f>
        <v xml:space="preserve">    Welltower Inc</v>
      </c>
      <c r="B122" t="str">
        <f>"HCN US Equity"</f>
        <v>HCN US Equity</v>
      </c>
      <c r="C122" t="str">
        <f t="shared" si="27"/>
        <v>RR033</v>
      </c>
      <c r="D122" t="str">
        <f t="shared" si="28"/>
        <v>SALES_GROWTH</v>
      </c>
      <c r="E122" t="str">
        <f t="shared" si="29"/>
        <v>动态</v>
      </c>
      <c r="F122" t="str">
        <f ca="1">IF(AND(ISNUMBER($F$369),$B$258=1),$F$369,HLOOKUP(INDIRECT(ADDRESS(2,COLUMN())),OFFSET($BN$2,0,0,ROW()-1,60),ROW()-1,FALSE))</f>
        <v/>
      </c>
      <c r="G122">
        <f ca="1">IF(AND(ISNUMBER($G$369),$B$258=1),$G$369,HLOOKUP(INDIRECT(ADDRESS(2,COLUMN())),OFFSET($BN$2,0,0,ROW()-1,60),ROW()-1,FALSE))</f>
        <v>2.405220709</v>
      </c>
      <c r="H122">
        <f ca="1">IF(AND(ISNUMBER($H$369),$B$258=1),$H$369,HLOOKUP(INDIRECT(ADDRESS(2,COLUMN())),OFFSET($BN$2,0,0,ROW()-1,60),ROW()-1,FALSE))</f>
        <v>1.1444372469999999</v>
      </c>
      <c r="I122">
        <f ca="1">IF(AND(ISNUMBER($I$369),$B$258=1),$I$369,HLOOKUP(INDIRECT(ADDRESS(2,COLUMN())),OFFSET($BN$2,0,0,ROW()-1,60),ROW()-1,FALSE))</f>
        <v>-1.676950041</v>
      </c>
      <c r="J122">
        <f ca="1">IF(AND(ISNUMBER($J$369),$B$258=1),$J$369,HLOOKUP(INDIRECT(ADDRESS(2,COLUMN())),OFFSET($BN$2,0,0,ROW()-1,60),ROW()-1,FALSE))</f>
        <v>1.456281935</v>
      </c>
      <c r="K122">
        <f ca="1">IF(AND(ISNUMBER($K$369),$B$258=1),$K$369,HLOOKUP(INDIRECT(ADDRESS(2,COLUMN())),OFFSET($BN$2,0,0,ROW()-1,60),ROW()-1,FALSE))</f>
        <v>4.7438328329999999</v>
      </c>
      <c r="L122">
        <f ca="1">IF(AND(ISNUMBER($L$369),$B$258=1),$L$369,HLOOKUP(INDIRECT(ADDRESS(2,COLUMN())),OFFSET($BN$2,0,0,ROW()-1,60),ROW()-1,FALSE))</f>
        <v>10.22842767</v>
      </c>
      <c r="M122">
        <f ca="1">IF(AND(ISNUMBER($M$369),$B$258=1),$M$369,HLOOKUP(INDIRECT(ADDRESS(2,COLUMN())),OFFSET($BN$2,0,0,ROW()-1,60),ROW()-1,FALSE))</f>
        <v>12.48347993</v>
      </c>
      <c r="N122">
        <f ca="1">IF(AND(ISNUMBER($N$369),$B$258=1),$N$369,HLOOKUP(INDIRECT(ADDRESS(2,COLUMN())),OFFSET($BN$2,0,0,ROW()-1,60),ROW()-1,FALSE))</f>
        <v>17.096503269999999</v>
      </c>
      <c r="O122">
        <f ca="1">IF(AND(ISNUMBER($O$369),$B$258=1),$O$369,HLOOKUP(INDIRECT(ADDRESS(2,COLUMN())),OFFSET($BN$2,0,0,ROW()-1,60),ROW()-1,FALSE))</f>
        <v>18.635719869999999</v>
      </c>
      <c r="P122">
        <f ca="1">IF(AND(ISNUMBER($P$369),$B$258=1),$P$369,HLOOKUP(INDIRECT(ADDRESS(2,COLUMN())),OFFSET($BN$2,0,0,ROW()-1,60),ROW()-1,FALSE))</f>
        <v>15.51273535</v>
      </c>
      <c r="Q122">
        <f ca="1">IF(AND(ISNUMBER($Q$369),$B$258=1),$Q$369,HLOOKUP(INDIRECT(ADDRESS(2,COLUMN())),OFFSET($BN$2,0,0,ROW()-1,60),ROW()-1,FALSE))</f>
        <v>15.81748838</v>
      </c>
      <c r="R122">
        <f ca="1">IF(AND(ISNUMBER($R$369),$B$258=1),$R$369,HLOOKUP(INDIRECT(ADDRESS(2,COLUMN())),OFFSET($BN$2,0,0,ROW()-1,60),ROW()-1,FALSE))</f>
        <v>11.520228680000001</v>
      </c>
      <c r="S122">
        <f ca="1">IF(AND(ISNUMBER($S$369),$B$258=1),$S$369,HLOOKUP(INDIRECT(ADDRESS(2,COLUMN())),OFFSET($BN$2,0,0,ROW()-1,60),ROW()-1,FALSE))</f>
        <v>10.04239282</v>
      </c>
      <c r="T122">
        <f ca="1">IF(AND(ISNUMBER($T$369),$B$258=1),$T$369,HLOOKUP(INDIRECT(ADDRESS(2,COLUMN())),OFFSET($BN$2,0,0,ROW()-1,60),ROW()-1,FALSE))</f>
        <v>8.1422871440000009</v>
      </c>
      <c r="U122">
        <f ca="1">IF(AND(ISNUMBER($U$369),$B$258=1),$U$369,HLOOKUP(INDIRECT(ADDRESS(2,COLUMN())),OFFSET($BN$2,0,0,ROW()-1,60),ROW()-1,FALSE))</f>
        <v>21.79893977</v>
      </c>
      <c r="V122">
        <f ca="1">IF(AND(ISNUMBER($V$369),$B$258=1),$V$369,HLOOKUP(INDIRECT(ADDRESS(2,COLUMN())),OFFSET($BN$2,0,0,ROW()-1,60),ROW()-1,FALSE))</f>
        <v>27.326733619999999</v>
      </c>
      <c r="W122">
        <f ca="1">IF(AND(ISNUMBER($W$369),$B$258=1),$W$369,HLOOKUP(INDIRECT(ADDRESS(2,COLUMN())),OFFSET($BN$2,0,0,ROW()-1,60),ROW()-1,FALSE))</f>
        <v>58.678898269999998</v>
      </c>
      <c r="X122">
        <f ca="1">IF(AND(ISNUMBER($X$369),$B$258=1),$X$369,HLOOKUP(INDIRECT(ADDRESS(2,COLUMN())),OFFSET($BN$2,0,0,ROW()-1,60),ROW()-1,FALSE))</f>
        <v>69.695755829999996</v>
      </c>
      <c r="Y122">
        <f ca="1">IF(AND(ISNUMBER($Y$369),$B$258=1),$Y$369,HLOOKUP(INDIRECT(ADDRESS(2,COLUMN())),OFFSET($BN$2,0,0,ROW()-1,60),ROW()-1,FALSE))</f>
        <v>54.662323720000003</v>
      </c>
      <c r="Z122">
        <f ca="1">IF(AND(ISNUMBER($Z$369),$B$258=1),$Z$369,HLOOKUP(INDIRECT(ADDRESS(2,COLUMN())),OFFSET($BN$2,0,0,ROW()-1,60),ROW()-1,FALSE))</f>
        <v>50.653116300000001</v>
      </c>
      <c r="AA122">
        <f ca="1">IF(AND(ISNUMBER($AA$369),$B$258=1),$AA$369,HLOOKUP(INDIRECT(ADDRESS(2,COLUMN())),OFFSET($BN$2,0,0,ROW()-1,60),ROW()-1,FALSE))</f>
        <v>29.227568810000001</v>
      </c>
      <c r="AB122">
        <f ca="1">IF(AND(ISNUMBER($AB$369),$B$258=1),$AB$369,HLOOKUP(INDIRECT(ADDRESS(2,COLUMN())),OFFSET($BN$2,0,0,ROW()-1,60),ROW()-1,FALSE))</f>
        <v>24.573948699999999</v>
      </c>
      <c r="AC122">
        <f ca="1">IF(AND(ISNUMBER($AC$369),$B$258=1),$AC$369,HLOOKUP(INDIRECT(ADDRESS(2,COLUMN())),OFFSET($BN$2,0,0,ROW()-1,60),ROW()-1,FALSE))</f>
        <v>18.700385820000001</v>
      </c>
      <c r="AD122">
        <f ca="1">IF(AND(ISNUMBER($AD$369),$B$258=1),$AD$369,HLOOKUP(INDIRECT(ADDRESS(2,COLUMN())),OFFSET($BN$2,0,0,ROW()-1,60),ROW()-1,FALSE))</f>
        <v>70.085776139999993</v>
      </c>
      <c r="AE122">
        <f ca="1">IF(AND(ISNUMBER($AE$369),$B$258=1),$AE$369,HLOOKUP(INDIRECT(ADDRESS(2,COLUMN())),OFFSET($BN$2,0,0,ROW()-1,60),ROW()-1,FALSE))</f>
        <v>95.784098599999993</v>
      </c>
      <c r="AF122">
        <f ca="1">IF(AND(ISNUMBER($AF$369),$B$258=1),$AF$369,HLOOKUP(INDIRECT(ADDRESS(2,COLUMN())),OFFSET($BN$2,0,0,ROW()-1,60),ROW()-1,FALSE))</f>
        <v>119.4408765</v>
      </c>
      <c r="AG122">
        <f ca="1">IF(AND(ISNUMBER($AG$369),$B$258=1),$AG$369,HLOOKUP(INDIRECT(ADDRESS(2,COLUMN())),OFFSET($BN$2,0,0,ROW()-1,60),ROW()-1,FALSE))</f>
        <v>140.3931082</v>
      </c>
      <c r="AH122">
        <f ca="1">IF(AND(ISNUMBER($AH$369),$B$258=1),$AH$369,HLOOKUP(INDIRECT(ADDRESS(2,COLUMN())),OFFSET($BN$2,0,0,ROW()-1,60),ROW()-1,FALSE))</f>
        <v>69.047373379999996</v>
      </c>
      <c r="AI122">
        <f ca="1">IF(AND(ISNUMBER($AI$369),$B$258=1),$AI$369,HLOOKUP(INDIRECT(ADDRESS(2,COLUMN())),OFFSET($BN$2,0,0,ROW()-1,60),ROW()-1,FALSE))</f>
        <v>38.91006556</v>
      </c>
      <c r="AJ122">
        <f ca="1">IF(AND(ISNUMBER($AJ$369),$B$258=1),$AJ$369,HLOOKUP(INDIRECT(ADDRESS(2,COLUMN())),OFFSET($BN$2,0,0,ROW()-1,60),ROW()-1,FALSE))</f>
        <v>20.549577580000001</v>
      </c>
      <c r="AK122">
        <f ca="1">IF(AND(ISNUMBER($AK$369),$B$258=1),$AK$369,HLOOKUP(INDIRECT(ADDRESS(2,COLUMN())),OFFSET($BN$2,0,0,ROW()-1,60),ROW()-1,FALSE))</f>
        <v>10.57976539</v>
      </c>
      <c r="AL122">
        <f ca="1">IF(AND(ISNUMBER($AL$369),$B$258=1),$AL$369,HLOOKUP(INDIRECT(ADDRESS(2,COLUMN())),OFFSET($BN$2,0,0,ROW()-1,60),ROW()-1,FALSE))</f>
        <v>4.7037725249999998</v>
      </c>
      <c r="AM122">
        <f ca="1">IF(AND(ISNUMBER($AM$369),$B$258=1),$AM$369,HLOOKUP(INDIRECT(ADDRESS(2,COLUMN())),OFFSET($BN$2,0,0,ROW()-1,60),ROW()-1,FALSE))</f>
        <v>7.7446490749999999</v>
      </c>
      <c r="AN122">
        <f ca="1">IF(AND(ISNUMBER($AN$369),$B$258=1),$AN$369,HLOOKUP(INDIRECT(ADDRESS(2,COLUMN())),OFFSET($BN$2,0,0,ROW()-1,60),ROW()-1,FALSE))</f>
        <v>0.57051001400000001</v>
      </c>
      <c r="AO122">
        <f ca="1">IF(AND(ISNUMBER($AO$369),$B$258=1),$AO$369,HLOOKUP(INDIRECT(ADDRESS(2,COLUMN())),OFFSET($BN$2,0,0,ROW()-1,60),ROW()-1,FALSE))</f>
        <v>7.6278205669999997</v>
      </c>
      <c r="AP122">
        <f ca="1">IF(AND(ISNUMBER($AP$369),$B$258=1),$AP$369,HLOOKUP(INDIRECT(ADDRESS(2,COLUMN())),OFFSET($BN$2,0,0,ROW()-1,60),ROW()-1,FALSE))</f>
        <v>9.6444054870000002</v>
      </c>
      <c r="AQ122">
        <f ca="1">IF(AND(ISNUMBER($AQ$369),$B$258=1),$AQ$369,HLOOKUP(INDIRECT(ADDRESS(2,COLUMN())),OFFSET($BN$2,0,0,ROW()-1,60),ROW()-1,FALSE))</f>
        <v>4.7515285030000003</v>
      </c>
      <c r="AR122">
        <f ca="1">IF(AND(ISNUMBER($AR$369),$B$258=1),$AR$369,HLOOKUP(INDIRECT(ADDRESS(2,COLUMN())),OFFSET($BN$2,0,0,ROW()-1,60),ROW()-1,FALSE))</f>
        <v>17.35146743</v>
      </c>
      <c r="AS122">
        <f ca="1">IF(AND(ISNUMBER($AS$369),$B$258=1),$AS$369,HLOOKUP(INDIRECT(ADDRESS(2,COLUMN())),OFFSET($BN$2,0,0,ROW()-1,60),ROW()-1,FALSE))</f>
        <v>14.58361051</v>
      </c>
      <c r="AT122">
        <f ca="1">IF(AND(ISNUMBER($AT$369),$B$258=1),$AT$369,HLOOKUP(INDIRECT(ADDRESS(2,COLUMN())),OFFSET($BN$2,0,0,ROW()-1,60),ROW()-1,FALSE))</f>
        <v>14.873409110000001</v>
      </c>
      <c r="AU122">
        <f ca="1">IF(AND(ISNUMBER($AU$369),$B$258=1),$AU$369,HLOOKUP(INDIRECT(ADDRESS(2,COLUMN())),OFFSET($BN$2,0,0,ROW()-1,60),ROW()-1,FALSE))</f>
        <v>42.71589187</v>
      </c>
      <c r="AV122">
        <f ca="1">IF(AND(ISNUMBER($AV$369),$B$258=1),$AV$369,HLOOKUP(INDIRECT(ADDRESS(2,COLUMN())),OFFSET($BN$2,0,0,ROW()-1,60),ROW()-1,FALSE))</f>
        <v>50.724140990000002</v>
      </c>
      <c r="AW122">
        <f ca="1">IF(AND(ISNUMBER($AW$369),$B$258=1),$AW$369,HLOOKUP(INDIRECT(ADDRESS(2,COLUMN())),OFFSET($BN$2,0,0,ROW()-1,60),ROW()-1,FALSE))</f>
        <v>44.724140589999998</v>
      </c>
      <c r="AX122">
        <f ca="1">IF(AND(ISNUMBER($AX$369),$B$258=1),$AX$369,HLOOKUP(INDIRECT(ADDRESS(2,COLUMN())),OFFSET($BN$2,0,0,ROW()-1,60),ROW()-1,FALSE))</f>
        <v>45.033417530000001</v>
      </c>
      <c r="AY122">
        <f ca="1">IF(AND(ISNUMBER($AY$369),$B$258=1),$AY$369,HLOOKUP(INDIRECT(ADDRESS(2,COLUMN())),OFFSET($BN$2,0,0,ROW()-1,60),ROW()-1,FALSE))</f>
        <v>15.48793643</v>
      </c>
      <c r="AZ122">
        <f ca="1">IF(AND(ISNUMBER($AZ$369),$B$258=1),$AZ$369,HLOOKUP(INDIRECT(ADDRESS(2,COLUMN())),OFFSET($BN$2,0,0,ROW()-1,60),ROW()-1,FALSE))</f>
        <v>12.089178499999999</v>
      </c>
      <c r="BA122">
        <f ca="1">IF(AND(ISNUMBER($BA$369),$B$258=1),$BA$369,HLOOKUP(INDIRECT(ADDRESS(2,COLUMN())),OFFSET($BN$2,0,0,ROW()-1,60),ROW()-1,FALSE))</f>
        <v>19.12895876</v>
      </c>
      <c r="BB122">
        <f ca="1">IF(AND(ISNUMBER($BB$369),$B$258=1),$BB$369,HLOOKUP(INDIRECT(ADDRESS(2,COLUMN())),OFFSET($BN$2,0,0,ROW()-1,60),ROW()-1,FALSE))</f>
        <v>16.580263200000001</v>
      </c>
      <c r="BC122">
        <f ca="1">IF(AND(ISNUMBER($BC$369),$B$258=1),$BC$369,HLOOKUP(INDIRECT(ADDRESS(2,COLUMN())),OFFSET($BN$2,0,0,ROW()-1,60),ROW()-1,FALSE))</f>
        <v>37.878870329999998</v>
      </c>
      <c r="BD122">
        <f ca="1">IF(AND(ISNUMBER($BD$369),$B$258=1),$BD$369,HLOOKUP(INDIRECT(ADDRESS(2,COLUMN())),OFFSET($BN$2,0,0,ROW()-1,60),ROW()-1,FALSE))</f>
        <v>10.46221063</v>
      </c>
      <c r="BE122">
        <f ca="1">IF(AND(ISNUMBER($BE$369),$B$258=1),$BE$369,HLOOKUP(INDIRECT(ADDRESS(2,COLUMN())),OFFSET($BN$2,0,0,ROW()-1,60),ROW()-1,FALSE))</f>
        <v>10.21168301</v>
      </c>
      <c r="BF122">
        <f ca="1">IF(AND(ISNUMBER($BF$369),$B$258=1),$BF$369,HLOOKUP(INDIRECT(ADDRESS(2,COLUMN())),OFFSET($BN$2,0,0,ROW()-1,60),ROW()-1,FALSE))</f>
        <v>6.9503453029999998</v>
      </c>
      <c r="BG122">
        <f ca="1">IF(AND(ISNUMBER($BG$369),$B$258=1),$BG$369,HLOOKUP(INDIRECT(ADDRESS(2,COLUMN())),OFFSET($BN$2,0,0,ROW()-1,60),ROW()-1,FALSE))</f>
        <v>-9.9755091450000002</v>
      </c>
      <c r="BH122">
        <f ca="1">IF(AND(ISNUMBER($BH$369),$B$258=1),$BH$369,HLOOKUP(INDIRECT(ADDRESS(2,COLUMN())),OFFSET($BN$2,0,0,ROW()-1,60),ROW()-1,FALSE))</f>
        <v>29.62759239</v>
      </c>
      <c r="BI122">
        <f ca="1">IF(AND(ISNUMBER($BI$369),$B$258=1),$BI$369,HLOOKUP(INDIRECT(ADDRESS(2,COLUMN())),OFFSET($BN$2,0,0,ROW()-1,60),ROW()-1,FALSE))</f>
        <v>32.376957740000002</v>
      </c>
      <c r="BJ122">
        <f ca="1">IF(AND(ISNUMBER($BJ$369),$B$258=1),$BJ$369,HLOOKUP(INDIRECT(ADDRESS(2,COLUMN())),OFFSET($BN$2,0,0,ROW()-1,60),ROW()-1,FALSE))</f>
        <v>38.117679039999999</v>
      </c>
      <c r="BK122">
        <f ca="1">IF(AND(ISNUMBER($BK$369),$B$258=1),$BK$369,HLOOKUP(INDIRECT(ADDRESS(2,COLUMN())),OFFSET($BN$2,0,0,ROW()-1,60),ROW()-1,FALSE))</f>
        <v>41.171047919999999</v>
      </c>
      <c r="BL122">
        <f ca="1">IF(AND(ISNUMBER($BL$369),$B$258=1),$BL$369,HLOOKUP(INDIRECT(ADDRESS(2,COLUMN())),OFFSET($BN$2,0,0,ROW()-1,60),ROW()-1,FALSE))</f>
        <v>22.262628280000001</v>
      </c>
      <c r="BM122">
        <f ca="1">IF(AND(ISNUMBER($BM$369),$B$258=1),$BM$369,HLOOKUP(INDIRECT(ADDRESS(2,COLUMN())),OFFSET($BN$2,0,0,ROW()-1,60),ROW()-1,FALSE))</f>
        <v>13.80763762</v>
      </c>
      <c r="BN122" t="str">
        <f>""</f>
        <v/>
      </c>
      <c r="BO122">
        <f>2.405220709</f>
        <v>2.405220709</v>
      </c>
      <c r="BP122">
        <f>1.144437247</f>
        <v>1.1444372469999999</v>
      </c>
      <c r="BQ122">
        <f>-1.676950041</f>
        <v>-1.676950041</v>
      </c>
      <c r="BR122">
        <f>1.456281935</f>
        <v>1.456281935</v>
      </c>
      <c r="BS122">
        <f>4.743832833</f>
        <v>4.7438328329999999</v>
      </c>
      <c r="BT122">
        <f>10.22842767</f>
        <v>10.22842767</v>
      </c>
      <c r="BU122">
        <f>12.48347993</f>
        <v>12.48347993</v>
      </c>
      <c r="BV122">
        <f>17.09650327</f>
        <v>17.096503269999999</v>
      </c>
      <c r="BW122">
        <f>18.63571987</f>
        <v>18.635719869999999</v>
      </c>
      <c r="BX122">
        <f>15.51273535</f>
        <v>15.51273535</v>
      </c>
      <c r="BY122">
        <f>15.81748838</f>
        <v>15.81748838</v>
      </c>
      <c r="BZ122">
        <f>11.52022868</f>
        <v>11.520228680000001</v>
      </c>
      <c r="CA122">
        <f>10.04239282</f>
        <v>10.04239282</v>
      </c>
      <c r="CB122">
        <f>8.142287144</f>
        <v>8.1422871440000009</v>
      </c>
      <c r="CC122">
        <f>21.79893977</f>
        <v>21.79893977</v>
      </c>
      <c r="CD122">
        <f>27.32673362</f>
        <v>27.326733619999999</v>
      </c>
      <c r="CE122">
        <f>58.67889827</f>
        <v>58.678898269999998</v>
      </c>
      <c r="CF122">
        <f>69.69575583</f>
        <v>69.695755829999996</v>
      </c>
      <c r="CG122">
        <f>54.66232372</f>
        <v>54.662323720000003</v>
      </c>
      <c r="CH122">
        <f>50.6531163</f>
        <v>50.653116300000001</v>
      </c>
      <c r="CI122">
        <f>29.22756881</f>
        <v>29.227568810000001</v>
      </c>
      <c r="CJ122">
        <f>24.5739487</f>
        <v>24.573948699999999</v>
      </c>
      <c r="CK122">
        <f>18.70038582</f>
        <v>18.700385820000001</v>
      </c>
      <c r="CL122">
        <f>70.08577614</f>
        <v>70.085776139999993</v>
      </c>
      <c r="CM122">
        <f>95.7840986</f>
        <v>95.784098599999993</v>
      </c>
      <c r="CN122">
        <f>119.4408765</f>
        <v>119.4408765</v>
      </c>
      <c r="CO122">
        <f>140.3931082</f>
        <v>140.3931082</v>
      </c>
      <c r="CP122">
        <f>69.04737338</f>
        <v>69.047373379999996</v>
      </c>
      <c r="CQ122">
        <f>38.91006556</f>
        <v>38.91006556</v>
      </c>
      <c r="CR122">
        <f>20.54957758</f>
        <v>20.549577580000001</v>
      </c>
      <c r="CS122">
        <f>10.57976539</f>
        <v>10.57976539</v>
      </c>
      <c r="CT122">
        <f>4.703772525</f>
        <v>4.7037725249999998</v>
      </c>
      <c r="CU122">
        <f>7.744649075</f>
        <v>7.7446490749999999</v>
      </c>
      <c r="CV122">
        <f>0.570510014</f>
        <v>0.57051001400000001</v>
      </c>
      <c r="CW122">
        <f>7.627820567</f>
        <v>7.6278205669999997</v>
      </c>
      <c r="CX122">
        <f>9.644405487</f>
        <v>9.6444054870000002</v>
      </c>
      <c r="CY122">
        <f>4.751528503</f>
        <v>4.7515285030000003</v>
      </c>
      <c r="CZ122">
        <f>17.35146743</f>
        <v>17.35146743</v>
      </c>
      <c r="DA122">
        <f>14.58361051</f>
        <v>14.58361051</v>
      </c>
      <c r="DB122">
        <f>14.87340911</f>
        <v>14.873409110000001</v>
      </c>
      <c r="DC122">
        <f>42.71589187</f>
        <v>42.71589187</v>
      </c>
      <c r="DD122">
        <f>50.72414099</f>
        <v>50.724140990000002</v>
      </c>
      <c r="DE122">
        <f>44.72414059</f>
        <v>44.724140589999998</v>
      </c>
      <c r="DF122">
        <f>45.03341753</f>
        <v>45.033417530000001</v>
      </c>
      <c r="DG122">
        <f>15.48793643</f>
        <v>15.48793643</v>
      </c>
      <c r="DH122">
        <f>12.0891785</f>
        <v>12.089178499999999</v>
      </c>
      <c r="DI122">
        <f>19.12895876</f>
        <v>19.12895876</v>
      </c>
      <c r="DJ122">
        <f>16.5802632</f>
        <v>16.580263200000001</v>
      </c>
      <c r="DK122">
        <f>37.87887033</f>
        <v>37.878870329999998</v>
      </c>
      <c r="DL122">
        <f>10.46221063</f>
        <v>10.46221063</v>
      </c>
      <c r="DM122">
        <f>10.21168301</f>
        <v>10.21168301</v>
      </c>
      <c r="DN122">
        <f>6.950345303</f>
        <v>6.9503453029999998</v>
      </c>
      <c r="DO122">
        <f>-9.975509145</f>
        <v>-9.9755091450000002</v>
      </c>
      <c r="DP122">
        <f>29.62759239</f>
        <v>29.62759239</v>
      </c>
      <c r="DQ122">
        <f>32.37695774</f>
        <v>32.376957740000002</v>
      </c>
      <c r="DR122">
        <f>38.11767904</f>
        <v>38.117679039999999</v>
      </c>
      <c r="DS122">
        <f>41.17104792</f>
        <v>41.171047919999999</v>
      </c>
      <c r="DT122">
        <f>22.26262828</f>
        <v>22.262628280000001</v>
      </c>
      <c r="DU122">
        <f>13.80763762</f>
        <v>13.80763762</v>
      </c>
    </row>
    <row r="123" spans="1:125">
      <c r="A123" t="str">
        <f>"NOI增长(%)"</f>
        <v>NOI增长(%)</v>
      </c>
      <c r="B123" t="str">
        <f>""</f>
        <v/>
      </c>
      <c r="E123" t="str">
        <f>"Median"</f>
        <v>Median</v>
      </c>
      <c r="F123" t="str">
        <f ca="1">IF(ISERROR(IF(MEDIAN($F$124:$F$134) = 0, "", MEDIAN($F$124:$F$134))), "", (IF(MEDIAN($F$124:$F$134) = 0, "", MEDIAN($F$124:$F$134))))</f>
        <v/>
      </c>
      <c r="G123">
        <f ca="1">IF(ISERROR(IF(MEDIAN($G$124:$G$134) = 0, "", MEDIAN($G$124:$G$134))), "", (IF(MEDIAN($G$124:$G$134) = 0, "", MEDIAN($G$124:$G$134))))</f>
        <v>-0.11742258750000001</v>
      </c>
      <c r="H123">
        <f ca="1">IF(ISERROR(IF(MEDIAN($H$124:$H$134) = 0, "", MEDIAN($H$124:$H$134))), "", (IF(MEDIAN($H$124:$H$134) = 0, "", MEDIAN($H$124:$H$134))))</f>
        <v>2.9503937935</v>
      </c>
      <c r="I123">
        <f ca="1">IF(ISERROR(IF(MEDIAN($I$124:$I$134) = 0, "", MEDIAN($I$124:$I$134))), "", (IF(MEDIAN($I$124:$I$134) = 0, "", MEDIAN($I$124:$I$134))))</f>
        <v>4.4891320974999998</v>
      </c>
      <c r="J123">
        <f ca="1">IF(ISERROR(IF(MEDIAN($J$124:$J$134) = 0, "", MEDIAN($J$124:$J$134))), "", (IF(MEDIAN($J$124:$J$134) = 0, "", MEDIAN($J$124:$J$134))))</f>
        <v>5.344014295</v>
      </c>
      <c r="K123">
        <f ca="1">IF(ISERROR(IF(MEDIAN($K$124:$K$134) = 0, "", MEDIAN($K$124:$K$134))), "", (IF(MEDIAN($K$124:$K$134) = 0, "", MEDIAN($K$124:$K$134))))</f>
        <v>6.9354838709999997</v>
      </c>
      <c r="L123">
        <f ca="1">IF(ISERROR(IF(MEDIAN($L$124:$L$134) = 0, "", MEDIAN($L$124:$L$134))), "", (IF(MEDIAN($L$124:$L$134) = 0, "", MEDIAN($L$124:$L$134))))</f>
        <v>7.4945295400000003</v>
      </c>
      <c r="M123">
        <f ca="1">IF(ISERROR(IF(MEDIAN($M$124:$M$134) = 0, "", MEDIAN($M$124:$M$134))), "", (IF(MEDIAN($M$124:$M$134) = 0, "", MEDIAN($M$124:$M$134))))</f>
        <v>7.7955627600000001</v>
      </c>
      <c r="N123">
        <f ca="1">IF(ISERROR(IF(MEDIAN($N$124:$N$134) = 0, "", MEDIAN($N$124:$N$134))), "", (IF(MEDIAN($N$124:$N$134) = 0, "", MEDIAN($N$124:$N$134))))</f>
        <v>9.9833055010000002</v>
      </c>
      <c r="O123">
        <f ca="1">IF(ISERROR(IF(MEDIAN($O$124:$O$134) = 0, "", MEDIAN($O$124:$O$134))), "", (IF(MEDIAN($O$124:$O$134) = 0, "", MEDIAN($O$124:$O$134))))</f>
        <v>12.80900424</v>
      </c>
      <c r="P123">
        <f ca="1">IF(ISERROR(IF(MEDIAN($P$124:$P$134) = 0, "", MEDIAN($P$124:$P$134))), "", (IF(MEDIAN($P$124:$P$134) = 0, "", MEDIAN($P$124:$P$134))))</f>
        <v>13.33357307</v>
      </c>
      <c r="Q123">
        <f ca="1">IF(ISERROR(IF(MEDIAN($Q$124:$Q$134) = 0, "", MEDIAN($Q$124:$Q$134))), "", (IF(MEDIAN($Q$124:$Q$134) = 0, "", MEDIAN($Q$124:$Q$134))))</f>
        <v>13.145491074999999</v>
      </c>
      <c r="R123">
        <f ca="1">IF(ISERROR(IF(MEDIAN($R$124:$R$134) = 0, "", MEDIAN($R$124:$R$134))), "", (IF(MEDIAN($R$124:$R$134) = 0, "", MEDIAN($R$124:$R$134))))</f>
        <v>10.575266758</v>
      </c>
      <c r="S123">
        <f ca="1">IF(ISERROR(IF(MEDIAN($S$124:$S$134) = 0, "", MEDIAN($S$124:$S$134))), "", (IF(MEDIAN($S$124:$S$134) = 0, "", MEDIAN($S$124:$S$134))))</f>
        <v>12.54720219</v>
      </c>
      <c r="T123">
        <f ca="1">IF(ISERROR(IF(MEDIAN($T$124:$T$134) = 0, "", MEDIAN($T$124:$T$134))), "", (IF(MEDIAN($T$124:$T$134) = 0, "", MEDIAN($T$124:$T$134))))</f>
        <v>19.002097855000002</v>
      </c>
      <c r="U123">
        <f ca="1">IF(ISERROR(IF(MEDIAN($U$124:$U$134) = 0, "", MEDIAN($U$124:$U$134))), "", (IF(MEDIAN($U$124:$U$134) = 0, "", MEDIAN($U$124:$U$134))))</f>
        <v>18.670770314999999</v>
      </c>
      <c r="V123">
        <f ca="1">IF(ISERROR(IF(MEDIAN($V$124:$V$134) = 0, "", MEDIAN($V$124:$V$134))), "", (IF(MEDIAN($V$124:$V$134) = 0, "", MEDIAN($V$124:$V$134))))</f>
        <v>16.017842444999999</v>
      </c>
      <c r="W123">
        <f ca="1">IF(ISERROR(IF(MEDIAN($W$124:$W$134) = 0, "", MEDIAN($W$124:$W$134))), "", (IF(MEDIAN($W$124:$W$134) = 0, "", MEDIAN($W$124:$W$134))))</f>
        <v>16.616838715</v>
      </c>
      <c r="X123">
        <f ca="1">IF(ISERROR(IF(MEDIAN($X$124:$X$134) = 0, "", MEDIAN($X$124:$X$134))), "", (IF(MEDIAN($X$124:$X$134) = 0, "", MEDIAN($X$124:$X$134))))</f>
        <v>11.46743043</v>
      </c>
      <c r="Y123">
        <f ca="1">IF(ISERROR(IF(MEDIAN($Y$124:$Y$134) = 0, "", MEDIAN($Y$124:$Y$134))), "", (IF(MEDIAN($Y$124:$Y$134) = 0, "", MEDIAN($Y$124:$Y$134))))</f>
        <v>11.921258590000001</v>
      </c>
      <c r="Z123">
        <f ca="1">IF(ISERROR(IF(MEDIAN($Z$124:$Z$134) = 0, "", MEDIAN($Z$124:$Z$134))), "", (IF(MEDIAN($Z$124:$Z$134) = 0, "", MEDIAN($Z$124:$Z$134))))</f>
        <v>16.78912287</v>
      </c>
      <c r="AA123">
        <f ca="1">IF(ISERROR(IF(MEDIAN($AA$124:$AA$134) = 0, "", MEDIAN($AA$124:$AA$134))), "", (IF(MEDIAN($AA$124:$AA$134) = 0, "", MEDIAN($AA$124:$AA$134))))</f>
        <v>8.7843696774999991</v>
      </c>
      <c r="AB123">
        <f ca="1">IF(ISERROR(IF(MEDIAN($AB$124:$AB$134) = 0, "", MEDIAN($AB$124:$AB$134))), "", (IF(MEDIAN($AB$124:$AB$134) = 0, "", MEDIAN($AB$124:$AB$134))))</f>
        <v>12.784108245000001</v>
      </c>
      <c r="AC123">
        <f ca="1">IF(ISERROR(IF(MEDIAN($AC$124:$AC$134) = 0, "", MEDIAN($AC$124:$AC$134))), "", (IF(MEDIAN($AC$124:$AC$134) = 0, "", MEDIAN($AC$124:$AC$134))))</f>
        <v>11.653559945000001</v>
      </c>
      <c r="AD123">
        <f ca="1">IF(ISERROR(IF(MEDIAN($AD$124:$AD$134) = 0, "", MEDIAN($AD$124:$AD$134))), "", (IF(MEDIAN($AD$124:$AD$134) = 0, "", MEDIAN($AD$124:$AD$134))))</f>
        <v>14.35236686</v>
      </c>
      <c r="AE123">
        <f ca="1">IF(ISERROR(IF(MEDIAN($AE$124:$AE$134) = 0, "", MEDIAN($AE$124:$AE$134))), "", (IF(MEDIAN($AE$124:$AE$134) = 0, "", MEDIAN($AE$124:$AE$134))))</f>
        <v>23.111343130000002</v>
      </c>
      <c r="AF123">
        <f ca="1">IF(ISERROR(IF(MEDIAN($AF$124:$AF$134) = 0, "", MEDIAN($AF$124:$AF$134))), "", (IF(MEDIAN($AF$124:$AF$134) = 0, "", MEDIAN($AF$124:$AF$134))))</f>
        <v>29.351711600000002</v>
      </c>
      <c r="AG123">
        <f ca="1">IF(ISERROR(IF(MEDIAN($AG$124:$AG$134) = 0, "", MEDIAN($AG$124:$AG$134))), "", (IF(MEDIAN($AG$124:$AG$134) = 0, "", MEDIAN($AG$124:$AG$134))))</f>
        <v>27.228385200000002</v>
      </c>
      <c r="AH123">
        <f ca="1">IF(ISERROR(IF(MEDIAN($AH$124:$AH$134) = 0, "", MEDIAN($AH$124:$AH$134))), "", (IF(MEDIAN($AH$124:$AH$134) = 0, "", MEDIAN($AH$124:$AH$134))))</f>
        <v>16.9410895</v>
      </c>
      <c r="AI123">
        <f ca="1">IF(ISERROR(IF(MEDIAN($AI$124:$AI$134) = 0, "", MEDIAN($AI$124:$AI$134))), "", (IF(MEDIAN($AI$124:$AI$134) = 0, "", MEDIAN($AI$124:$AI$134))))</f>
        <v>10.015466914000001</v>
      </c>
      <c r="AJ123">
        <f ca="1">IF(ISERROR(IF(MEDIAN($AJ$124:$AJ$134) = 0, "", MEDIAN($AJ$124:$AJ$134))), "", (IF(MEDIAN($AJ$124:$AJ$134) = 0, "", MEDIAN($AJ$124:$AJ$134))))</f>
        <v>9.3927578379999996</v>
      </c>
      <c r="AK123">
        <f ca="1">IF(ISERROR(IF(MEDIAN($AK$124:$AK$134) = 0, "", MEDIAN($AK$124:$AK$134))), "", (IF(MEDIAN($AK$124:$AK$134) = 0, "", MEDIAN($AK$124:$AK$134))))</f>
        <v>8.0208432724999987</v>
      </c>
      <c r="AL123">
        <f ca="1">IF(ISERROR(IF(MEDIAN($AL$124:$AL$134) = 0, "", MEDIAN($AL$124:$AL$134))), "", (IF(MEDIAN($AL$124:$AL$134) = 0, "", MEDIAN($AL$124:$AL$134))))</f>
        <v>5.5194013640000001</v>
      </c>
      <c r="AM123">
        <f ca="1">IF(ISERROR(IF(MEDIAN($AM$124:$AM$134) = 0, "", MEDIAN($AM$124:$AM$134))), "", (IF(MEDIAN($AM$124:$AM$134) = 0, "", MEDIAN($AM$124:$AM$134))))</f>
        <v>7.3212279965000002</v>
      </c>
      <c r="AN123">
        <f ca="1">IF(ISERROR(IF(MEDIAN($AN$124:$AN$134) = 0, "", MEDIAN($AN$124:$AN$134))), "", (IF(MEDIAN($AN$124:$AN$134) = 0, "", MEDIAN($AN$124:$AN$134))))</f>
        <v>3.9368125819999999</v>
      </c>
      <c r="AO123">
        <f ca="1">IF(ISERROR(IF(MEDIAN($AO$124:$AO$134) = 0, "", MEDIAN($AO$124:$AO$134))), "", (IF(MEDIAN($AO$124:$AO$134) = 0, "", MEDIAN($AO$124:$AO$134))))</f>
        <v>8.3553635919999998</v>
      </c>
      <c r="AP123">
        <f ca="1">IF(ISERROR(IF(MEDIAN($AP$124:$AP$134) = 0, "", MEDIAN($AP$124:$AP$134))), "", (IF(MEDIAN($AP$124:$AP$134) = 0, "", MEDIAN($AP$124:$AP$134))))</f>
        <v>14.074936430000001</v>
      </c>
      <c r="AQ123">
        <f ca="1">IF(ISERROR(IF(MEDIAN($AQ$124:$AQ$134) = 0, "", MEDIAN($AQ$124:$AQ$134))), "", (IF(MEDIAN($AQ$124:$AQ$134) = 0, "", MEDIAN($AQ$124:$AQ$134))))</f>
        <v>11.562422720000001</v>
      </c>
      <c r="AR123">
        <f ca="1">IF(ISERROR(IF(MEDIAN($AR$124:$AR$134) = 0, "", MEDIAN($AR$124:$AR$134))), "", (IF(MEDIAN($AR$124:$AR$134) = 0, "", MEDIAN($AR$124:$AR$134))))</f>
        <v>11.505418799999999</v>
      </c>
      <c r="AS123">
        <f ca="1">IF(ISERROR(IF(MEDIAN($AS$124:$AS$134) = 0, "", MEDIAN($AS$124:$AS$134))), "", (IF(MEDIAN($AS$124:$AS$134) = 0, "", MEDIAN($AS$124:$AS$134))))</f>
        <v>13.467468755000001</v>
      </c>
      <c r="AT123">
        <f ca="1">IF(ISERROR(IF(MEDIAN($AT$124:$AT$134) = 0, "", MEDIAN($AT$124:$AT$134))), "", (IF(MEDIAN($AT$124:$AT$134) = 0, "", MEDIAN($AT$124:$AT$134))))</f>
        <v>12.618665109999998</v>
      </c>
      <c r="AU123">
        <f ca="1">IF(ISERROR(IF(MEDIAN($AU$124:$AU$134) = 0, "", MEDIAN($AU$124:$AU$134))), "", (IF(MEDIAN($AU$124:$AU$134) = 0, "", MEDIAN($AU$124:$AU$134))))</f>
        <v>18.153647580000001</v>
      </c>
      <c r="AV123">
        <f ca="1">IF(ISERROR(IF(MEDIAN($AV$124:$AV$134) = 0, "", MEDIAN($AV$124:$AV$134))), "", (IF(MEDIAN($AV$124:$AV$134) = 0, "", MEDIAN($AV$124:$AV$134))))</f>
        <v>28.736983430000002</v>
      </c>
      <c r="AW123">
        <f ca="1">IF(ISERROR(IF(MEDIAN($AW$124:$AW$134) = 0, "", MEDIAN($AW$124:$AW$134))), "", (IF(MEDIAN($AW$124:$AW$134) = 0, "", MEDIAN($AW$124:$AW$134))))</f>
        <v>27.530947309999998</v>
      </c>
      <c r="AX123">
        <f ca="1">IF(ISERROR(IF(MEDIAN($AX$124:$AX$134) = 0, "", MEDIAN($AX$124:$AX$134))), "", (IF(MEDIAN($AX$124:$AX$134) = 0, "", MEDIAN($AX$124:$AX$134))))</f>
        <v>26.694787034999997</v>
      </c>
      <c r="AY123">
        <f ca="1">IF(ISERROR(IF(MEDIAN($AY$124:$AY$134) = 0, "", MEDIAN($AY$124:$AY$134))), "", (IF(MEDIAN($AY$124:$AY$134) = 0, "", MEDIAN($AY$124:$AY$134))))</f>
        <v>27.476173169999999</v>
      </c>
      <c r="AZ123">
        <f ca="1">IF(ISERROR(IF(MEDIAN($AZ$124:$AZ$134) = 0, "", MEDIAN($AZ$124:$AZ$134))), "", (IF(MEDIAN($AZ$124:$AZ$134) = 0, "", MEDIAN($AZ$124:$AZ$134))))</f>
        <v>11.17989708</v>
      </c>
      <c r="BA123">
        <f ca="1">IF(ISERROR(IF(MEDIAN($BA$124:$BA$134) = 0, "", MEDIAN($BA$124:$BA$134))), "", (IF(MEDIAN($BA$124:$BA$134) = 0, "", MEDIAN($BA$124:$BA$134))))</f>
        <v>22.310911879999999</v>
      </c>
      <c r="BB123">
        <f ca="1">IF(ISERROR(IF(MEDIAN($BB$124:$BB$134) = 0, "", MEDIAN($BB$124:$BB$134))), "", (IF(MEDIAN($BB$124:$BB$134) = 0, "", MEDIAN($BB$124:$BB$134))))</f>
        <v>21.489042040000001</v>
      </c>
      <c r="BC123">
        <f ca="1">IF(ISERROR(IF(MEDIAN($BC$124:$BC$134) = 0, "", MEDIAN($BC$124:$BC$134))), "", (IF(MEDIAN($BC$124:$BC$134) = 0, "", MEDIAN($BC$124:$BC$134))))</f>
        <v>31.053964539999999</v>
      </c>
      <c r="BD123">
        <f ca="1">IF(ISERROR(IF(MEDIAN($BD$124:$BD$134) = 0, "", MEDIAN($BD$124:$BD$134))), "", (IF(MEDIAN($BD$124:$BD$134) = 0, "", MEDIAN($BD$124:$BD$134))))</f>
        <v>21.948246439999998</v>
      </c>
      <c r="BE123">
        <f ca="1">IF(ISERROR(IF(MEDIAN($BE$124:$BE$134) = 0, "", MEDIAN($BE$124:$BE$134))), "", (IF(MEDIAN($BE$124:$BE$134) = 0, "", MEDIAN($BE$124:$BE$134))))</f>
        <v>17.585066810000001</v>
      </c>
      <c r="BF123">
        <f ca="1">IF(ISERROR(IF(MEDIAN($BF$124:$BF$134) = 0, "", MEDIAN($BF$124:$BF$134))), "", (IF(MEDIAN($BF$124:$BF$134) = 0, "", MEDIAN($BF$124:$BF$134))))</f>
        <v>17.927164189999999</v>
      </c>
      <c r="BG123">
        <f ca="1">IF(ISERROR(IF(MEDIAN($BG$124:$BG$134) = 0, "", MEDIAN($BG$124:$BG$134))), "", (IF(MEDIAN($BG$124:$BG$134) = 0, "", MEDIAN($BG$124:$BG$134))))</f>
        <v>13.350776809999999</v>
      </c>
      <c r="BH123">
        <f ca="1">IF(ISERROR(IF(MEDIAN($BH$124:$BH$134) = 0, "", MEDIAN($BH$124:$BH$134))), "", (IF(MEDIAN($BH$124:$BH$134) = 0, "", MEDIAN($BH$124:$BH$134))))</f>
        <v>13.583265219999999</v>
      </c>
      <c r="BI123">
        <f ca="1">IF(ISERROR(IF(MEDIAN($BI$124:$BI$134) = 0, "", MEDIAN($BI$124:$BI$134))), "", (IF(MEDIAN($BI$124:$BI$134) = 0, "", MEDIAN($BI$124:$BI$134))))</f>
        <v>13.07811815</v>
      </c>
      <c r="BJ123">
        <f ca="1">IF(ISERROR(IF(MEDIAN($BJ$124:$BJ$134) = 0, "", MEDIAN($BJ$124:$BJ$134))), "", (IF(MEDIAN($BJ$124:$BJ$134) = 0, "", MEDIAN($BJ$124:$BJ$134))))</f>
        <v>12.777445139999999</v>
      </c>
      <c r="BK123">
        <f ca="1">IF(ISERROR(IF(MEDIAN($BK$124:$BK$134) = 0, "", MEDIAN($BK$124:$BK$134))), "", (IF(MEDIAN($BK$124:$BK$134) = 0, "", MEDIAN($BK$124:$BK$134))))</f>
        <v>8.6092496619999999</v>
      </c>
      <c r="BL123">
        <f ca="1">IF(ISERROR(IF(MEDIAN($BL$124:$BL$134) = 0, "", MEDIAN($BL$124:$BL$134))), "", (IF(MEDIAN($BL$124:$BL$134) = 0, "", MEDIAN($BL$124:$BL$134))))</f>
        <v>4.1126691404999995</v>
      </c>
      <c r="BM123">
        <f ca="1">IF(ISERROR(IF(MEDIAN($BM$124:$BM$134) = 0, "", MEDIAN($BM$124:$BM$134))), "", (IF(MEDIAN($BM$124:$BM$134) = 0, "", MEDIAN($BM$124:$BM$134))))</f>
        <v>4.4620554979999998</v>
      </c>
      <c r="BN123" t="str">
        <f>""</f>
        <v/>
      </c>
      <c r="BO123">
        <f>-0.117422587</f>
        <v>-0.11742258699999999</v>
      </c>
      <c r="BP123">
        <f>2.950393794</f>
        <v>2.950393794</v>
      </c>
      <c r="BQ123">
        <f>4.489132098</f>
        <v>4.4891320979999998</v>
      </c>
      <c r="BR123">
        <f>5.344014295</f>
        <v>5.344014295</v>
      </c>
      <c r="BS123">
        <f>6.935483871</f>
        <v>6.9354838709999997</v>
      </c>
      <c r="BT123">
        <f>7.49452954</f>
        <v>7.4945295400000003</v>
      </c>
      <c r="BU123">
        <f>7.79556276</f>
        <v>7.7955627600000001</v>
      </c>
      <c r="BV123">
        <f>9.983305502</f>
        <v>9.9833055020000003</v>
      </c>
      <c r="BW123">
        <f>12.80900424</f>
        <v>12.80900424</v>
      </c>
      <c r="BX123">
        <f>13.33357307</f>
        <v>13.33357307</v>
      </c>
      <c r="BY123">
        <f>13.14549107</f>
        <v>13.14549107</v>
      </c>
      <c r="BZ123">
        <f>10.57526676</f>
        <v>10.57526676</v>
      </c>
      <c r="CA123">
        <f>12.54720219</f>
        <v>12.54720219</v>
      </c>
      <c r="CB123">
        <f>19.00209786</f>
        <v>19.002097859999999</v>
      </c>
      <c r="CC123">
        <f>18.67077031</f>
        <v>18.670770310000002</v>
      </c>
      <c r="CD123">
        <f>16.01784244</f>
        <v>16.017842439999999</v>
      </c>
      <c r="CE123">
        <f>16.61683872</f>
        <v>16.616838720000001</v>
      </c>
      <c r="CF123">
        <f>11.46743043</f>
        <v>11.46743043</v>
      </c>
      <c r="CG123">
        <f>11.92125859</f>
        <v>11.921258590000001</v>
      </c>
      <c r="CH123">
        <f>16.78912287</f>
        <v>16.78912287</v>
      </c>
      <c r="CI123">
        <f>8.784369679</f>
        <v>8.7843696789999992</v>
      </c>
      <c r="CJ123">
        <f>12.78410825</f>
        <v>12.784108249999999</v>
      </c>
      <c r="CK123">
        <f>11.65355995</f>
        <v>11.65355995</v>
      </c>
      <c r="CL123">
        <f>14.35236686</f>
        <v>14.35236686</v>
      </c>
      <c r="CM123">
        <f>23.11134313</f>
        <v>23.111343130000002</v>
      </c>
      <c r="CN123">
        <f>29.3517116</f>
        <v>29.351711600000002</v>
      </c>
      <c r="CO123">
        <f>27.2283852</f>
        <v>27.228385200000002</v>
      </c>
      <c r="CP123">
        <f>16.9410895</f>
        <v>16.9410895</v>
      </c>
      <c r="CQ123">
        <f>10.01546691</f>
        <v>10.015466910000001</v>
      </c>
      <c r="CR123">
        <f>9.392757838</f>
        <v>9.3927578379999996</v>
      </c>
      <c r="CS123">
        <f>8.020843274</f>
        <v>8.0208432740000006</v>
      </c>
      <c r="CT123">
        <f>5.519401364</f>
        <v>5.5194013640000001</v>
      </c>
      <c r="CU123">
        <f>7.321227994</f>
        <v>7.321227994</v>
      </c>
      <c r="CV123">
        <f>3.936812582</f>
        <v>3.9368125819999999</v>
      </c>
      <c r="CW123">
        <f>8.355363592</f>
        <v>8.3553635919999998</v>
      </c>
      <c r="CX123">
        <f>14.07493643</f>
        <v>14.074936429999999</v>
      </c>
      <c r="CY123">
        <f>11.56242272</f>
        <v>11.562422720000001</v>
      </c>
      <c r="CZ123">
        <f>11.5054188</f>
        <v>11.505418799999999</v>
      </c>
      <c r="DA123">
        <f>13.46746875</f>
        <v>13.46746875</v>
      </c>
      <c r="DB123">
        <f>12.61866511</f>
        <v>12.61866511</v>
      </c>
      <c r="DC123">
        <f>18.15364758</f>
        <v>18.153647580000001</v>
      </c>
      <c r="DD123">
        <f>28.73698343</f>
        <v>28.736983429999999</v>
      </c>
      <c r="DE123">
        <f>27.53094731</f>
        <v>27.530947309999998</v>
      </c>
      <c r="DF123">
        <f>26.69478703</f>
        <v>26.694787030000001</v>
      </c>
      <c r="DG123">
        <f>27.47617317</f>
        <v>27.476173169999999</v>
      </c>
      <c r="DH123">
        <f>11.17989708</f>
        <v>11.17989708</v>
      </c>
      <c r="DI123">
        <f>22.31091188</f>
        <v>22.310911879999999</v>
      </c>
      <c r="DJ123">
        <f>21.48904204</f>
        <v>21.489042040000001</v>
      </c>
      <c r="DK123">
        <f>31.05396454</f>
        <v>31.053964539999999</v>
      </c>
      <c r="DL123">
        <f>21.94824644</f>
        <v>21.948246439999998</v>
      </c>
      <c r="DM123">
        <f>17.58506681</f>
        <v>17.585066810000001</v>
      </c>
      <c r="DN123">
        <f>17.92716419</f>
        <v>17.927164189999999</v>
      </c>
      <c r="DO123">
        <f>13.35077681</f>
        <v>13.350776809999999</v>
      </c>
      <c r="DP123">
        <f>13.58326522</f>
        <v>13.583265219999999</v>
      </c>
      <c r="DQ123">
        <f>13.07811815</f>
        <v>13.07811815</v>
      </c>
      <c r="DR123">
        <f>12.77744514</f>
        <v>12.777445139999999</v>
      </c>
      <c r="DS123">
        <f>8.609249662</f>
        <v>8.6092496619999999</v>
      </c>
      <c r="DT123">
        <f>4.11266914</f>
        <v>4.1126691400000004</v>
      </c>
      <c r="DU123">
        <f>4.462055498</f>
        <v>4.4620554979999998</v>
      </c>
    </row>
    <row r="124" spans="1:125">
      <c r="A124" t="str">
        <f>"    Alexandria Real Estate Equitie"</f>
        <v xml:space="preserve">    Alexandria Real Estate Equitie</v>
      </c>
      <c r="B124" t="str">
        <f>"ARE US Equity"</f>
        <v>ARE US Equity</v>
      </c>
      <c r="C124" t="str">
        <f t="shared" ref="C124:C134" si="30">"RR551"</f>
        <v>RR551</v>
      </c>
      <c r="D124" t="str">
        <f t="shared" ref="D124:D134" si="31">"NOI_GROWTH"</f>
        <v>NOI_GROWTH</v>
      </c>
      <c r="E124" t="str">
        <f t="shared" ref="E124:E134" si="32">"动态"</f>
        <v>动态</v>
      </c>
      <c r="F124" t="str">
        <f ca="1">IF(AND(ISNUMBER($F$370),$B$258=1),$F$370,HLOOKUP(INDIRECT(ADDRESS(2,COLUMN())),OFFSET($BN$2,0,0,ROW()-1,60),ROW()-1,FALSE))</f>
        <v/>
      </c>
      <c r="G124">
        <f ca="1">IF(AND(ISNUMBER($G$370),$B$258=1),$G$370,HLOOKUP(INDIRECT(ADDRESS(2,COLUMN())),OFFSET($BN$2,0,0,ROW()-1,60),ROW()-1,FALSE))</f>
        <v>21.98026007</v>
      </c>
      <c r="H124">
        <f ca="1">IF(AND(ISNUMBER($H$370),$B$258=1),$H$370,HLOOKUP(INDIRECT(ADDRESS(2,COLUMN())),OFFSET($BN$2,0,0,ROW()-1,60),ROW()-1,FALSE))</f>
        <v>30.234227180000001</v>
      </c>
      <c r="I124">
        <f ca="1">IF(AND(ISNUMBER($I$370),$B$258=1),$I$370,HLOOKUP(INDIRECT(ADDRESS(2,COLUMN())),OFFSET($BN$2,0,0,ROW()-1,60),ROW()-1,FALSE))</f>
        <v>31.67497642</v>
      </c>
      <c r="J124">
        <f ca="1">IF(AND(ISNUMBER($J$370),$B$258=1),$J$370,HLOOKUP(INDIRECT(ADDRESS(2,COLUMN())),OFFSET($BN$2,0,0,ROW()-1,60),ROW()-1,FALSE))</f>
        <v>32.003088890000001</v>
      </c>
      <c r="K124">
        <f ca="1">IF(AND(ISNUMBER($K$370),$B$258=1),$K$370,HLOOKUP(INDIRECT(ADDRESS(2,COLUMN())),OFFSET($BN$2,0,0,ROW()-1,60),ROW()-1,FALSE))</f>
        <v>19.56251778</v>
      </c>
      <c r="L124">
        <f ca="1">IF(AND(ISNUMBER($L$370),$B$258=1),$L$370,HLOOKUP(INDIRECT(ADDRESS(2,COLUMN())),OFFSET($BN$2,0,0,ROW()-1,60),ROW()-1,FALSE))</f>
        <v>7.4945295400000003</v>
      </c>
      <c r="M124">
        <f ca="1">IF(AND(ISNUMBER($M$370),$B$258=1),$M$370,HLOOKUP(INDIRECT(ADDRESS(2,COLUMN())),OFFSET($BN$2,0,0,ROW()-1,60),ROW()-1,FALSE))</f>
        <v>6.662642204</v>
      </c>
      <c r="N124">
        <f ca="1">IF(AND(ISNUMBER($N$370),$B$258=1),$N$370,HLOOKUP(INDIRECT(ADDRESS(2,COLUMN())),OFFSET($BN$2,0,0,ROW()-1,60),ROW()-1,FALSE))</f>
        <v>10.901597349999999</v>
      </c>
      <c r="O124">
        <f ca="1">IF(AND(ISNUMBER($O$370),$B$258=1),$O$370,HLOOKUP(INDIRECT(ADDRESS(2,COLUMN())),OFFSET($BN$2,0,0,ROW()-1,60),ROW()-1,FALSE))</f>
        <v>11.50192614</v>
      </c>
      <c r="P124">
        <f ca="1">IF(AND(ISNUMBER($P$370),$B$258=1),$P$370,HLOOKUP(INDIRECT(ADDRESS(2,COLUMN())),OFFSET($BN$2,0,0,ROW()-1,60),ROW()-1,FALSE))</f>
        <v>13.28147966</v>
      </c>
      <c r="Q124">
        <f ca="1">IF(AND(ISNUMBER($Q$370),$B$258=1),$Q$370,HLOOKUP(INDIRECT(ADDRESS(2,COLUMN())),OFFSET($BN$2,0,0,ROW()-1,60),ROW()-1,FALSE))</f>
        <v>12.595583530000001</v>
      </c>
      <c r="R124">
        <f ca="1">IF(AND(ISNUMBER($R$370),$B$258=1),$R$370,HLOOKUP(INDIRECT(ADDRESS(2,COLUMN())),OFFSET($BN$2,0,0,ROW()-1,60),ROW()-1,FALSE))</f>
        <v>9.2145809849999996</v>
      </c>
      <c r="S124">
        <f ca="1">IF(AND(ISNUMBER($S$370),$B$258=1),$S$370,HLOOKUP(INDIRECT(ADDRESS(2,COLUMN())),OFFSET($BN$2,0,0,ROW()-1,60),ROW()-1,FALSE))</f>
        <v>11.663542680000001</v>
      </c>
      <c r="T124">
        <f ca="1">IF(AND(ISNUMBER($T$370),$B$258=1),$T$370,HLOOKUP(INDIRECT(ADDRESS(2,COLUMN())),OFFSET($BN$2,0,0,ROW()-1,60),ROW()-1,FALSE))</f>
        <v>17.567883129999998</v>
      </c>
      <c r="U124">
        <f ca="1">IF(AND(ISNUMBER($U$370),$B$258=1),$U$370,HLOOKUP(INDIRECT(ADDRESS(2,COLUMN())),OFFSET($BN$2,0,0,ROW()-1,60),ROW()-1,FALSE))</f>
        <v>18.732766489999999</v>
      </c>
      <c r="V124">
        <f ca="1">IF(AND(ISNUMBER($V$370),$B$258=1),$V$370,HLOOKUP(INDIRECT(ADDRESS(2,COLUMN())),OFFSET($BN$2,0,0,ROW()-1,60),ROW()-1,FALSE))</f>
        <v>17.506501149999998</v>
      </c>
      <c r="W124">
        <f ca="1">IF(AND(ISNUMBER($W$370),$B$258=1),$W$370,HLOOKUP(INDIRECT(ADDRESS(2,COLUMN())),OFFSET($BN$2,0,0,ROW()-1,60),ROW()-1,FALSE))</f>
        <v>14.24356356</v>
      </c>
      <c r="X124">
        <f ca="1">IF(AND(ISNUMBER($X$370),$B$258=1),$X$370,HLOOKUP(INDIRECT(ADDRESS(2,COLUMN())),OFFSET($BN$2,0,0,ROW()-1,60),ROW()-1,FALSE))</f>
        <v>11.49772441</v>
      </c>
      <c r="Y124">
        <f ca="1">IF(AND(ISNUMBER($Y$370),$B$258=1),$Y$370,HLOOKUP(INDIRECT(ADDRESS(2,COLUMN())),OFFSET($BN$2,0,0,ROW()-1,60),ROW()-1,FALSE))</f>
        <v>10.60164917</v>
      </c>
      <c r="Z124">
        <f ca="1">IF(AND(ISNUMBER($Z$370),$B$258=1),$Z$370,HLOOKUP(INDIRECT(ADDRESS(2,COLUMN())),OFFSET($BN$2,0,0,ROW()-1,60),ROW()-1,FALSE))</f>
        <v>10.01295477</v>
      </c>
      <c r="AA124">
        <f ca="1">IF(AND(ISNUMBER($AA$370),$B$258=1),$AA$370,HLOOKUP(INDIRECT(ADDRESS(2,COLUMN())),OFFSET($BN$2,0,0,ROW()-1,60),ROW()-1,FALSE))</f>
        <v>5.4363659059999998</v>
      </c>
      <c r="AB124">
        <f ca="1">IF(AND(ISNUMBER($AB$370),$B$258=1),$AB$370,HLOOKUP(INDIRECT(ADDRESS(2,COLUMN())),OFFSET($BN$2,0,0,ROW()-1,60),ROW()-1,FALSE))</f>
        <v>1.3714104730000001</v>
      </c>
      <c r="AC124">
        <f ca="1">IF(AND(ISNUMBER($AC$370),$B$258=1),$AC$370,HLOOKUP(INDIRECT(ADDRESS(2,COLUMN())),OFFSET($BN$2,0,0,ROW()-1,60),ROW()-1,FALSE))</f>
        <v>-7.5559921409999999</v>
      </c>
      <c r="AD124">
        <f ca="1">IF(AND(ISNUMBER($AD$370),$B$258=1),$AD$370,HLOOKUP(INDIRECT(ADDRESS(2,COLUMN())),OFFSET($BN$2,0,0,ROW()-1,60),ROW()-1,FALSE))</f>
        <v>-5.558614221</v>
      </c>
      <c r="AE124">
        <f ca="1">IF(AND(ISNUMBER($AE$370),$B$258=1),$AE$370,HLOOKUP(INDIRECT(ADDRESS(2,COLUMN())),OFFSET($BN$2,0,0,ROW()-1,60),ROW()-1,FALSE))</f>
        <v>2.8408786930000001</v>
      </c>
      <c r="AF124">
        <f ca="1">IF(AND(ISNUMBER($AF$370),$B$258=1),$AF$370,HLOOKUP(INDIRECT(ADDRESS(2,COLUMN())),OFFSET($BN$2,0,0,ROW()-1,60),ROW()-1,FALSE))</f>
        <v>10.66454809</v>
      </c>
      <c r="AG124">
        <f ca="1">IF(AND(ISNUMBER($AG$370),$B$258=1),$AG$370,HLOOKUP(INDIRECT(ADDRESS(2,COLUMN())),OFFSET($BN$2,0,0,ROW()-1,60),ROW()-1,FALSE))</f>
        <v>18.713047939999999</v>
      </c>
      <c r="AH124">
        <f ca="1">IF(AND(ISNUMBER($AH$370),$B$258=1),$AH$370,HLOOKUP(INDIRECT(ADDRESS(2,COLUMN())),OFFSET($BN$2,0,0,ROW()-1,60),ROW()-1,FALSE))</f>
        <v>16.9410895</v>
      </c>
      <c r="AI124">
        <f ca="1">IF(AND(ISNUMBER($AI$370),$B$258=1),$AI$370,HLOOKUP(INDIRECT(ADDRESS(2,COLUMN())),OFFSET($BN$2,0,0,ROW()-1,60),ROW()-1,FALSE))</f>
        <v>10.44837856</v>
      </c>
      <c r="AJ124">
        <f ca="1">IF(AND(ISNUMBER($AJ$370),$B$258=1),$AJ$370,HLOOKUP(INDIRECT(ADDRESS(2,COLUMN())),OFFSET($BN$2,0,0,ROW()-1,60),ROW()-1,FALSE))</f>
        <v>2.5901643270000001</v>
      </c>
      <c r="AK124">
        <f ca="1">IF(AND(ISNUMBER($AK$370),$B$258=1),$AK$370,HLOOKUP(INDIRECT(ADDRESS(2,COLUMN())),OFFSET($BN$2,0,0,ROW()-1,60),ROW()-1,FALSE))</f>
        <v>3.4352572220000002</v>
      </c>
      <c r="AL124">
        <f ca="1">IF(AND(ISNUMBER($AL$370),$B$258=1),$AL$370,HLOOKUP(INDIRECT(ADDRESS(2,COLUMN())),OFFSET($BN$2,0,0,ROW()-1,60),ROW()-1,FALSE))</f>
        <v>-14.73981682</v>
      </c>
      <c r="AM124">
        <f ca="1">IF(AND(ISNUMBER($AM$370),$B$258=1),$AM$370,HLOOKUP(INDIRECT(ADDRESS(2,COLUMN())),OFFSET($BN$2,0,0,ROW()-1,60),ROW()-1,FALSE))</f>
        <v>-9.6069822350000003</v>
      </c>
      <c r="AN124">
        <f ca="1">IF(AND(ISNUMBER($AN$370),$B$258=1),$AN$370,HLOOKUP(INDIRECT(ADDRESS(2,COLUMN())),OFFSET($BN$2,0,0,ROW()-1,60),ROW()-1,FALSE))</f>
        <v>3.2127570080000001</v>
      </c>
      <c r="AO124">
        <f ca="1">IF(AND(ISNUMBER($AO$370),$B$258=1),$AO$370,HLOOKUP(INDIRECT(ADDRESS(2,COLUMN())),OFFSET($BN$2,0,0,ROW()-1,60),ROW()-1,FALSE))</f>
        <v>5.2868862869999997</v>
      </c>
      <c r="AP124">
        <f ca="1">IF(AND(ISNUMBER($AP$370),$B$258=1),$AP$370,HLOOKUP(INDIRECT(ADDRESS(2,COLUMN())),OFFSET($BN$2,0,0,ROW()-1,60),ROW()-1,FALSE))</f>
        <v>26.03682208</v>
      </c>
      <c r="AQ124">
        <f ca="1">IF(AND(ISNUMBER($AQ$370),$B$258=1),$AQ$370,HLOOKUP(INDIRECT(ADDRESS(2,COLUMN())),OFFSET($BN$2,0,0,ROW()-1,60),ROW()-1,FALSE))</f>
        <v>22.032903999999998</v>
      </c>
      <c r="AR124">
        <f ca="1">IF(AND(ISNUMBER($AR$370),$B$258=1),$AR$370,HLOOKUP(INDIRECT(ADDRESS(2,COLUMN())),OFFSET($BN$2,0,0,ROW()-1,60),ROW()-1,FALSE))</f>
        <v>10.059091029999999</v>
      </c>
      <c r="AS124">
        <f ca="1">IF(AND(ISNUMBER($AS$370),$B$258=1),$AS$370,HLOOKUP(INDIRECT(ADDRESS(2,COLUMN())),OFFSET($BN$2,0,0,ROW()-1,60),ROW()-1,FALSE))</f>
        <v>15.455785110000001</v>
      </c>
      <c r="AT124">
        <f ca="1">IF(AND(ISNUMBER($AT$370),$B$258=1),$AT$370,HLOOKUP(INDIRECT(ADDRESS(2,COLUMN())),OFFSET($BN$2,0,0,ROW()-1,60),ROW()-1,FALSE))</f>
        <v>15.168729989999999</v>
      </c>
      <c r="AU124">
        <f ca="1">IF(AND(ISNUMBER($AU$370),$B$258=1),$AU$370,HLOOKUP(INDIRECT(ADDRESS(2,COLUMN())),OFFSET($BN$2,0,0,ROW()-1,60),ROW()-1,FALSE))</f>
        <v>15.58676391</v>
      </c>
      <c r="AV124">
        <f ca="1">IF(AND(ISNUMBER($AV$370),$B$258=1),$AV$370,HLOOKUP(INDIRECT(ADDRESS(2,COLUMN())),OFFSET($BN$2,0,0,ROW()-1,60),ROW()-1,FALSE))</f>
        <v>19.373923220000002</v>
      </c>
      <c r="AW124">
        <f ca="1">IF(AND(ISNUMBER($AW$370),$B$258=1),$AW$370,HLOOKUP(INDIRECT(ADDRESS(2,COLUMN())),OFFSET($BN$2,0,0,ROW()-1,60),ROW()-1,FALSE))</f>
        <v>27.530947309999998</v>
      </c>
      <c r="AX124">
        <f ca="1">IF(AND(ISNUMBER($AX$370),$B$258=1),$AX$370,HLOOKUP(INDIRECT(ADDRESS(2,COLUMN())),OFFSET($BN$2,0,0,ROW()-1,60),ROW()-1,FALSE))</f>
        <v>33.030386309999997</v>
      </c>
      <c r="AY124">
        <f ca="1">IF(AND(ISNUMBER($AY$370),$B$258=1),$AY$370,HLOOKUP(INDIRECT(ADDRESS(2,COLUMN())),OFFSET($BN$2,0,0,ROW()-1,60),ROW()-1,FALSE))</f>
        <v>38.68884663</v>
      </c>
      <c r="AZ124">
        <f ca="1">IF(AND(ISNUMBER($AZ$370),$B$258=1),$AZ$370,HLOOKUP(INDIRECT(ADDRESS(2,COLUMN())),OFFSET($BN$2,0,0,ROW()-1,60),ROW()-1,FALSE))</f>
        <v>31.674014469999999</v>
      </c>
      <c r="BA124">
        <f ca="1">IF(AND(ISNUMBER($BA$370),$B$258=1),$BA$370,HLOOKUP(INDIRECT(ADDRESS(2,COLUMN())),OFFSET($BN$2,0,0,ROW()-1,60),ROW()-1,FALSE))</f>
        <v>22.310911879999999</v>
      </c>
      <c r="BB124">
        <f ca="1">IF(AND(ISNUMBER($BB$370),$B$258=1),$BB$370,HLOOKUP(INDIRECT(ADDRESS(2,COLUMN())),OFFSET($BN$2,0,0,ROW()-1,60),ROW()-1,FALSE))</f>
        <v>21.489042040000001</v>
      </c>
      <c r="BC124">
        <f ca="1">IF(AND(ISNUMBER($BC$370),$B$258=1),$BC$370,HLOOKUP(INDIRECT(ADDRESS(2,COLUMN())),OFFSET($BN$2,0,0,ROW()-1,60),ROW()-1,FALSE))</f>
        <v>24.210881530000002</v>
      </c>
      <c r="BD124">
        <f ca="1">IF(AND(ISNUMBER($BD$370),$B$258=1),$BD$370,HLOOKUP(INDIRECT(ADDRESS(2,COLUMN())),OFFSET($BN$2,0,0,ROW()-1,60),ROW()-1,FALSE))</f>
        <v>32.379522340000001</v>
      </c>
      <c r="BE124">
        <f ca="1">IF(AND(ISNUMBER($BE$370),$B$258=1),$BE$370,HLOOKUP(INDIRECT(ADDRESS(2,COLUMN())),OFFSET($BN$2,0,0,ROW()-1,60),ROW()-1,FALSE))</f>
        <v>28.19362594</v>
      </c>
      <c r="BF124">
        <f ca="1">IF(AND(ISNUMBER($BF$370),$B$258=1),$BF$370,HLOOKUP(INDIRECT(ADDRESS(2,COLUMN())),OFFSET($BN$2,0,0,ROW()-1,60),ROW()-1,FALSE))</f>
        <v>25.72482235</v>
      </c>
      <c r="BG124">
        <f ca="1">IF(AND(ISNUMBER($BG$370),$B$258=1),$BG$370,HLOOKUP(INDIRECT(ADDRESS(2,COLUMN())),OFFSET($BN$2,0,0,ROW()-1,60),ROW()-1,FALSE))</f>
        <v>22.997350019999999</v>
      </c>
      <c r="BH124">
        <f ca="1">IF(AND(ISNUMBER($BH$370),$B$258=1),$BH$370,HLOOKUP(INDIRECT(ADDRESS(2,COLUMN())),OFFSET($BN$2,0,0,ROW()-1,60),ROW()-1,FALSE))</f>
        <v>13.09878561</v>
      </c>
      <c r="BI124">
        <f ca="1">IF(AND(ISNUMBER($BI$370),$B$258=1),$BI$370,HLOOKUP(INDIRECT(ADDRESS(2,COLUMN())),OFFSET($BN$2,0,0,ROW()-1,60),ROW()-1,FALSE))</f>
        <v>10.2288152</v>
      </c>
      <c r="BJ124">
        <f ca="1">IF(AND(ISNUMBER($BJ$370),$B$258=1),$BJ$370,HLOOKUP(INDIRECT(ADDRESS(2,COLUMN())),OFFSET($BN$2,0,0,ROW()-1,60),ROW()-1,FALSE))</f>
        <v>7.1582329319999998</v>
      </c>
      <c r="BK124">
        <f ca="1">IF(AND(ISNUMBER($BK$370),$B$258=1),$BK$370,HLOOKUP(INDIRECT(ADDRESS(2,COLUMN())),OFFSET($BN$2,0,0,ROW()-1,60),ROW()-1,FALSE))</f>
        <v>7.6286038280000001</v>
      </c>
      <c r="BL124">
        <f ca="1">IF(AND(ISNUMBER($BL$370),$B$258=1),$BL$370,HLOOKUP(INDIRECT(ADDRESS(2,COLUMN())),OFFSET($BN$2,0,0,ROW()-1,60),ROW()-1,FALSE))</f>
        <v>10.24409198</v>
      </c>
      <c r="BM124">
        <f ca="1">IF(AND(ISNUMBER($BM$370),$B$258=1),$BM$370,HLOOKUP(INDIRECT(ADDRESS(2,COLUMN())),OFFSET($BN$2,0,0,ROW()-1,60),ROW()-1,FALSE))</f>
        <v>11.954555320000001</v>
      </c>
      <c r="BN124" t="str">
        <f>""</f>
        <v/>
      </c>
      <c r="BO124">
        <f>21.98026007</f>
        <v>21.98026007</v>
      </c>
      <c r="BP124">
        <f>30.23422718</f>
        <v>30.234227180000001</v>
      </c>
      <c r="BQ124">
        <f>31.67497642</f>
        <v>31.67497642</v>
      </c>
      <c r="BR124">
        <f>32.00308889</f>
        <v>32.003088890000001</v>
      </c>
      <c r="BS124">
        <f>19.56251778</f>
        <v>19.56251778</v>
      </c>
      <c r="BT124">
        <f>7.49452954</f>
        <v>7.4945295400000003</v>
      </c>
      <c r="BU124">
        <f>6.662642204</f>
        <v>6.662642204</v>
      </c>
      <c r="BV124">
        <f>10.90159735</f>
        <v>10.901597349999999</v>
      </c>
      <c r="BW124">
        <f>11.50192614</f>
        <v>11.50192614</v>
      </c>
      <c r="BX124">
        <f>13.28147966</f>
        <v>13.28147966</v>
      </c>
      <c r="BY124">
        <f>12.59558353</f>
        <v>12.595583530000001</v>
      </c>
      <c r="BZ124">
        <f>9.214580985</f>
        <v>9.2145809849999996</v>
      </c>
      <c r="CA124">
        <f>11.66354268</f>
        <v>11.663542680000001</v>
      </c>
      <c r="CB124">
        <f>17.56788313</f>
        <v>17.567883129999998</v>
      </c>
      <c r="CC124">
        <f>18.73276649</f>
        <v>18.732766489999999</v>
      </c>
      <c r="CD124">
        <f>17.50650115</f>
        <v>17.506501149999998</v>
      </c>
      <c r="CE124">
        <f>14.24356356</f>
        <v>14.24356356</v>
      </c>
      <c r="CF124">
        <f>11.49772441</f>
        <v>11.49772441</v>
      </c>
      <c r="CG124">
        <f>10.60164917</f>
        <v>10.60164917</v>
      </c>
      <c r="CH124">
        <f>10.01295477</f>
        <v>10.01295477</v>
      </c>
      <c r="CI124">
        <f>5.436365906</f>
        <v>5.4363659059999998</v>
      </c>
      <c r="CJ124">
        <f>1.371410473</f>
        <v>1.3714104730000001</v>
      </c>
      <c r="CK124">
        <f>-7.555992141</f>
        <v>-7.5559921409999999</v>
      </c>
      <c r="CL124">
        <f>-5.558614221</f>
        <v>-5.558614221</v>
      </c>
      <c r="CM124">
        <f>2.840878693</f>
        <v>2.8408786930000001</v>
      </c>
      <c r="CN124">
        <f>10.66454809</f>
        <v>10.66454809</v>
      </c>
      <c r="CO124">
        <f>18.71304794</f>
        <v>18.713047939999999</v>
      </c>
      <c r="CP124">
        <f>16.9410895</f>
        <v>16.9410895</v>
      </c>
      <c r="CQ124">
        <f>10.44837856</f>
        <v>10.44837856</v>
      </c>
      <c r="CR124">
        <f>2.590164327</f>
        <v>2.5901643270000001</v>
      </c>
      <c r="CS124">
        <f>3.435257222</f>
        <v>3.4352572220000002</v>
      </c>
      <c r="CT124">
        <f>-14.73981682</f>
        <v>-14.73981682</v>
      </c>
      <c r="CU124">
        <f>-9.606982235</f>
        <v>-9.6069822350000003</v>
      </c>
      <c r="CV124">
        <f>3.212757008</f>
        <v>3.2127570080000001</v>
      </c>
      <c r="CW124">
        <f>5.286886287</f>
        <v>5.2868862869999997</v>
      </c>
      <c r="CX124">
        <f>26.03682208</f>
        <v>26.03682208</v>
      </c>
      <c r="CY124">
        <f>22.032904</f>
        <v>22.032903999999998</v>
      </c>
      <c r="CZ124">
        <f>10.05909103</f>
        <v>10.059091029999999</v>
      </c>
      <c r="DA124">
        <f>15.45578511</f>
        <v>15.455785110000001</v>
      </c>
      <c r="DB124">
        <f>15.16872999</f>
        <v>15.168729989999999</v>
      </c>
      <c r="DC124">
        <f>15.58676391</f>
        <v>15.58676391</v>
      </c>
      <c r="DD124">
        <f>19.37392322</f>
        <v>19.373923220000002</v>
      </c>
      <c r="DE124">
        <f>27.53094731</f>
        <v>27.530947309999998</v>
      </c>
      <c r="DF124">
        <f>33.03038631</f>
        <v>33.030386309999997</v>
      </c>
      <c r="DG124">
        <f>38.68884663</f>
        <v>38.68884663</v>
      </c>
      <c r="DH124">
        <f>31.67401447</f>
        <v>31.674014469999999</v>
      </c>
      <c r="DI124">
        <f>22.31091188</f>
        <v>22.310911879999999</v>
      </c>
      <c r="DJ124">
        <f>21.48904204</f>
        <v>21.489042040000001</v>
      </c>
      <c r="DK124">
        <f>24.21088153</f>
        <v>24.210881530000002</v>
      </c>
      <c r="DL124">
        <f>32.37952234</f>
        <v>32.379522340000001</v>
      </c>
      <c r="DM124">
        <f>28.19362594</f>
        <v>28.19362594</v>
      </c>
      <c r="DN124">
        <f>25.72482235</f>
        <v>25.72482235</v>
      </c>
      <c r="DO124">
        <f>22.99735002</f>
        <v>22.997350019999999</v>
      </c>
      <c r="DP124">
        <f>13.09878561</f>
        <v>13.09878561</v>
      </c>
      <c r="DQ124">
        <f>10.2288152</f>
        <v>10.2288152</v>
      </c>
      <c r="DR124">
        <f>7.158232932</f>
        <v>7.1582329319999998</v>
      </c>
      <c r="DS124">
        <f>7.628603828</f>
        <v>7.6286038280000001</v>
      </c>
      <c r="DT124">
        <f>10.24409198</f>
        <v>10.24409198</v>
      </c>
      <c r="DU124">
        <f>11.95455532</f>
        <v>11.954555320000001</v>
      </c>
    </row>
    <row r="125" spans="1:125">
      <c r="A125" t="str">
        <f>"    Care Capital Properties Inc"</f>
        <v xml:space="preserve">    Care Capital Properties Inc</v>
      </c>
      <c r="B125" t="str">
        <f>"CCP US Equity"</f>
        <v>CCP US Equity</v>
      </c>
      <c r="C125" t="str">
        <f t="shared" si="30"/>
        <v>RR551</v>
      </c>
      <c r="D125" t="str">
        <f t="shared" si="31"/>
        <v>NOI_GROWTH</v>
      </c>
      <c r="E125" t="str">
        <f t="shared" si="32"/>
        <v>动态</v>
      </c>
      <c r="F125" t="str">
        <f ca="1">IF(AND(ISNUMBER($F$371),$B$258=1),$F$371,HLOOKUP(INDIRECT(ADDRESS(2,COLUMN())),OFFSET($BN$2,0,0,ROW()-1,60),ROW()-1,FALSE))</f>
        <v/>
      </c>
      <c r="G125" t="str">
        <f ca="1">IF(AND(ISNUMBER($G$371),$B$258=1),$G$371,HLOOKUP(INDIRECT(ADDRESS(2,COLUMN())),OFFSET($BN$2,0,0,ROW()-1,60),ROW()-1,FALSE))</f>
        <v/>
      </c>
      <c r="H125" t="str">
        <f ca="1">IF(AND(ISNUMBER($H$371),$B$258=1),$H$371,HLOOKUP(INDIRECT(ADDRESS(2,COLUMN())),OFFSET($BN$2,0,0,ROW()-1,60),ROW()-1,FALSE))</f>
        <v/>
      </c>
      <c r="I125" t="str">
        <f ca="1">IF(AND(ISNUMBER($I$371),$B$258=1),$I$371,HLOOKUP(INDIRECT(ADDRESS(2,COLUMN())),OFFSET($BN$2,0,0,ROW()-1,60),ROW()-1,FALSE))</f>
        <v/>
      </c>
      <c r="J125" t="str">
        <f ca="1">IF(AND(ISNUMBER($J$371),$B$258=1),$J$371,HLOOKUP(INDIRECT(ADDRESS(2,COLUMN())),OFFSET($BN$2,0,0,ROW()-1,60),ROW()-1,FALSE))</f>
        <v/>
      </c>
      <c r="K125">
        <f ca="1">IF(AND(ISNUMBER($K$371),$B$258=1),$K$371,HLOOKUP(INDIRECT(ADDRESS(2,COLUMN())),OFFSET($BN$2,0,0,ROW()-1,60),ROW()-1,FALSE))</f>
        <v>-5.4603473410000003</v>
      </c>
      <c r="L125">
        <f ca="1">IF(AND(ISNUMBER($L$371),$B$258=1),$L$371,HLOOKUP(INDIRECT(ADDRESS(2,COLUMN())),OFFSET($BN$2,0,0,ROW()-1,60),ROW()-1,FALSE))</f>
        <v>0.44184772700000002</v>
      </c>
      <c r="M125">
        <f ca="1">IF(AND(ISNUMBER($M$371),$B$258=1),$M$371,HLOOKUP(INDIRECT(ADDRESS(2,COLUMN())),OFFSET($BN$2,0,0,ROW()-1,60),ROW()-1,FALSE))</f>
        <v>7.7955627600000001</v>
      </c>
      <c r="N125" t="str">
        <f ca="1">IF(AND(ISNUMBER($N$371),$B$258=1),$N$371,HLOOKUP(INDIRECT(ADDRESS(2,COLUMN())),OFFSET($BN$2,0,0,ROW()-1,60),ROW()-1,FALSE))</f>
        <v/>
      </c>
      <c r="O125" t="str">
        <f ca="1">IF(AND(ISNUMBER($O$371),$B$258=1),$O$371,HLOOKUP(INDIRECT(ADDRESS(2,COLUMN())),OFFSET($BN$2,0,0,ROW()-1,60),ROW()-1,FALSE))</f>
        <v/>
      </c>
      <c r="P125" t="str">
        <f ca="1">IF(AND(ISNUMBER($P$371),$B$258=1),$P$371,HLOOKUP(INDIRECT(ADDRESS(2,COLUMN())),OFFSET($BN$2,0,0,ROW()-1,60),ROW()-1,FALSE))</f>
        <v/>
      </c>
      <c r="Q125" t="str">
        <f ca="1">IF(AND(ISNUMBER($Q$371),$B$258=1),$Q$371,HLOOKUP(INDIRECT(ADDRESS(2,COLUMN())),OFFSET($BN$2,0,0,ROW()-1,60),ROW()-1,FALSE))</f>
        <v/>
      </c>
      <c r="R125" t="str">
        <f ca="1">IF(AND(ISNUMBER($R$371),$B$258=1),$R$371,HLOOKUP(INDIRECT(ADDRESS(2,COLUMN())),OFFSET($BN$2,0,0,ROW()-1,60),ROW()-1,FALSE))</f>
        <v/>
      </c>
      <c r="S125" t="str">
        <f ca="1">IF(AND(ISNUMBER($S$371),$B$258=1),$S$371,HLOOKUP(INDIRECT(ADDRESS(2,COLUMN())),OFFSET($BN$2,0,0,ROW()-1,60),ROW()-1,FALSE))</f>
        <v/>
      </c>
      <c r="T125" t="str">
        <f ca="1">IF(AND(ISNUMBER($T$371),$B$258=1),$T$371,HLOOKUP(INDIRECT(ADDRESS(2,COLUMN())),OFFSET($BN$2,0,0,ROW()-1,60),ROW()-1,FALSE))</f>
        <v/>
      </c>
      <c r="U125" t="str">
        <f ca="1">IF(AND(ISNUMBER($U$371),$B$258=1),$U$371,HLOOKUP(INDIRECT(ADDRESS(2,COLUMN())),OFFSET($BN$2,0,0,ROW()-1,60),ROW()-1,FALSE))</f>
        <v/>
      </c>
      <c r="V125" t="str">
        <f ca="1">IF(AND(ISNUMBER($V$371),$B$258=1),$V$371,HLOOKUP(INDIRECT(ADDRESS(2,COLUMN())),OFFSET($BN$2,0,0,ROW()-1,60),ROW()-1,FALSE))</f>
        <v/>
      </c>
      <c r="W125" t="str">
        <f ca="1">IF(AND(ISNUMBER($W$371),$B$258=1),$W$371,HLOOKUP(INDIRECT(ADDRESS(2,COLUMN())),OFFSET($BN$2,0,0,ROW()-1,60),ROW()-1,FALSE))</f>
        <v/>
      </c>
      <c r="X125" t="str">
        <f ca="1">IF(AND(ISNUMBER($X$371),$B$258=1),$X$371,HLOOKUP(INDIRECT(ADDRESS(2,COLUMN())),OFFSET($BN$2,0,0,ROW()-1,60),ROW()-1,FALSE))</f>
        <v/>
      </c>
      <c r="Y125" t="str">
        <f ca="1">IF(AND(ISNUMBER($Y$371),$B$258=1),$Y$371,HLOOKUP(INDIRECT(ADDRESS(2,COLUMN())),OFFSET($BN$2,0,0,ROW()-1,60),ROW()-1,FALSE))</f>
        <v/>
      </c>
      <c r="Z125" t="str">
        <f ca="1">IF(AND(ISNUMBER($Z$371),$B$258=1),$Z$371,HLOOKUP(INDIRECT(ADDRESS(2,COLUMN())),OFFSET($BN$2,0,0,ROW()-1,60),ROW()-1,FALSE))</f>
        <v/>
      </c>
      <c r="AA125" t="str">
        <f ca="1">IF(AND(ISNUMBER($AA$371),$B$258=1),$AA$371,HLOOKUP(INDIRECT(ADDRESS(2,COLUMN())),OFFSET($BN$2,0,0,ROW()-1,60),ROW()-1,FALSE))</f>
        <v/>
      </c>
      <c r="AB125" t="str">
        <f ca="1">IF(AND(ISNUMBER($AB$371),$B$258=1),$AB$371,HLOOKUP(INDIRECT(ADDRESS(2,COLUMN())),OFFSET($BN$2,0,0,ROW()-1,60),ROW()-1,FALSE))</f>
        <v/>
      </c>
      <c r="AC125" t="str">
        <f ca="1">IF(AND(ISNUMBER($AC$371),$B$258=1),$AC$371,HLOOKUP(INDIRECT(ADDRESS(2,COLUMN())),OFFSET($BN$2,0,0,ROW()-1,60),ROW()-1,FALSE))</f>
        <v/>
      </c>
      <c r="AD125" t="str">
        <f ca="1">IF(AND(ISNUMBER($AD$371),$B$258=1),$AD$371,HLOOKUP(INDIRECT(ADDRESS(2,COLUMN())),OFFSET($BN$2,0,0,ROW()-1,60),ROW()-1,FALSE))</f>
        <v/>
      </c>
      <c r="AE125" t="str">
        <f ca="1">IF(AND(ISNUMBER($AE$371),$B$258=1),$AE$371,HLOOKUP(INDIRECT(ADDRESS(2,COLUMN())),OFFSET($BN$2,0,0,ROW()-1,60),ROW()-1,FALSE))</f>
        <v/>
      </c>
      <c r="AF125" t="str">
        <f ca="1">IF(AND(ISNUMBER($AF$371),$B$258=1),$AF$371,HLOOKUP(INDIRECT(ADDRESS(2,COLUMN())),OFFSET($BN$2,0,0,ROW()-1,60),ROW()-1,FALSE))</f>
        <v/>
      </c>
      <c r="AG125" t="str">
        <f ca="1">IF(AND(ISNUMBER($AG$371),$B$258=1),$AG$371,HLOOKUP(INDIRECT(ADDRESS(2,COLUMN())),OFFSET($BN$2,0,0,ROW()-1,60),ROW()-1,FALSE))</f>
        <v/>
      </c>
      <c r="AH125" t="str">
        <f ca="1">IF(AND(ISNUMBER($AH$371),$B$258=1),$AH$371,HLOOKUP(INDIRECT(ADDRESS(2,COLUMN())),OFFSET($BN$2,0,0,ROW()-1,60),ROW()-1,FALSE))</f>
        <v/>
      </c>
      <c r="AI125" t="str">
        <f ca="1">IF(AND(ISNUMBER($AI$371),$B$258=1),$AI$371,HLOOKUP(INDIRECT(ADDRESS(2,COLUMN())),OFFSET($BN$2,0,0,ROW()-1,60),ROW()-1,FALSE))</f>
        <v/>
      </c>
      <c r="AJ125" t="str">
        <f ca="1">IF(AND(ISNUMBER($AJ$371),$B$258=1),$AJ$371,HLOOKUP(INDIRECT(ADDRESS(2,COLUMN())),OFFSET($BN$2,0,0,ROW()-1,60),ROW()-1,FALSE))</f>
        <v/>
      </c>
      <c r="AK125" t="str">
        <f ca="1">IF(AND(ISNUMBER($AK$371),$B$258=1),$AK$371,HLOOKUP(INDIRECT(ADDRESS(2,COLUMN())),OFFSET($BN$2,0,0,ROW()-1,60),ROW()-1,FALSE))</f>
        <v/>
      </c>
      <c r="AL125" t="str">
        <f ca="1">IF(AND(ISNUMBER($AL$371),$B$258=1),$AL$371,HLOOKUP(INDIRECT(ADDRESS(2,COLUMN())),OFFSET($BN$2,0,0,ROW()-1,60),ROW()-1,FALSE))</f>
        <v/>
      </c>
      <c r="AM125" t="str">
        <f ca="1">IF(AND(ISNUMBER($AM$371),$B$258=1),$AM$371,HLOOKUP(INDIRECT(ADDRESS(2,COLUMN())),OFFSET($BN$2,0,0,ROW()-1,60),ROW()-1,FALSE))</f>
        <v/>
      </c>
      <c r="AN125" t="str">
        <f ca="1">IF(AND(ISNUMBER($AN$371),$B$258=1),$AN$371,HLOOKUP(INDIRECT(ADDRESS(2,COLUMN())),OFFSET($BN$2,0,0,ROW()-1,60),ROW()-1,FALSE))</f>
        <v/>
      </c>
      <c r="AO125" t="str">
        <f ca="1">IF(AND(ISNUMBER($AO$371),$B$258=1),$AO$371,HLOOKUP(INDIRECT(ADDRESS(2,COLUMN())),OFFSET($BN$2,0,0,ROW()-1,60),ROW()-1,FALSE))</f>
        <v/>
      </c>
      <c r="AP125" t="str">
        <f ca="1">IF(AND(ISNUMBER($AP$371),$B$258=1),$AP$371,HLOOKUP(INDIRECT(ADDRESS(2,COLUMN())),OFFSET($BN$2,0,0,ROW()-1,60),ROW()-1,FALSE))</f>
        <v/>
      </c>
      <c r="AQ125" t="str">
        <f ca="1">IF(AND(ISNUMBER($AQ$371),$B$258=1),$AQ$371,HLOOKUP(INDIRECT(ADDRESS(2,COLUMN())),OFFSET($BN$2,0,0,ROW()-1,60),ROW()-1,FALSE))</f>
        <v/>
      </c>
      <c r="AR125" t="str">
        <f ca="1">IF(AND(ISNUMBER($AR$371),$B$258=1),$AR$371,HLOOKUP(INDIRECT(ADDRESS(2,COLUMN())),OFFSET($BN$2,0,0,ROW()-1,60),ROW()-1,FALSE))</f>
        <v/>
      </c>
      <c r="AS125" t="str">
        <f ca="1">IF(AND(ISNUMBER($AS$371),$B$258=1),$AS$371,HLOOKUP(INDIRECT(ADDRESS(2,COLUMN())),OFFSET($BN$2,0,0,ROW()-1,60),ROW()-1,FALSE))</f>
        <v/>
      </c>
      <c r="AT125" t="str">
        <f ca="1">IF(AND(ISNUMBER($AT$371),$B$258=1),$AT$371,HLOOKUP(INDIRECT(ADDRESS(2,COLUMN())),OFFSET($BN$2,0,0,ROW()-1,60),ROW()-1,FALSE))</f>
        <v/>
      </c>
      <c r="AU125" t="str">
        <f ca="1">IF(AND(ISNUMBER($AU$371),$B$258=1),$AU$371,HLOOKUP(INDIRECT(ADDRESS(2,COLUMN())),OFFSET($BN$2,0,0,ROW()-1,60),ROW()-1,FALSE))</f>
        <v/>
      </c>
      <c r="AV125" t="str">
        <f ca="1">IF(AND(ISNUMBER($AV$371),$B$258=1),$AV$371,HLOOKUP(INDIRECT(ADDRESS(2,COLUMN())),OFFSET($BN$2,0,0,ROW()-1,60),ROW()-1,FALSE))</f>
        <v/>
      </c>
      <c r="AW125" t="str">
        <f ca="1">IF(AND(ISNUMBER($AW$371),$B$258=1),$AW$371,HLOOKUP(INDIRECT(ADDRESS(2,COLUMN())),OFFSET($BN$2,0,0,ROW()-1,60),ROW()-1,FALSE))</f>
        <v/>
      </c>
      <c r="AX125" t="str">
        <f ca="1">IF(AND(ISNUMBER($AX$371),$B$258=1),$AX$371,HLOOKUP(INDIRECT(ADDRESS(2,COLUMN())),OFFSET($BN$2,0,0,ROW()-1,60),ROW()-1,FALSE))</f>
        <v/>
      </c>
      <c r="AY125" t="str">
        <f ca="1">IF(AND(ISNUMBER($AY$371),$B$258=1),$AY$371,HLOOKUP(INDIRECT(ADDRESS(2,COLUMN())),OFFSET($BN$2,0,0,ROW()-1,60),ROW()-1,FALSE))</f>
        <v/>
      </c>
      <c r="AZ125" t="str">
        <f ca="1">IF(AND(ISNUMBER($AZ$371),$B$258=1),$AZ$371,HLOOKUP(INDIRECT(ADDRESS(2,COLUMN())),OFFSET($BN$2,0,0,ROW()-1,60),ROW()-1,FALSE))</f>
        <v/>
      </c>
      <c r="BA125" t="str">
        <f ca="1">IF(AND(ISNUMBER($BA$371),$B$258=1),$BA$371,HLOOKUP(INDIRECT(ADDRESS(2,COLUMN())),OFFSET($BN$2,0,0,ROW()-1,60),ROW()-1,FALSE))</f>
        <v/>
      </c>
      <c r="BB125" t="str">
        <f ca="1">IF(AND(ISNUMBER($BB$371),$B$258=1),$BB$371,HLOOKUP(INDIRECT(ADDRESS(2,COLUMN())),OFFSET($BN$2,0,0,ROW()-1,60),ROW()-1,FALSE))</f>
        <v/>
      </c>
      <c r="BC125" t="str">
        <f ca="1">IF(AND(ISNUMBER($BC$371),$B$258=1),$BC$371,HLOOKUP(INDIRECT(ADDRESS(2,COLUMN())),OFFSET($BN$2,0,0,ROW()-1,60),ROW()-1,FALSE))</f>
        <v/>
      </c>
      <c r="BD125" t="str">
        <f ca="1">IF(AND(ISNUMBER($BD$371),$B$258=1),$BD$371,HLOOKUP(INDIRECT(ADDRESS(2,COLUMN())),OFFSET($BN$2,0,0,ROW()-1,60),ROW()-1,FALSE))</f>
        <v/>
      </c>
      <c r="BE125" t="str">
        <f ca="1">IF(AND(ISNUMBER($BE$371),$B$258=1),$BE$371,HLOOKUP(INDIRECT(ADDRESS(2,COLUMN())),OFFSET($BN$2,0,0,ROW()-1,60),ROW()-1,FALSE))</f>
        <v/>
      </c>
      <c r="BF125" t="str">
        <f ca="1">IF(AND(ISNUMBER($BF$371),$B$258=1),$BF$371,HLOOKUP(INDIRECT(ADDRESS(2,COLUMN())),OFFSET($BN$2,0,0,ROW()-1,60),ROW()-1,FALSE))</f>
        <v/>
      </c>
      <c r="BG125" t="str">
        <f ca="1">IF(AND(ISNUMBER($BG$371),$B$258=1),$BG$371,HLOOKUP(INDIRECT(ADDRESS(2,COLUMN())),OFFSET($BN$2,0,0,ROW()-1,60),ROW()-1,FALSE))</f>
        <v/>
      </c>
      <c r="BH125" t="str">
        <f ca="1">IF(AND(ISNUMBER($BH$371),$B$258=1),$BH$371,HLOOKUP(INDIRECT(ADDRESS(2,COLUMN())),OFFSET($BN$2,0,0,ROW()-1,60),ROW()-1,FALSE))</f>
        <v/>
      </c>
      <c r="BI125" t="str">
        <f ca="1">IF(AND(ISNUMBER($BI$371),$B$258=1),$BI$371,HLOOKUP(INDIRECT(ADDRESS(2,COLUMN())),OFFSET($BN$2,0,0,ROW()-1,60),ROW()-1,FALSE))</f>
        <v/>
      </c>
      <c r="BJ125" t="str">
        <f ca="1">IF(AND(ISNUMBER($BJ$371),$B$258=1),$BJ$371,HLOOKUP(INDIRECT(ADDRESS(2,COLUMN())),OFFSET($BN$2,0,0,ROW()-1,60),ROW()-1,FALSE))</f>
        <v/>
      </c>
      <c r="BK125" t="str">
        <f ca="1">IF(AND(ISNUMBER($BK$371),$B$258=1),$BK$371,HLOOKUP(INDIRECT(ADDRESS(2,COLUMN())),OFFSET($BN$2,0,0,ROW()-1,60),ROW()-1,FALSE))</f>
        <v/>
      </c>
      <c r="BL125" t="str">
        <f ca="1">IF(AND(ISNUMBER($BL$371),$B$258=1),$BL$371,HLOOKUP(INDIRECT(ADDRESS(2,COLUMN())),OFFSET($BN$2,0,0,ROW()-1,60),ROW()-1,FALSE))</f>
        <v/>
      </c>
      <c r="BM125" t="str">
        <f ca="1">IF(AND(ISNUMBER($BM$371),$B$258=1),$BM$371,HLOOKUP(INDIRECT(ADDRESS(2,COLUMN())),OFFSET($BN$2,0,0,ROW()-1,60),ROW()-1,FALSE))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>
        <f>-5.460347341</f>
        <v>-5.4603473410000003</v>
      </c>
      <c r="BT125">
        <f>0.441847727</f>
        <v>0.44184772700000002</v>
      </c>
      <c r="BU125">
        <f>7.79556276</f>
        <v>7.7955627600000001</v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  <c r="CI125" t="str">
        <f>""</f>
        <v/>
      </c>
      <c r="CJ125" t="str">
        <f>""</f>
        <v/>
      </c>
      <c r="CK125" t="str">
        <f>""</f>
        <v/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>
      <c r="A126" t="str">
        <f>"    HCP Inc"</f>
        <v xml:space="preserve">    HCP Inc</v>
      </c>
      <c r="B126" t="str">
        <f>"HCP US Equity"</f>
        <v>HCP US Equity</v>
      </c>
      <c r="C126" t="str">
        <f t="shared" si="30"/>
        <v>RR551</v>
      </c>
      <c r="D126" t="str">
        <f t="shared" si="31"/>
        <v>NOI_GROWTH</v>
      </c>
      <c r="E126" t="str">
        <f t="shared" si="32"/>
        <v>动态</v>
      </c>
      <c r="F126" t="str">
        <f ca="1">IF(AND(ISNUMBER($F$372),$B$258=1),$F$372,HLOOKUP(INDIRECT(ADDRESS(2,COLUMN())),OFFSET($BN$2,0,0,ROW()-1,60),ROW()-1,FALSE))</f>
        <v/>
      </c>
      <c r="G126">
        <f ca="1">IF(AND(ISNUMBER($G$372),$B$258=1),$G$372,HLOOKUP(INDIRECT(ADDRESS(2,COLUMN())),OFFSET($BN$2,0,0,ROW()-1,60),ROW()-1,FALSE))</f>
        <v>-26.764731080000001</v>
      </c>
      <c r="H126">
        <f ca="1">IF(AND(ISNUMBER($H$372),$B$258=1),$H$372,HLOOKUP(INDIRECT(ADDRESS(2,COLUMN())),OFFSET($BN$2,0,0,ROW()-1,60),ROW()-1,FALSE))</f>
        <v>-10.99698785</v>
      </c>
      <c r="I126">
        <f ca="1">IF(AND(ISNUMBER($I$372),$B$258=1),$I$372,HLOOKUP(INDIRECT(ADDRESS(2,COLUMN())),OFFSET($BN$2,0,0,ROW()-1,60),ROW()-1,FALSE))</f>
        <v>-12.73386672</v>
      </c>
      <c r="J126">
        <f ca="1">IF(AND(ISNUMBER($J$372),$B$258=1),$J$372,HLOOKUP(INDIRECT(ADDRESS(2,COLUMN())),OFFSET($BN$2,0,0,ROW()-1,60),ROW()-1,FALSE))</f>
        <v>-29.394927750000001</v>
      </c>
      <c r="K126">
        <f ca="1">IF(AND(ISNUMBER($K$372),$B$258=1),$K$372,HLOOKUP(INDIRECT(ADDRESS(2,COLUMN())),OFFSET($BN$2,0,0,ROW()-1,60),ROW()-1,FALSE))</f>
        <v>0.38921741799999998</v>
      </c>
      <c r="L126">
        <f ca="1">IF(AND(ISNUMBER($L$372),$B$258=1),$L$372,HLOOKUP(INDIRECT(ADDRESS(2,COLUMN())),OFFSET($BN$2,0,0,ROW()-1,60),ROW()-1,FALSE))</f>
        <v>-4.1153353929999996</v>
      </c>
      <c r="M126">
        <f ca="1">IF(AND(ISNUMBER($M$372),$B$258=1),$M$372,HLOOKUP(INDIRECT(ADDRESS(2,COLUMN())),OFFSET($BN$2,0,0,ROW()-1,60),ROW()-1,FALSE))</f>
        <v>3.2209445250000002</v>
      </c>
      <c r="N126">
        <f ca="1">IF(AND(ISNUMBER($N$372),$B$258=1),$N$372,HLOOKUP(INDIRECT(ADDRESS(2,COLUMN())),OFFSET($BN$2,0,0,ROW()-1,60),ROW()-1,FALSE))</f>
        <v>6.7340369999999997E-2</v>
      </c>
      <c r="O126">
        <f ca="1">IF(AND(ISNUMBER($O$372),$B$258=1),$O$372,HLOOKUP(INDIRECT(ADDRESS(2,COLUMN())),OFFSET($BN$2,0,0,ROW()-1,60),ROW()-1,FALSE))</f>
        <v>-27.62202701</v>
      </c>
      <c r="P126">
        <f ca="1">IF(AND(ISNUMBER($P$372),$B$258=1),$P$372,HLOOKUP(INDIRECT(ADDRESS(2,COLUMN())),OFFSET($BN$2,0,0,ROW()-1,60),ROW()-1,FALSE))</f>
        <v>-3.2073606629999998</v>
      </c>
      <c r="Q126">
        <f ca="1">IF(AND(ISNUMBER($Q$372),$B$258=1),$Q$372,HLOOKUP(INDIRECT(ADDRESS(2,COLUMN())),OFFSET($BN$2,0,0,ROW()-1,60),ROW()-1,FALSE))</f>
        <v>-1.1518973830000001</v>
      </c>
      <c r="R126">
        <f ca="1">IF(AND(ISNUMBER($R$372),$B$258=1),$R$372,HLOOKUP(INDIRECT(ADDRESS(2,COLUMN())),OFFSET($BN$2,0,0,ROW()-1,60),ROW()-1,FALSE))</f>
        <v>1.8074037510000001</v>
      </c>
      <c r="S126">
        <f ca="1">IF(AND(ISNUMBER($S$372),$B$258=1),$S$372,HLOOKUP(INDIRECT(ADDRESS(2,COLUMN())),OFFSET($BN$2,0,0,ROW()-1,60),ROW()-1,FALSE))</f>
        <v>3.047264679</v>
      </c>
      <c r="T126">
        <f ca="1">IF(AND(ISNUMBER($T$372),$B$258=1),$T$372,HLOOKUP(INDIRECT(ADDRESS(2,COLUMN())),OFFSET($BN$2,0,0,ROW()-1,60),ROW()-1,FALSE))</f>
        <v>12.74620219</v>
      </c>
      <c r="U126">
        <f ca="1">IF(AND(ISNUMBER($U$372),$B$258=1),$U$372,HLOOKUP(INDIRECT(ADDRESS(2,COLUMN())),OFFSET($BN$2,0,0,ROW()-1,60),ROW()-1,FALSE))</f>
        <v>3.7981636239999998</v>
      </c>
      <c r="V126">
        <f ca="1">IF(AND(ISNUMBER($V$372),$B$258=1),$V$372,HLOOKUP(INDIRECT(ADDRESS(2,COLUMN())),OFFSET($BN$2,0,0,ROW()-1,60),ROW()-1,FALSE))</f>
        <v>2.6929413260000001</v>
      </c>
      <c r="W126">
        <f ca="1">IF(AND(ISNUMBER($W$372),$B$258=1),$W$372,HLOOKUP(INDIRECT(ADDRESS(2,COLUMN())),OFFSET($BN$2,0,0,ROW()-1,60),ROW()-1,FALSE))</f>
        <v>4.4845400309999999</v>
      </c>
      <c r="X126">
        <f ca="1">IF(AND(ISNUMBER($X$372),$B$258=1),$X$372,HLOOKUP(INDIRECT(ADDRESS(2,COLUMN())),OFFSET($BN$2,0,0,ROW()-1,60),ROW()-1,FALSE))</f>
        <v>10.43166682</v>
      </c>
      <c r="Y126">
        <f ca="1">IF(AND(ISNUMBER($Y$372),$B$258=1),$Y$372,HLOOKUP(INDIRECT(ADDRESS(2,COLUMN())),OFFSET($BN$2,0,0,ROW()-1,60),ROW()-1,FALSE))</f>
        <v>7.9028631310000002</v>
      </c>
      <c r="Z126">
        <f ca="1">IF(AND(ISNUMBER($Z$372),$B$258=1),$Z$372,HLOOKUP(INDIRECT(ADDRESS(2,COLUMN())),OFFSET($BN$2,0,0,ROW()-1,60),ROW()-1,FALSE))</f>
        <v>9.9152640739999995</v>
      </c>
      <c r="AA126">
        <f ca="1">IF(AND(ISNUMBER($AA$372),$B$258=1),$AA$372,HLOOKUP(INDIRECT(ADDRESS(2,COLUMN())),OFFSET($BN$2,0,0,ROW()-1,60),ROW()-1,FALSE))</f>
        <v>7.5053852550000002</v>
      </c>
      <c r="AB126">
        <f ca="1">IF(AND(ISNUMBER($AB$372),$B$258=1),$AB$372,HLOOKUP(INDIRECT(ADDRESS(2,COLUMN())),OFFSET($BN$2,0,0,ROW()-1,60),ROW()-1,FALSE))</f>
        <v>0.56006684299999998</v>
      </c>
      <c r="AC126">
        <f ca="1">IF(AND(ISNUMBER($AC$372),$B$258=1),$AC$372,HLOOKUP(INDIRECT(ADDRESS(2,COLUMN())),OFFSET($BN$2,0,0,ROW()-1,60),ROW()-1,FALSE))</f>
        <v>3.1896352600000002</v>
      </c>
      <c r="AD126">
        <f ca="1">IF(AND(ISNUMBER($AD$372),$B$258=1),$AD$372,HLOOKUP(INDIRECT(ADDRESS(2,COLUMN())),OFFSET($BN$2,0,0,ROW()-1,60),ROW()-1,FALSE))</f>
        <v>57.47175927</v>
      </c>
      <c r="AE126">
        <f ca="1">IF(AND(ISNUMBER($AE$372),$B$258=1),$AE$372,HLOOKUP(INDIRECT(ADDRESS(2,COLUMN())),OFFSET($BN$2,0,0,ROW()-1,60),ROW()-1,FALSE))</f>
        <v>68.59797107</v>
      </c>
      <c r="AF126">
        <f ca="1">IF(AND(ISNUMBER($AF$372),$B$258=1),$AF$372,HLOOKUP(INDIRECT(ADDRESS(2,COLUMN())),OFFSET($BN$2,0,0,ROW()-1,60),ROW()-1,FALSE))</f>
        <v>74.053926309999994</v>
      </c>
      <c r="AG126">
        <f ca="1">IF(AND(ISNUMBER($AG$372),$B$258=1),$AG$372,HLOOKUP(INDIRECT(ADDRESS(2,COLUMN())),OFFSET($BN$2,0,0,ROW()-1,60),ROW()-1,FALSE))</f>
        <v>72.934794940000003</v>
      </c>
      <c r="AH126">
        <f ca="1">IF(AND(ISNUMBER($AH$372),$B$258=1),$AH$372,HLOOKUP(INDIRECT(ADDRESS(2,COLUMN())),OFFSET($BN$2,0,0,ROW()-1,60),ROW()-1,FALSE))</f>
        <v>15.32789612</v>
      </c>
      <c r="AI126">
        <f ca="1">IF(AND(ISNUMBER($AI$372),$B$258=1),$AI$372,HLOOKUP(INDIRECT(ADDRESS(2,COLUMN())),OFFSET($BN$2,0,0,ROW()-1,60),ROW()-1,FALSE))</f>
        <v>8.6709072650000003</v>
      </c>
      <c r="AJ126">
        <f ca="1">IF(AND(ISNUMBER($AJ$372),$B$258=1),$AJ$372,HLOOKUP(INDIRECT(ADDRESS(2,COLUMN())),OFFSET($BN$2,0,0,ROW()-1,60),ROW()-1,FALSE))</f>
        <v>6.3138670259999996</v>
      </c>
      <c r="AK126">
        <f ca="1">IF(AND(ISNUMBER($AK$372),$B$258=1),$AK$372,HLOOKUP(INDIRECT(ADDRESS(2,COLUMN())),OFFSET($BN$2,0,0,ROW()-1,60),ROW()-1,FALSE))</f>
        <v>0.26624795200000001</v>
      </c>
      <c r="AL126">
        <f ca="1">IF(AND(ISNUMBER($AL$372),$B$258=1),$AL$372,HLOOKUP(INDIRECT(ADDRESS(2,COLUMN())),OFFSET($BN$2,0,0,ROW()-1,60),ROW()-1,FALSE))</f>
        <v>5.5273227020000002</v>
      </c>
      <c r="AM126">
        <f ca="1">IF(AND(ISNUMBER($AM$372),$B$258=1),$AM$372,HLOOKUP(INDIRECT(ADDRESS(2,COLUMN())),OFFSET($BN$2,0,0,ROW()-1,60),ROW()-1,FALSE))</f>
        <v>-0.50806905599999996</v>
      </c>
      <c r="AN126">
        <f ca="1">IF(AND(ISNUMBER($AN$372),$B$258=1),$AN$372,HLOOKUP(INDIRECT(ADDRESS(2,COLUMN())),OFFSET($BN$2,0,0,ROW()-1,60),ROW()-1,FALSE))</f>
        <v>-5.3829063579999996</v>
      </c>
      <c r="AO126">
        <f ca="1">IF(AND(ISNUMBER($AO$372),$B$258=1),$AO$372,HLOOKUP(INDIRECT(ADDRESS(2,COLUMN())),OFFSET($BN$2,0,0,ROW()-1,60),ROW()-1,FALSE))</f>
        <v>8.5986269479999997</v>
      </c>
      <c r="AP126">
        <f ca="1">IF(AND(ISNUMBER($AP$372),$B$258=1),$AP$372,HLOOKUP(INDIRECT(ADDRESS(2,COLUMN())),OFFSET($BN$2,0,0,ROW()-1,60),ROW()-1,FALSE))</f>
        <v>2.906822945</v>
      </c>
      <c r="AQ126">
        <f ca="1">IF(AND(ISNUMBER($AQ$372),$B$258=1),$AQ$372,HLOOKUP(INDIRECT(ADDRESS(2,COLUMN())),OFFSET($BN$2,0,0,ROW()-1,60),ROW()-1,FALSE))</f>
        <v>12.53002508</v>
      </c>
      <c r="AR126">
        <f ca="1">IF(AND(ISNUMBER($AR$372),$B$258=1),$AR$372,HLOOKUP(INDIRECT(ADDRESS(2,COLUMN())),OFFSET($BN$2,0,0,ROW()-1,60),ROW()-1,FALSE))</f>
        <v>12.951746569999999</v>
      </c>
      <c r="AS126">
        <f ca="1">IF(AND(ISNUMBER($AS$372),$B$258=1),$AS$372,HLOOKUP(INDIRECT(ADDRESS(2,COLUMN())),OFFSET($BN$2,0,0,ROW()-1,60),ROW()-1,FALSE))</f>
        <v>19.270311379999999</v>
      </c>
      <c r="AT126">
        <f ca="1">IF(AND(ISNUMBER($AT$372),$B$258=1),$AT$372,HLOOKUP(INDIRECT(ADDRESS(2,COLUMN())),OFFSET($BN$2,0,0,ROW()-1,60),ROW()-1,FALSE))</f>
        <v>14.668720029999999</v>
      </c>
      <c r="AU126">
        <f ca="1">IF(AND(ISNUMBER($AU$372),$B$258=1),$AU$372,HLOOKUP(INDIRECT(ADDRESS(2,COLUMN())),OFFSET($BN$2,0,0,ROW()-1,60),ROW()-1,FALSE))</f>
        <v>20.720531250000001</v>
      </c>
      <c r="AV126">
        <f ca="1">IF(AND(ISNUMBER($AV$372),$B$258=1),$AV$372,HLOOKUP(INDIRECT(ADDRESS(2,COLUMN())),OFFSET($BN$2,0,0,ROW()-1,60),ROW()-1,FALSE))</f>
        <v>108.2195463</v>
      </c>
      <c r="AW126">
        <f ca="1">IF(AND(ISNUMBER($AW$372),$B$258=1),$AW$372,HLOOKUP(INDIRECT(ADDRESS(2,COLUMN())),OFFSET($BN$2,0,0,ROW()-1,60),ROW()-1,FALSE))</f>
        <v>85.00010906</v>
      </c>
      <c r="AX126">
        <f ca="1">IF(AND(ISNUMBER($AX$372),$B$258=1),$AX$372,HLOOKUP(INDIRECT(ADDRESS(2,COLUMN())),OFFSET($BN$2,0,0,ROW()-1,60),ROW()-1,FALSE))</f>
        <v>91.012412810000001</v>
      </c>
      <c r="AY126">
        <f ca="1">IF(AND(ISNUMBER($AY$372),$B$258=1),$AY$372,HLOOKUP(INDIRECT(ADDRESS(2,COLUMN())),OFFSET($BN$2,0,0,ROW()-1,60),ROW()-1,FALSE))</f>
        <v>166.89345489999999</v>
      </c>
      <c r="AZ126">
        <f ca="1">IF(AND(ISNUMBER($AZ$372),$B$258=1),$AZ$372,HLOOKUP(INDIRECT(ADDRESS(2,COLUMN())),OFFSET($BN$2,0,0,ROW()-1,60),ROW()-1,FALSE))</f>
        <v>-5.6454476290000004</v>
      </c>
      <c r="BA126">
        <f ca="1">IF(AND(ISNUMBER($BA$372),$B$258=1),$BA$372,HLOOKUP(INDIRECT(ADDRESS(2,COLUMN())),OFFSET($BN$2,0,0,ROW()-1,60),ROW()-1,FALSE))</f>
        <v>-3.2243084359999998</v>
      </c>
      <c r="BB126">
        <f ca="1">IF(AND(ISNUMBER($BB$372),$B$258=1),$BB$372,HLOOKUP(INDIRECT(ADDRESS(2,COLUMN())),OFFSET($BN$2,0,0,ROW()-1,60),ROW()-1,FALSE))</f>
        <v>1.3437824650000001</v>
      </c>
      <c r="BC126">
        <f ca="1">IF(AND(ISNUMBER($BC$372),$B$258=1),$BC$372,HLOOKUP(INDIRECT(ADDRESS(2,COLUMN())),OFFSET($BN$2,0,0,ROW()-1,60),ROW()-1,FALSE))</f>
        <v>-31.089935180000001</v>
      </c>
      <c r="BD126">
        <f ca="1">IF(AND(ISNUMBER($BD$372),$B$258=1),$BD$372,HLOOKUP(INDIRECT(ADDRESS(2,COLUMN())),OFFSET($BN$2,0,0,ROW()-1,60),ROW()-1,FALSE))</f>
        <v>9.8659206669999993</v>
      </c>
      <c r="BE126">
        <f ca="1">IF(AND(ISNUMBER($BE$372),$B$258=1),$BE$372,HLOOKUP(INDIRECT(ADDRESS(2,COLUMN())),OFFSET($BN$2,0,0,ROW()-1,60),ROW()-1,FALSE))</f>
        <v>11.26259424</v>
      </c>
      <c r="BF126">
        <f ca="1">IF(AND(ISNUMBER($BF$372),$B$258=1),$BF$372,HLOOKUP(INDIRECT(ADDRESS(2,COLUMN())),OFFSET($BN$2,0,0,ROW()-1,60),ROW()-1,FALSE))</f>
        <v>12.592178199999999</v>
      </c>
      <c r="BG126">
        <f ca="1">IF(AND(ISNUMBER($BG$372),$B$258=1),$BG$372,HLOOKUP(INDIRECT(ADDRESS(2,COLUMN())),OFFSET($BN$2,0,0,ROW()-1,60),ROW()-1,FALSE))</f>
        <v>5.0494976359999999</v>
      </c>
      <c r="BH126">
        <f ca="1">IF(AND(ISNUMBER($BH$372),$B$258=1),$BH$372,HLOOKUP(INDIRECT(ADDRESS(2,COLUMN())),OFFSET($BN$2,0,0,ROW()-1,60),ROW()-1,FALSE))</f>
        <v>20.402850279999999</v>
      </c>
      <c r="BI126">
        <f ca="1">IF(AND(ISNUMBER($BI$372),$B$258=1),$BI$372,HLOOKUP(INDIRECT(ADDRESS(2,COLUMN())),OFFSET($BN$2,0,0,ROW()-1,60),ROW()-1,FALSE))</f>
        <v>13.07811815</v>
      </c>
      <c r="BJ126">
        <f ca="1">IF(AND(ISNUMBER($BJ$372),$B$258=1),$BJ$372,HLOOKUP(INDIRECT(ADDRESS(2,COLUMN())),OFFSET($BN$2,0,0,ROW()-1,60),ROW()-1,FALSE))</f>
        <v>14.912703629999999</v>
      </c>
      <c r="BK126">
        <f ca="1">IF(AND(ISNUMBER($BK$372),$B$258=1),$BK$372,HLOOKUP(INDIRECT(ADDRESS(2,COLUMN())),OFFSET($BN$2,0,0,ROW()-1,60),ROW()-1,FALSE))</f>
        <v>7.0504976739999998</v>
      </c>
      <c r="BL126">
        <f ca="1">IF(AND(ISNUMBER($BL$372),$B$258=1),$BL$372,HLOOKUP(INDIRECT(ADDRESS(2,COLUMN())),OFFSET($BN$2,0,0,ROW()-1,60),ROW()-1,FALSE))</f>
        <v>-1.6289783900000001</v>
      </c>
      <c r="BM126">
        <f ca="1">IF(AND(ISNUMBER($BM$372),$B$258=1),$BM$372,HLOOKUP(INDIRECT(ADDRESS(2,COLUMN())),OFFSET($BN$2,0,0,ROW()-1,60),ROW()-1,FALSE))</f>
        <v>-1.9913971999999999E-2</v>
      </c>
      <c r="BN126" t="str">
        <f>""</f>
        <v/>
      </c>
      <c r="BO126">
        <f>-26.76473108</f>
        <v>-26.764731080000001</v>
      </c>
      <c r="BP126">
        <f>-10.99698785</f>
        <v>-10.99698785</v>
      </c>
      <c r="BQ126">
        <f>-12.73386672</f>
        <v>-12.73386672</v>
      </c>
      <c r="BR126">
        <f>-29.39492775</f>
        <v>-29.394927750000001</v>
      </c>
      <c r="BS126">
        <f>0.389217418</f>
        <v>0.38921741799999998</v>
      </c>
      <c r="BT126">
        <f>-4.115335393</f>
        <v>-4.1153353929999996</v>
      </c>
      <c r="BU126">
        <f>3.220944525</f>
        <v>3.2209445250000002</v>
      </c>
      <c r="BV126">
        <f>0.06734037</f>
        <v>6.7340369999999997E-2</v>
      </c>
      <c r="BW126">
        <f>-27.62202701</f>
        <v>-27.62202701</v>
      </c>
      <c r="BX126">
        <f>-3.207360663</f>
        <v>-3.2073606629999998</v>
      </c>
      <c r="BY126">
        <f>-1.151897383</f>
        <v>-1.1518973830000001</v>
      </c>
      <c r="BZ126">
        <f>1.807403751</f>
        <v>1.8074037510000001</v>
      </c>
      <c r="CA126">
        <f>3.047264679</f>
        <v>3.047264679</v>
      </c>
      <c r="CB126">
        <f>12.74620219</f>
        <v>12.74620219</v>
      </c>
      <c r="CC126">
        <f>3.798163624</f>
        <v>3.7981636239999998</v>
      </c>
      <c r="CD126">
        <f>2.692941326</f>
        <v>2.6929413260000001</v>
      </c>
      <c r="CE126">
        <f>4.484540031</f>
        <v>4.4845400309999999</v>
      </c>
      <c r="CF126">
        <f>10.43166682</f>
        <v>10.43166682</v>
      </c>
      <c r="CG126">
        <f>7.902863131</f>
        <v>7.9028631310000002</v>
      </c>
      <c r="CH126">
        <f>9.915264074</f>
        <v>9.9152640739999995</v>
      </c>
      <c r="CI126">
        <f>7.505385255</f>
        <v>7.5053852550000002</v>
      </c>
      <c r="CJ126">
        <f>0.560066843</f>
        <v>0.56006684299999998</v>
      </c>
      <c r="CK126">
        <f>3.18963526</f>
        <v>3.1896352600000002</v>
      </c>
      <c r="CL126">
        <f>57.47175927</f>
        <v>57.47175927</v>
      </c>
      <c r="CM126">
        <f>68.59797107</f>
        <v>68.59797107</v>
      </c>
      <c r="CN126">
        <f>74.05392631</f>
        <v>74.053926309999994</v>
      </c>
      <c r="CO126">
        <f>72.93479494</f>
        <v>72.934794940000003</v>
      </c>
      <c r="CP126">
        <f>15.32789612</f>
        <v>15.32789612</v>
      </c>
      <c r="CQ126">
        <f>8.670907265</f>
        <v>8.6709072650000003</v>
      </c>
      <c r="CR126">
        <f>6.313867026</f>
        <v>6.3138670259999996</v>
      </c>
      <c r="CS126">
        <f>0.266247952</f>
        <v>0.26624795200000001</v>
      </c>
      <c r="CT126">
        <f>5.527322702</f>
        <v>5.5273227020000002</v>
      </c>
      <c r="CU126">
        <f>-0.508069056</f>
        <v>-0.50806905599999996</v>
      </c>
      <c r="CV126">
        <f>-5.382906358</f>
        <v>-5.3829063579999996</v>
      </c>
      <c r="CW126">
        <f>8.598626948</f>
        <v>8.5986269479999997</v>
      </c>
      <c r="CX126">
        <f>2.906822945</f>
        <v>2.906822945</v>
      </c>
      <c r="CY126">
        <f>12.53002508</f>
        <v>12.53002508</v>
      </c>
      <c r="CZ126">
        <f>12.95174657</f>
        <v>12.951746569999999</v>
      </c>
      <c r="DA126">
        <f>19.27031138</f>
        <v>19.270311379999999</v>
      </c>
      <c r="DB126">
        <f>14.66872003</f>
        <v>14.668720029999999</v>
      </c>
      <c r="DC126">
        <f>20.72053125</f>
        <v>20.720531250000001</v>
      </c>
      <c r="DD126">
        <f>108.2195463</f>
        <v>108.2195463</v>
      </c>
      <c r="DE126">
        <f>85.00010906</f>
        <v>85.00010906</v>
      </c>
      <c r="DF126">
        <f>91.01241281</f>
        <v>91.012412810000001</v>
      </c>
      <c r="DG126">
        <f>166.8934549</f>
        <v>166.89345489999999</v>
      </c>
      <c r="DH126">
        <f>-5.645447629</f>
        <v>-5.6454476290000004</v>
      </c>
      <c r="DI126">
        <f>-3.224308436</f>
        <v>-3.2243084359999998</v>
      </c>
      <c r="DJ126">
        <f>1.343782465</f>
        <v>1.3437824650000001</v>
      </c>
      <c r="DK126">
        <f>-31.08993518</f>
        <v>-31.089935180000001</v>
      </c>
      <c r="DL126">
        <f>9.865920667</f>
        <v>9.8659206669999993</v>
      </c>
      <c r="DM126">
        <f>11.26259424</f>
        <v>11.26259424</v>
      </c>
      <c r="DN126">
        <f>12.5921782</f>
        <v>12.592178199999999</v>
      </c>
      <c r="DO126">
        <f>5.049497636</f>
        <v>5.0494976359999999</v>
      </c>
      <c r="DP126">
        <f>20.40285028</f>
        <v>20.402850279999999</v>
      </c>
      <c r="DQ126">
        <f>13.07811815</f>
        <v>13.07811815</v>
      </c>
      <c r="DR126">
        <f>14.91270363</f>
        <v>14.912703629999999</v>
      </c>
      <c r="DS126">
        <f>7.050497674</f>
        <v>7.0504976739999998</v>
      </c>
      <c r="DT126">
        <f>-1.62897839</f>
        <v>-1.6289783900000001</v>
      </c>
      <c r="DU126">
        <f>-0.019913972</f>
        <v>-1.9913971999999999E-2</v>
      </c>
    </row>
    <row r="127" spans="1:125">
      <c r="A127" t="str">
        <f>"    Healthcare Realty Trust Inc"</f>
        <v xml:space="preserve">    Healthcare Realty Trust Inc</v>
      </c>
      <c r="B127" t="str">
        <f>"HR US Equity"</f>
        <v>HR US Equity</v>
      </c>
      <c r="C127" t="str">
        <f t="shared" si="30"/>
        <v>RR551</v>
      </c>
      <c r="D127" t="str">
        <f t="shared" si="31"/>
        <v>NOI_GROWTH</v>
      </c>
      <c r="E127" t="str">
        <f t="shared" si="32"/>
        <v>动态</v>
      </c>
      <c r="F127" t="str">
        <f ca="1">IF(AND(ISNUMBER($F$373),$B$258=1),$F$373,HLOOKUP(INDIRECT(ADDRESS(2,COLUMN())),OFFSET($BN$2,0,0,ROW()-1,60),ROW()-1,FALSE))</f>
        <v/>
      </c>
      <c r="G127">
        <f ca="1">IF(AND(ISNUMBER($G$373),$B$258=1),$G$373,HLOOKUP(INDIRECT(ADDRESS(2,COLUMN())),OFFSET($BN$2,0,0,ROW()-1,60),ROW()-1,FALSE))</f>
        <v>-1.0496508579999999</v>
      </c>
      <c r="H127">
        <f ca="1">IF(AND(ISNUMBER($H$373),$B$258=1),$H$373,HLOOKUP(INDIRECT(ADDRESS(2,COLUMN())),OFFSET($BN$2,0,0,ROW()-1,60),ROW()-1,FALSE))</f>
        <v>1.391665385</v>
      </c>
      <c r="I127">
        <f ca="1">IF(AND(ISNUMBER($I$373),$B$258=1),$I$373,HLOOKUP(INDIRECT(ADDRESS(2,COLUMN())),OFFSET($BN$2,0,0,ROW()-1,60),ROW()-1,FALSE))</f>
        <v>2.2634912360000001</v>
      </c>
      <c r="J127">
        <f ca="1">IF(AND(ISNUMBER($J$373),$B$258=1),$J$373,HLOOKUP(INDIRECT(ADDRESS(2,COLUMN())),OFFSET($BN$2,0,0,ROW()-1,60),ROW()-1,FALSE))</f>
        <v>4.6104777840000004</v>
      </c>
      <c r="K127">
        <f ca="1">IF(AND(ISNUMBER($K$373),$B$258=1),$K$373,HLOOKUP(INDIRECT(ADDRESS(2,COLUMN())),OFFSET($BN$2,0,0,ROW()-1,60),ROW()-1,FALSE))</f>
        <v>11.10726758</v>
      </c>
      <c r="L127">
        <f ca="1">IF(AND(ISNUMBER($L$373),$B$258=1),$L$373,HLOOKUP(INDIRECT(ADDRESS(2,COLUMN())),OFFSET($BN$2,0,0,ROW()-1,60),ROW()-1,FALSE))</f>
        <v>8.1382200349999998</v>
      </c>
      <c r="M127">
        <f ca="1">IF(AND(ISNUMBER($M$373),$B$258=1),$M$373,HLOOKUP(INDIRECT(ADDRESS(2,COLUMN())),OFFSET($BN$2,0,0,ROW()-1,60),ROW()-1,FALSE))</f>
        <v>5.991255303</v>
      </c>
      <c r="N127">
        <f ca="1">IF(AND(ISNUMBER($N$373),$B$258=1),$N$373,HLOOKUP(INDIRECT(ADDRESS(2,COLUMN())),OFFSET($BN$2,0,0,ROW()-1,60),ROW()-1,FALSE))</f>
        <v>4.2174721499999999</v>
      </c>
      <c r="O127">
        <f ca="1">IF(AND(ISNUMBER($O$373),$B$258=1),$O$373,HLOOKUP(INDIRECT(ADDRESS(2,COLUMN())),OFFSET($BN$2,0,0,ROW()-1,60),ROW()-1,FALSE))</f>
        <v>0.74010155600000005</v>
      </c>
      <c r="P127">
        <f ca="1">IF(AND(ISNUMBER($P$373),$B$258=1),$P$373,HLOOKUP(INDIRECT(ADDRESS(2,COLUMN())),OFFSET($BN$2,0,0,ROW()-1,60),ROW()-1,FALSE))</f>
        <v>3.877977579</v>
      </c>
      <c r="Q127">
        <f ca="1">IF(AND(ISNUMBER($Q$373),$B$258=1),$Q$373,HLOOKUP(INDIRECT(ADDRESS(2,COLUMN())),OFFSET($BN$2,0,0,ROW()-1,60),ROW()-1,FALSE))</f>
        <v>10.56537992</v>
      </c>
      <c r="R127">
        <f ca="1">IF(AND(ISNUMBER($R$373),$B$258=1),$R$373,HLOOKUP(INDIRECT(ADDRESS(2,COLUMN())),OFFSET($BN$2,0,0,ROW()-1,60),ROW()-1,FALSE))</f>
        <v>13.22874551</v>
      </c>
      <c r="S127">
        <f ca="1">IF(AND(ISNUMBER($S$373),$B$258=1),$S$373,HLOOKUP(INDIRECT(ADDRESS(2,COLUMN())),OFFSET($BN$2,0,0,ROW()-1,60),ROW()-1,FALSE))</f>
        <v>12.43329975</v>
      </c>
      <c r="T127">
        <f ca="1">IF(AND(ISNUMBER($T$373),$B$258=1),$T$373,HLOOKUP(INDIRECT(ADDRESS(2,COLUMN())),OFFSET($BN$2,0,0,ROW()-1,60),ROW()-1,FALSE))</f>
        <v>26.077487640000001</v>
      </c>
      <c r="U127">
        <f ca="1">IF(AND(ISNUMBER($U$373),$B$258=1),$U$373,HLOOKUP(INDIRECT(ADDRESS(2,COLUMN())),OFFSET($BN$2,0,0,ROW()-1,60),ROW()-1,FALSE))</f>
        <v>17.424610130000001</v>
      </c>
      <c r="V127">
        <f ca="1">IF(AND(ISNUMBER($V$373),$B$258=1),$V$373,HLOOKUP(INDIRECT(ADDRESS(2,COLUMN())),OFFSET($BN$2,0,0,ROW()-1,60),ROW()-1,FALSE))</f>
        <v>15.6004997</v>
      </c>
      <c r="W127">
        <f ca="1">IF(AND(ISNUMBER($W$373),$B$258=1),$W$373,HLOOKUP(INDIRECT(ADDRESS(2,COLUMN())),OFFSET($BN$2,0,0,ROW()-1,60),ROW()-1,FALSE))</f>
        <v>20.835963570000001</v>
      </c>
      <c r="X127">
        <f ca="1">IF(AND(ISNUMBER($X$373),$B$258=1),$X$373,HLOOKUP(INDIRECT(ADDRESS(2,COLUMN())),OFFSET($BN$2,0,0,ROW()-1,60),ROW()-1,FALSE))</f>
        <v>5.7094182379999996</v>
      </c>
      <c r="Y127">
        <f ca="1">IF(AND(ISNUMBER($Y$373),$B$258=1),$Y$373,HLOOKUP(INDIRECT(ADDRESS(2,COLUMN())),OFFSET($BN$2,0,0,ROW()-1,60),ROW()-1,FALSE))</f>
        <v>5.2249411559999999</v>
      </c>
      <c r="Z127">
        <f ca="1">IF(AND(ISNUMBER($Z$373),$B$258=1),$Z$373,HLOOKUP(INDIRECT(ADDRESS(2,COLUMN())),OFFSET($BN$2,0,0,ROW()-1,60),ROW()-1,FALSE))</f>
        <v>5.9661295479999996</v>
      </c>
      <c r="AA127">
        <f ca="1">IF(AND(ISNUMBER($AA$373),$B$258=1),$AA$373,HLOOKUP(INDIRECT(ADDRESS(2,COLUMN())),OFFSET($BN$2,0,0,ROW()-1,60),ROW()-1,FALSE))</f>
        <v>1.248601885</v>
      </c>
      <c r="AB127">
        <f ca="1">IF(AND(ISNUMBER($AB$373),$B$258=1),$AB$373,HLOOKUP(INDIRECT(ADDRESS(2,COLUMN())),OFFSET($BN$2,0,0,ROW()-1,60),ROW()-1,FALSE))</f>
        <v>8.7719737569999996</v>
      </c>
      <c r="AC127">
        <f ca="1">IF(AND(ISNUMBER($AC$373),$B$258=1),$AC$373,HLOOKUP(INDIRECT(ADDRESS(2,COLUMN())),OFFSET($BN$2,0,0,ROW()-1,60),ROW()-1,FALSE))</f>
        <v>12.354672920000001</v>
      </c>
      <c r="AD127">
        <f ca="1">IF(AND(ISNUMBER($AD$373),$B$258=1),$AD$373,HLOOKUP(INDIRECT(ADDRESS(2,COLUMN())),OFFSET($BN$2,0,0,ROW()-1,60),ROW()-1,FALSE))</f>
        <v>8.9548156070000005</v>
      </c>
      <c r="AE127">
        <f ca="1">IF(AND(ISNUMBER($AE$373),$B$258=1),$AE$373,HLOOKUP(INDIRECT(ADDRESS(2,COLUMN())),OFFSET($BN$2,0,0,ROW()-1,60),ROW()-1,FALSE))</f>
        <v>17.04873357</v>
      </c>
      <c r="AF127">
        <f ca="1">IF(AND(ISNUMBER($AF$373),$B$258=1),$AF$373,HLOOKUP(INDIRECT(ADDRESS(2,COLUMN())),OFFSET($BN$2,0,0,ROW()-1,60),ROW()-1,FALSE))</f>
        <v>14.17217028</v>
      </c>
      <c r="AG127">
        <f ca="1">IF(AND(ISNUMBER($AG$373),$B$258=1),$AG$373,HLOOKUP(INDIRECT(ADDRESS(2,COLUMN())),OFFSET($BN$2,0,0,ROW()-1,60),ROW()-1,FALSE))</f>
        <v>7.9591671829999999</v>
      </c>
      <c r="AH127">
        <f ca="1">IF(AND(ISNUMBER($AH$373),$B$258=1),$AH$373,HLOOKUP(INDIRECT(ADDRESS(2,COLUMN())),OFFSET($BN$2,0,0,ROW()-1,60),ROW()-1,FALSE))</f>
        <v>11.730710459999999</v>
      </c>
      <c r="AI127">
        <f ca="1">IF(AND(ISNUMBER($AI$373),$B$258=1),$AI$373,HLOOKUP(INDIRECT(ADDRESS(2,COLUMN())),OFFSET($BN$2,0,0,ROW()-1,60),ROW()-1,FALSE))</f>
        <v>5.2975101980000003</v>
      </c>
      <c r="AJ127">
        <f ca="1">IF(AND(ISNUMBER($AJ$373),$B$258=1),$AJ$373,HLOOKUP(INDIRECT(ADDRESS(2,COLUMN())),OFFSET($BN$2,0,0,ROW()-1,60),ROW()-1,FALSE))</f>
        <v>-2.9063957359999999</v>
      </c>
      <c r="AK127">
        <f ca="1">IF(AND(ISNUMBER($AK$373),$B$258=1),$AK$373,HLOOKUP(INDIRECT(ADDRESS(2,COLUMN())),OFFSET($BN$2,0,0,ROW()-1,60),ROW()-1,FALSE))</f>
        <v>1.2517726629999999</v>
      </c>
      <c r="AL127">
        <f ca="1">IF(AND(ISNUMBER($AL$373),$B$258=1),$AL$373,HLOOKUP(INDIRECT(ADDRESS(2,COLUMN())),OFFSET($BN$2,0,0,ROW()-1,60),ROW()-1,FALSE))</f>
        <v>3.6099835910000002</v>
      </c>
      <c r="AM127">
        <f ca="1">IF(AND(ISNUMBER($AM$373),$B$258=1),$AM$373,HLOOKUP(INDIRECT(ADDRESS(2,COLUMN())),OFFSET($BN$2,0,0,ROW()-1,60),ROW()-1,FALSE))</f>
        <v>32.749477140000003</v>
      </c>
      <c r="AN127">
        <f ca="1">IF(AND(ISNUMBER($AN$373),$B$258=1),$AN$373,HLOOKUP(INDIRECT(ADDRESS(2,COLUMN())),OFFSET($BN$2,0,0,ROW()-1,60),ROW()-1,FALSE))</f>
        <v>26.907630520000001</v>
      </c>
      <c r="AO127">
        <f ca="1">IF(AND(ISNUMBER($AO$373),$B$258=1),$AO$373,HLOOKUP(INDIRECT(ADDRESS(2,COLUMN())),OFFSET($BN$2,0,0,ROW()-1,60),ROW()-1,FALSE))</f>
        <v>28.62354427</v>
      </c>
      <c r="AP127">
        <f ca="1">IF(AND(ISNUMBER($AP$373),$B$258=1),$AP$373,HLOOKUP(INDIRECT(ADDRESS(2,COLUMN())),OFFSET($BN$2,0,0,ROW()-1,60),ROW()-1,FALSE))</f>
        <v>17.44995943</v>
      </c>
      <c r="AQ127">
        <f ca="1">IF(AND(ISNUMBER($AQ$373),$B$258=1),$AQ$373,HLOOKUP(INDIRECT(ADDRESS(2,COLUMN())),OFFSET($BN$2,0,0,ROW()-1,60),ROW()-1,FALSE))</f>
        <v>16.604973220000002</v>
      </c>
      <c r="AR127">
        <f ca="1">IF(AND(ISNUMBER($AR$373),$B$258=1),$AR$373,HLOOKUP(INDIRECT(ADDRESS(2,COLUMN())),OFFSET($BN$2,0,0,ROW()-1,60),ROW()-1,FALSE))</f>
        <v>5.3322943340000002</v>
      </c>
      <c r="AS127">
        <f ca="1">IF(AND(ISNUMBER($AS$373),$B$258=1),$AS$373,HLOOKUP(INDIRECT(ADDRESS(2,COLUMN())),OFFSET($BN$2,0,0,ROW()-1,60),ROW()-1,FALSE))</f>
        <v>1.491687137</v>
      </c>
      <c r="AT127">
        <f ca="1">IF(AND(ISNUMBER($AT$373),$B$258=1),$AT$373,HLOOKUP(INDIRECT(ADDRESS(2,COLUMN())),OFFSET($BN$2,0,0,ROW()-1,60),ROW()-1,FALSE))</f>
        <v>0.91786945099999995</v>
      </c>
      <c r="AU127">
        <f ca="1">IF(AND(ISNUMBER($AU$373),$B$258=1),$AU$373,HLOOKUP(INDIRECT(ADDRESS(2,COLUMN())),OFFSET($BN$2,0,0,ROW()-1,60),ROW()-1,FALSE))</f>
        <v>-25.27011195</v>
      </c>
      <c r="AV127">
        <f ca="1">IF(AND(ISNUMBER($AV$373),$B$258=1),$AV$373,HLOOKUP(INDIRECT(ADDRESS(2,COLUMN())),OFFSET($BN$2,0,0,ROW()-1,60),ROW()-1,FALSE))</f>
        <v>-8.8698769110000004</v>
      </c>
      <c r="AW127">
        <f ca="1">IF(AND(ISNUMBER($AW$373),$B$258=1),$AW$373,HLOOKUP(INDIRECT(ADDRESS(2,COLUMN())),OFFSET($BN$2,0,0,ROW()-1,60),ROW()-1,FALSE))</f>
        <v>-4.1167434719999996</v>
      </c>
      <c r="AX127">
        <f ca="1">IF(AND(ISNUMBER($AX$373),$B$258=1),$AX$373,HLOOKUP(INDIRECT(ADDRESS(2,COLUMN())),OFFSET($BN$2,0,0,ROW()-1,60),ROW()-1,FALSE))</f>
        <v>4.7426733380000003</v>
      </c>
      <c r="AY127">
        <f ca="1">IF(AND(ISNUMBER($AY$373),$B$258=1),$AY$373,HLOOKUP(INDIRECT(ADDRESS(2,COLUMN())),OFFSET($BN$2,0,0,ROW()-1,60),ROW()-1,FALSE))</f>
        <v>-11.039055039999999</v>
      </c>
      <c r="AZ127">
        <f ca="1">IF(AND(ISNUMBER($AZ$373),$B$258=1),$AZ$373,HLOOKUP(INDIRECT(ADDRESS(2,COLUMN())),OFFSET($BN$2,0,0,ROW()-1,60),ROW()-1,FALSE))</f>
        <v>-14.531791910000001</v>
      </c>
      <c r="BA127">
        <f ca="1">IF(AND(ISNUMBER($BA$373),$B$258=1),$BA$373,HLOOKUP(INDIRECT(ADDRESS(2,COLUMN())),OFFSET($BN$2,0,0,ROW()-1,60),ROW()-1,FALSE))</f>
        <v>-5.548749033</v>
      </c>
      <c r="BB127">
        <f ca="1">IF(AND(ISNUMBER($BB$373),$B$258=1),$BB$373,HLOOKUP(INDIRECT(ADDRESS(2,COLUMN())),OFFSET($BN$2,0,0,ROW()-1,60),ROW()-1,FALSE))</f>
        <v>-16.425221780000001</v>
      </c>
      <c r="BC127">
        <f ca="1">IF(AND(ISNUMBER($BC$373),$B$258=1),$BC$373,HLOOKUP(INDIRECT(ADDRESS(2,COLUMN())),OFFSET($BN$2,0,0,ROW()-1,60),ROW()-1,FALSE))</f>
        <v>88.779581350000001</v>
      </c>
      <c r="BD127">
        <f ca="1">IF(AND(ISNUMBER($BD$373),$B$258=1),$BD$373,HLOOKUP(INDIRECT(ADDRESS(2,COLUMN())),OFFSET($BN$2,0,0,ROW()-1,60),ROW()-1,FALSE))</f>
        <v>4.9725433089999997</v>
      </c>
      <c r="BE127">
        <f ca="1">IF(AND(ISNUMBER($BE$373),$B$258=1),$BE$373,HLOOKUP(INDIRECT(ADDRESS(2,COLUMN())),OFFSET($BN$2,0,0,ROW()-1,60),ROW()-1,FALSE))</f>
        <v>-0.474906944</v>
      </c>
      <c r="BF127">
        <f ca="1">IF(AND(ISNUMBER($BF$373),$B$258=1),$BF$373,HLOOKUP(INDIRECT(ADDRESS(2,COLUMN())),OFFSET($BN$2,0,0,ROW()-1,60),ROW()-1,FALSE))</f>
        <v>17.235704030000001</v>
      </c>
      <c r="BG127">
        <f ca="1">IF(AND(ISNUMBER($BG$373),$B$258=1),$BG$373,HLOOKUP(INDIRECT(ADDRESS(2,COLUMN())),OFFSET($BN$2,0,0,ROW()-1,60),ROW()-1,FALSE))</f>
        <v>127.7162414</v>
      </c>
      <c r="BH127">
        <f ca="1">IF(AND(ISNUMBER($BH$373),$B$258=1),$BH$373,HLOOKUP(INDIRECT(ADDRESS(2,COLUMN())),OFFSET($BN$2,0,0,ROW()-1,60),ROW()-1,FALSE))</f>
        <v>2.5512622170000001</v>
      </c>
      <c r="BI127">
        <f ca="1">IF(AND(ISNUMBER($BI$373),$B$258=1),$BI$373,HLOOKUP(INDIRECT(ADDRESS(2,COLUMN())),OFFSET($BN$2,0,0,ROW()-1,60),ROW()-1,FALSE))</f>
        <v>-11.6916925</v>
      </c>
      <c r="BJ127">
        <f ca="1">IF(AND(ISNUMBER($BJ$373),$B$258=1),$BJ$373,HLOOKUP(INDIRECT(ADDRESS(2,COLUMN())),OFFSET($BN$2,0,0,ROW()-1,60),ROW()-1,FALSE))</f>
        <v>-18.638707660000001</v>
      </c>
      <c r="BK127">
        <f ca="1">IF(AND(ISNUMBER($BK$373),$B$258=1),$BK$373,HLOOKUP(INDIRECT(ADDRESS(2,COLUMN())),OFFSET($BN$2,0,0,ROW()-1,60),ROW()-1,FALSE))</f>
        <v>-70.52241429</v>
      </c>
      <c r="BL127">
        <f ca="1">IF(AND(ISNUMBER($BL$373),$B$258=1),$BL$373,HLOOKUP(INDIRECT(ADDRESS(2,COLUMN())),OFFSET($BN$2,0,0,ROW()-1,60),ROW()-1,FALSE))</f>
        <v>-16.926854599999999</v>
      </c>
      <c r="BM127">
        <f ca="1">IF(AND(ISNUMBER($BM$373),$B$258=1),$BM$373,HLOOKUP(INDIRECT(ADDRESS(2,COLUMN())),OFFSET($BN$2,0,0,ROW()-1,60),ROW()-1,FALSE))</f>
        <v>-3.3706638080000002</v>
      </c>
      <c r="BN127" t="str">
        <f>""</f>
        <v/>
      </c>
      <c r="BO127">
        <f>-1.049650858</f>
        <v>-1.0496508579999999</v>
      </c>
      <c r="BP127">
        <f>1.391665385</f>
        <v>1.391665385</v>
      </c>
      <c r="BQ127">
        <f>2.263491236</f>
        <v>2.2634912360000001</v>
      </c>
      <c r="BR127">
        <f>4.610477784</f>
        <v>4.6104777840000004</v>
      </c>
      <c r="BS127">
        <f>11.10726758</f>
        <v>11.10726758</v>
      </c>
      <c r="BT127">
        <f>8.138220035</f>
        <v>8.1382200349999998</v>
      </c>
      <c r="BU127">
        <f>5.991255303</f>
        <v>5.991255303</v>
      </c>
      <c r="BV127">
        <f>4.21747215</f>
        <v>4.2174721499999999</v>
      </c>
      <c r="BW127">
        <f>0.740101556</f>
        <v>0.74010155600000005</v>
      </c>
      <c r="BX127">
        <f>3.877977579</f>
        <v>3.877977579</v>
      </c>
      <c r="BY127">
        <f>10.56537992</f>
        <v>10.56537992</v>
      </c>
      <c r="BZ127">
        <f>13.22874551</f>
        <v>13.22874551</v>
      </c>
      <c r="CA127">
        <f>12.43329975</f>
        <v>12.43329975</v>
      </c>
      <c r="CB127">
        <f>26.07748764</f>
        <v>26.077487640000001</v>
      </c>
      <c r="CC127">
        <f>17.42461013</f>
        <v>17.424610130000001</v>
      </c>
      <c r="CD127">
        <f>15.6004997</f>
        <v>15.6004997</v>
      </c>
      <c r="CE127">
        <f>20.83596357</f>
        <v>20.835963570000001</v>
      </c>
      <c r="CF127">
        <f>5.709418238</f>
        <v>5.7094182379999996</v>
      </c>
      <c r="CG127">
        <f>5.224941156</f>
        <v>5.2249411559999999</v>
      </c>
      <c r="CH127">
        <f>5.966129548</f>
        <v>5.9661295479999996</v>
      </c>
      <c r="CI127">
        <f>1.248601885</f>
        <v>1.248601885</v>
      </c>
      <c r="CJ127">
        <f>8.771973757</f>
        <v>8.7719737569999996</v>
      </c>
      <c r="CK127">
        <f>12.35467292</f>
        <v>12.354672920000001</v>
      </c>
      <c r="CL127">
        <f>8.954815607</f>
        <v>8.9548156070000005</v>
      </c>
      <c r="CM127">
        <f>17.04873357</f>
        <v>17.04873357</v>
      </c>
      <c r="CN127">
        <f>14.17217028</f>
        <v>14.17217028</v>
      </c>
      <c r="CO127">
        <f>7.959167183</f>
        <v>7.9591671829999999</v>
      </c>
      <c r="CP127">
        <f>11.73071046</f>
        <v>11.730710459999999</v>
      </c>
      <c r="CQ127">
        <f>5.297510198</f>
        <v>5.2975101980000003</v>
      </c>
      <c r="CR127">
        <f>-2.906395736</f>
        <v>-2.9063957359999999</v>
      </c>
      <c r="CS127">
        <f>1.251772663</f>
        <v>1.2517726629999999</v>
      </c>
      <c r="CT127">
        <f>3.609983591</f>
        <v>3.6099835910000002</v>
      </c>
      <c r="CU127">
        <f>32.74947714</f>
        <v>32.749477140000003</v>
      </c>
      <c r="CV127">
        <f>26.90763052</f>
        <v>26.907630520000001</v>
      </c>
      <c r="CW127">
        <f>28.62354427</f>
        <v>28.62354427</v>
      </c>
      <c r="CX127">
        <f>17.44995943</f>
        <v>17.44995943</v>
      </c>
      <c r="CY127">
        <f>16.60497322</f>
        <v>16.604973220000002</v>
      </c>
      <c r="CZ127">
        <f>5.332294334</f>
        <v>5.3322943340000002</v>
      </c>
      <c r="DA127">
        <f>1.491687137</f>
        <v>1.491687137</v>
      </c>
      <c r="DB127">
        <f>0.917869451</f>
        <v>0.91786945099999995</v>
      </c>
      <c r="DC127">
        <f>-25.27011195</f>
        <v>-25.27011195</v>
      </c>
      <c r="DD127">
        <f>-8.869876911</f>
        <v>-8.8698769110000004</v>
      </c>
      <c r="DE127">
        <f>-4.116743472</f>
        <v>-4.1167434719999996</v>
      </c>
      <c r="DF127">
        <f>4.742673338</f>
        <v>4.7426733380000003</v>
      </c>
      <c r="DG127">
        <f>-11.03905504</f>
        <v>-11.039055039999999</v>
      </c>
      <c r="DH127">
        <f>-14.53179191</f>
        <v>-14.531791910000001</v>
      </c>
      <c r="DI127">
        <f>-5.548749033</f>
        <v>-5.548749033</v>
      </c>
      <c r="DJ127">
        <f>-16.42522178</f>
        <v>-16.425221780000001</v>
      </c>
      <c r="DK127">
        <f>88.77958135</f>
        <v>88.779581350000001</v>
      </c>
      <c r="DL127">
        <f>4.972543309</f>
        <v>4.9725433089999997</v>
      </c>
      <c r="DM127">
        <f>-0.474906944</f>
        <v>-0.474906944</v>
      </c>
      <c r="DN127">
        <f>17.23570403</f>
        <v>17.235704030000001</v>
      </c>
      <c r="DO127">
        <f>127.7162414</f>
        <v>127.7162414</v>
      </c>
      <c r="DP127">
        <f>2.551262217</f>
        <v>2.5512622170000001</v>
      </c>
      <c r="DQ127">
        <f>-11.6916925</f>
        <v>-11.6916925</v>
      </c>
      <c r="DR127">
        <f>-18.63870766</f>
        <v>-18.638707660000001</v>
      </c>
      <c r="DS127">
        <f>-70.52241429</f>
        <v>-70.52241429</v>
      </c>
      <c r="DT127">
        <f>-16.9268546</f>
        <v>-16.926854599999999</v>
      </c>
      <c r="DU127">
        <f>-3.370663808</f>
        <v>-3.3706638080000002</v>
      </c>
    </row>
    <row r="128" spans="1:125">
      <c r="A128" t="str">
        <f>"    Healthcare Trust of America In"</f>
        <v xml:space="preserve">    Healthcare Trust of America In</v>
      </c>
      <c r="B128" t="str">
        <f>"HTA US Equity"</f>
        <v>HTA US Equity</v>
      </c>
      <c r="C128" t="str">
        <f t="shared" si="30"/>
        <v>RR551</v>
      </c>
      <c r="D128" t="str">
        <f t="shared" si="31"/>
        <v>NOI_GROWTH</v>
      </c>
      <c r="E128" t="str">
        <f t="shared" si="32"/>
        <v>动态</v>
      </c>
      <c r="F128" t="str">
        <f ca="1">IF(AND(ISNUMBER($F$374),$B$258=1),$F$374,HLOOKUP(INDIRECT(ADDRESS(2,COLUMN())),OFFSET($BN$2,0,0,ROW()-1,60),ROW()-1,FALSE))</f>
        <v/>
      </c>
      <c r="G128">
        <f ca="1">IF(AND(ISNUMBER($G$374),$B$258=1),$G$374,HLOOKUP(INDIRECT(ADDRESS(2,COLUMN())),OFFSET($BN$2,0,0,ROW()-1,60),ROW()-1,FALSE))</f>
        <v>44.173006649999998</v>
      </c>
      <c r="H128">
        <f ca="1">IF(AND(ISNUMBER($H$374),$B$258=1),$H$374,HLOOKUP(INDIRECT(ADDRESS(2,COLUMN())),OFFSET($BN$2,0,0,ROW()-1,60),ROW()-1,FALSE))</f>
        <v>46.37383706</v>
      </c>
      <c r="I128">
        <f ca="1">IF(AND(ISNUMBER($I$374),$B$258=1),$I$374,HLOOKUP(INDIRECT(ADDRESS(2,COLUMN())),OFFSET($BN$2,0,0,ROW()-1,60),ROW()-1,FALSE))</f>
        <v>22.9486572</v>
      </c>
      <c r="J128">
        <f ca="1">IF(AND(ISNUMBER($J$374),$B$258=1),$J$374,HLOOKUP(INDIRECT(ADDRESS(2,COLUMN())),OFFSET($BN$2,0,0,ROW()-1,60),ROW()-1,FALSE))</f>
        <v>14.98842984</v>
      </c>
      <c r="K128">
        <f ca="1">IF(AND(ISNUMBER($K$374),$B$258=1),$K$374,HLOOKUP(INDIRECT(ADDRESS(2,COLUMN())),OFFSET($BN$2,0,0,ROW()-1,60),ROW()-1,FALSE))</f>
        <v>16.819225169999999</v>
      </c>
      <c r="L128">
        <f ca="1">IF(AND(ISNUMBER($L$374),$B$258=1),$L$374,HLOOKUP(INDIRECT(ADDRESS(2,COLUMN())),OFFSET($BN$2,0,0,ROW()-1,60),ROW()-1,FALSE))</f>
        <v>14.675705389999999</v>
      </c>
      <c r="M128">
        <f ca="1">IF(AND(ISNUMBER($M$374),$B$258=1),$M$374,HLOOKUP(INDIRECT(ADDRESS(2,COLUMN())),OFFSET($BN$2,0,0,ROW()-1,60),ROW()-1,FALSE))</f>
        <v>11.53758249</v>
      </c>
      <c r="N128">
        <f ca="1">IF(AND(ISNUMBER($N$374),$B$258=1),$N$374,HLOOKUP(INDIRECT(ADDRESS(2,COLUMN())),OFFSET($BN$2,0,0,ROW()-1,60),ROW()-1,FALSE))</f>
        <v>9.0650136519999993</v>
      </c>
      <c r="O128">
        <f ca="1">IF(AND(ISNUMBER($O$374),$B$258=1),$O$374,HLOOKUP(INDIRECT(ADDRESS(2,COLUMN())),OFFSET($BN$2,0,0,ROW()-1,60),ROW()-1,FALSE))</f>
        <v>7.3324620310000004</v>
      </c>
      <c r="P128">
        <f ca="1">IF(AND(ISNUMBER($P$374),$B$258=1),$P$374,HLOOKUP(INDIRECT(ADDRESS(2,COLUMN())),OFFSET($BN$2,0,0,ROW()-1,60),ROW()-1,FALSE))</f>
        <v>6.2965348829999996</v>
      </c>
      <c r="Q128">
        <f ca="1">IF(AND(ISNUMBER($Q$374),$B$258=1),$Q$374,HLOOKUP(INDIRECT(ADDRESS(2,COLUMN())),OFFSET($BN$2,0,0,ROW()-1,60),ROW()-1,FALSE))</f>
        <v>13.128211759999999</v>
      </c>
      <c r="R128">
        <f ca="1">IF(AND(ISNUMBER($R$374),$B$258=1),$R$374,HLOOKUP(INDIRECT(ADDRESS(2,COLUMN())),OFFSET($BN$2,0,0,ROW()-1,60),ROW()-1,FALSE))</f>
        <v>11.32379278</v>
      </c>
      <c r="S128">
        <f ca="1">IF(AND(ISNUMBER($S$374),$B$258=1),$S$374,HLOOKUP(INDIRECT(ADDRESS(2,COLUMN())),OFFSET($BN$2,0,0,ROW()-1,60),ROW()-1,FALSE))</f>
        <v>13.659569380000001</v>
      </c>
      <c r="T128">
        <f ca="1">IF(AND(ISNUMBER($T$374),$B$258=1),$T$374,HLOOKUP(INDIRECT(ADDRESS(2,COLUMN())),OFFSET($BN$2,0,0,ROW()-1,60),ROW()-1,FALSE))</f>
        <v>18.917907790000001</v>
      </c>
      <c r="U128">
        <f ca="1">IF(AND(ISNUMBER($U$374),$B$258=1),$U$374,HLOOKUP(INDIRECT(ADDRESS(2,COLUMN())),OFFSET($BN$2,0,0,ROW()-1,60),ROW()-1,FALSE))</f>
        <v>13.803884070000001</v>
      </c>
      <c r="V128">
        <f ca="1">IF(AND(ISNUMBER($V$374),$B$258=1),$V$374,HLOOKUP(INDIRECT(ADDRESS(2,COLUMN())),OFFSET($BN$2,0,0,ROW()-1,60),ROW()-1,FALSE))</f>
        <v>16.435185189999999</v>
      </c>
      <c r="W128">
        <f ca="1">IF(AND(ISNUMBER($W$374),$B$258=1),$W$374,HLOOKUP(INDIRECT(ADDRESS(2,COLUMN())),OFFSET($BN$2,0,0,ROW()-1,60),ROW()-1,FALSE))</f>
        <v>15.50993038</v>
      </c>
      <c r="X128">
        <f ca="1">IF(AND(ISNUMBER($X$374),$B$258=1),$X$374,HLOOKUP(INDIRECT(ADDRESS(2,COLUMN())),OFFSET($BN$2,0,0,ROW()-1,60),ROW()-1,FALSE))</f>
        <v>11.437136450000001</v>
      </c>
      <c r="Y128">
        <f ca="1">IF(AND(ISNUMBER($Y$374),$B$258=1),$Y$374,HLOOKUP(INDIRECT(ADDRESS(2,COLUMN())),OFFSET($BN$2,0,0,ROW()-1,60),ROW()-1,FALSE))</f>
        <v>13.24086801</v>
      </c>
      <c r="Z128">
        <f ca="1">IF(AND(ISNUMBER($Z$374),$B$258=1),$Z$374,HLOOKUP(INDIRECT(ADDRESS(2,COLUMN())),OFFSET($BN$2,0,0,ROW()-1,60),ROW()-1,FALSE))</f>
        <v>17.20967778</v>
      </c>
      <c r="AA128">
        <f ca="1">IF(AND(ISNUMBER($AA$374),$B$258=1),$AA$374,HLOOKUP(INDIRECT(ADDRESS(2,COLUMN())),OFFSET($BN$2,0,0,ROW()-1,60),ROW()-1,FALSE))</f>
        <v>2.380663921</v>
      </c>
      <c r="AB128">
        <f ca="1">IF(AND(ISNUMBER($AB$374),$B$258=1),$AB$374,HLOOKUP(INDIRECT(ADDRESS(2,COLUMN())),OFFSET($BN$2,0,0,ROW()-1,60),ROW()-1,FALSE))</f>
        <v>17.967633899999999</v>
      </c>
      <c r="AC128">
        <f ca="1">IF(AND(ISNUMBER($AC$374),$B$258=1),$AC$374,HLOOKUP(INDIRECT(ADDRESS(2,COLUMN())),OFFSET($BN$2,0,0,ROW()-1,60),ROW()-1,FALSE))</f>
        <v>10.95244697</v>
      </c>
      <c r="AD128">
        <f ca="1">IF(AND(ISNUMBER($AD$374),$B$258=1),$AD$374,HLOOKUP(INDIRECT(ADDRESS(2,COLUMN())),OFFSET($BN$2,0,0,ROW()-1,60),ROW()-1,FALSE))</f>
        <v>-1.736256472</v>
      </c>
      <c r="AE128">
        <f ca="1">IF(AND(ISNUMBER($AE$374),$B$258=1),$AE$374,HLOOKUP(INDIRECT(ADDRESS(2,COLUMN())),OFFSET($BN$2,0,0,ROW()-1,60),ROW()-1,FALSE))</f>
        <v>23.111343130000002</v>
      </c>
      <c r="AF128">
        <f ca="1">IF(AND(ISNUMBER($AF$374),$B$258=1),$AF$374,HLOOKUP(INDIRECT(ADDRESS(2,COLUMN())),OFFSET($BN$2,0,0,ROW()-1,60),ROW()-1,FALSE))</f>
        <v>29.351711600000002</v>
      </c>
      <c r="AG128">
        <f ca="1">IF(AND(ISNUMBER($AG$374),$B$258=1),$AG$374,HLOOKUP(INDIRECT(ADDRESS(2,COLUMN())),OFFSET($BN$2,0,0,ROW()-1,60),ROW()-1,FALSE))</f>
        <v>49.890901530000001</v>
      </c>
      <c r="AH128">
        <f ca="1">IF(AND(ISNUMBER($AH$374),$B$258=1),$AH$374,HLOOKUP(INDIRECT(ADDRESS(2,COLUMN())),OFFSET($BN$2,0,0,ROW()-1,60),ROW()-1,FALSE))</f>
        <v>63.702928870000001</v>
      </c>
      <c r="AI128" t="str">
        <f ca="1">IF(AND(ISNUMBER($AI$374),$B$258=1),$AI$374,HLOOKUP(INDIRECT(ADDRESS(2,COLUMN())),OFFSET($BN$2,0,0,ROW()-1,60),ROW()-1,FALSE))</f>
        <v/>
      </c>
      <c r="AJ128" t="str">
        <f ca="1">IF(AND(ISNUMBER($AJ$374),$B$258=1),$AJ$374,HLOOKUP(INDIRECT(ADDRESS(2,COLUMN())),OFFSET($BN$2,0,0,ROW()-1,60),ROW()-1,FALSE))</f>
        <v/>
      </c>
      <c r="AK128" t="str">
        <f ca="1">IF(AND(ISNUMBER($AK$374),$B$258=1),$AK$374,HLOOKUP(INDIRECT(ADDRESS(2,COLUMN())),OFFSET($BN$2,0,0,ROW()-1,60),ROW()-1,FALSE))</f>
        <v/>
      </c>
      <c r="AL128" t="str">
        <f ca="1">IF(AND(ISNUMBER($AL$374),$B$258=1),$AL$374,HLOOKUP(INDIRECT(ADDRESS(2,COLUMN())),OFFSET($BN$2,0,0,ROW()-1,60),ROW()-1,FALSE))</f>
        <v/>
      </c>
      <c r="AM128" t="str">
        <f ca="1">IF(AND(ISNUMBER($AM$374),$B$258=1),$AM$374,HLOOKUP(INDIRECT(ADDRESS(2,COLUMN())),OFFSET($BN$2,0,0,ROW()-1,60),ROW()-1,FALSE))</f>
        <v/>
      </c>
      <c r="AN128" t="str">
        <f ca="1">IF(AND(ISNUMBER($AN$374),$B$258=1),$AN$374,HLOOKUP(INDIRECT(ADDRESS(2,COLUMN())),OFFSET($BN$2,0,0,ROW()-1,60),ROW()-1,FALSE))</f>
        <v/>
      </c>
      <c r="AO128" t="str">
        <f ca="1">IF(AND(ISNUMBER($AO$374),$B$258=1),$AO$374,HLOOKUP(INDIRECT(ADDRESS(2,COLUMN())),OFFSET($BN$2,0,0,ROW()-1,60),ROW()-1,FALSE))</f>
        <v/>
      </c>
      <c r="AP128" t="str">
        <f ca="1">IF(AND(ISNUMBER($AP$374),$B$258=1),$AP$374,HLOOKUP(INDIRECT(ADDRESS(2,COLUMN())),OFFSET($BN$2,0,0,ROW()-1,60),ROW()-1,FALSE))</f>
        <v/>
      </c>
      <c r="AQ128" t="str">
        <f ca="1">IF(AND(ISNUMBER($AQ$374),$B$258=1),$AQ$374,HLOOKUP(INDIRECT(ADDRESS(2,COLUMN())),OFFSET($BN$2,0,0,ROW()-1,60),ROW()-1,FALSE))</f>
        <v/>
      </c>
      <c r="AR128" t="str">
        <f ca="1">IF(AND(ISNUMBER($AR$374),$B$258=1),$AR$374,HLOOKUP(INDIRECT(ADDRESS(2,COLUMN())),OFFSET($BN$2,0,0,ROW()-1,60),ROW()-1,FALSE))</f>
        <v/>
      </c>
      <c r="AS128" t="str">
        <f ca="1">IF(AND(ISNUMBER($AS$374),$B$258=1),$AS$374,HLOOKUP(INDIRECT(ADDRESS(2,COLUMN())),OFFSET($BN$2,0,0,ROW()-1,60),ROW()-1,FALSE))</f>
        <v/>
      </c>
      <c r="AT128" t="str">
        <f ca="1">IF(AND(ISNUMBER($AT$374),$B$258=1),$AT$374,HLOOKUP(INDIRECT(ADDRESS(2,COLUMN())),OFFSET($BN$2,0,0,ROW()-1,60),ROW()-1,FALSE))</f>
        <v/>
      </c>
      <c r="AU128" t="str">
        <f ca="1">IF(AND(ISNUMBER($AU$374),$B$258=1),$AU$374,HLOOKUP(INDIRECT(ADDRESS(2,COLUMN())),OFFSET($BN$2,0,0,ROW()-1,60),ROW()-1,FALSE))</f>
        <v/>
      </c>
      <c r="AV128" t="str">
        <f ca="1">IF(AND(ISNUMBER($AV$374),$B$258=1),$AV$374,HLOOKUP(INDIRECT(ADDRESS(2,COLUMN())),OFFSET($BN$2,0,0,ROW()-1,60),ROW()-1,FALSE))</f>
        <v/>
      </c>
      <c r="AW128" t="str">
        <f ca="1">IF(AND(ISNUMBER($AW$374),$B$258=1),$AW$374,HLOOKUP(INDIRECT(ADDRESS(2,COLUMN())),OFFSET($BN$2,0,0,ROW()-1,60),ROW()-1,FALSE))</f>
        <v/>
      </c>
      <c r="AX128" t="str">
        <f ca="1">IF(AND(ISNUMBER($AX$374),$B$258=1),$AX$374,HLOOKUP(INDIRECT(ADDRESS(2,COLUMN())),OFFSET($BN$2,0,0,ROW()-1,60),ROW()-1,FALSE))</f>
        <v/>
      </c>
      <c r="AY128" t="str">
        <f ca="1">IF(AND(ISNUMBER($AY$374),$B$258=1),$AY$374,HLOOKUP(INDIRECT(ADDRESS(2,COLUMN())),OFFSET($BN$2,0,0,ROW()-1,60),ROW()-1,FALSE))</f>
        <v/>
      </c>
      <c r="AZ128" t="str">
        <f ca="1">IF(AND(ISNUMBER($AZ$374),$B$258=1),$AZ$374,HLOOKUP(INDIRECT(ADDRESS(2,COLUMN())),OFFSET($BN$2,0,0,ROW()-1,60),ROW()-1,FALSE))</f>
        <v/>
      </c>
      <c r="BA128" t="str">
        <f ca="1">IF(AND(ISNUMBER($BA$374),$B$258=1),$BA$374,HLOOKUP(INDIRECT(ADDRESS(2,COLUMN())),OFFSET($BN$2,0,0,ROW()-1,60),ROW()-1,FALSE))</f>
        <v/>
      </c>
      <c r="BB128" t="str">
        <f ca="1">IF(AND(ISNUMBER($BB$374),$B$258=1),$BB$374,HLOOKUP(INDIRECT(ADDRESS(2,COLUMN())),OFFSET($BN$2,0,0,ROW()-1,60),ROW()-1,FALSE))</f>
        <v/>
      </c>
      <c r="BC128" t="str">
        <f ca="1">IF(AND(ISNUMBER($BC$374),$B$258=1),$BC$374,HLOOKUP(INDIRECT(ADDRESS(2,COLUMN())),OFFSET($BN$2,0,0,ROW()-1,60),ROW()-1,FALSE))</f>
        <v/>
      </c>
      <c r="BD128" t="str">
        <f ca="1">IF(AND(ISNUMBER($BD$374),$B$258=1),$BD$374,HLOOKUP(INDIRECT(ADDRESS(2,COLUMN())),OFFSET($BN$2,0,0,ROW()-1,60),ROW()-1,FALSE))</f>
        <v/>
      </c>
      <c r="BE128" t="str">
        <f ca="1">IF(AND(ISNUMBER($BE$374),$B$258=1),$BE$374,HLOOKUP(INDIRECT(ADDRESS(2,COLUMN())),OFFSET($BN$2,0,0,ROW()-1,60),ROW()-1,FALSE))</f>
        <v/>
      </c>
      <c r="BF128" t="str">
        <f ca="1">IF(AND(ISNUMBER($BF$374),$B$258=1),$BF$374,HLOOKUP(INDIRECT(ADDRESS(2,COLUMN())),OFFSET($BN$2,0,0,ROW()-1,60),ROW()-1,FALSE))</f>
        <v/>
      </c>
      <c r="BG128" t="str">
        <f ca="1">IF(AND(ISNUMBER($BG$374),$B$258=1),$BG$374,HLOOKUP(INDIRECT(ADDRESS(2,COLUMN())),OFFSET($BN$2,0,0,ROW()-1,60),ROW()-1,FALSE))</f>
        <v/>
      </c>
      <c r="BH128" t="str">
        <f ca="1">IF(AND(ISNUMBER($BH$374),$B$258=1),$BH$374,HLOOKUP(INDIRECT(ADDRESS(2,COLUMN())),OFFSET($BN$2,0,0,ROW()-1,60),ROW()-1,FALSE))</f>
        <v/>
      </c>
      <c r="BI128" t="str">
        <f ca="1">IF(AND(ISNUMBER($BI$374),$B$258=1),$BI$374,HLOOKUP(INDIRECT(ADDRESS(2,COLUMN())),OFFSET($BN$2,0,0,ROW()-1,60),ROW()-1,FALSE))</f>
        <v/>
      </c>
      <c r="BJ128" t="str">
        <f ca="1">IF(AND(ISNUMBER($BJ$374),$B$258=1),$BJ$374,HLOOKUP(INDIRECT(ADDRESS(2,COLUMN())),OFFSET($BN$2,0,0,ROW()-1,60),ROW()-1,FALSE))</f>
        <v/>
      </c>
      <c r="BK128" t="str">
        <f ca="1">IF(AND(ISNUMBER($BK$374),$B$258=1),$BK$374,HLOOKUP(INDIRECT(ADDRESS(2,COLUMN())),OFFSET($BN$2,0,0,ROW()-1,60),ROW()-1,FALSE))</f>
        <v/>
      </c>
      <c r="BL128" t="str">
        <f ca="1">IF(AND(ISNUMBER($BL$374),$B$258=1),$BL$374,HLOOKUP(INDIRECT(ADDRESS(2,COLUMN())),OFFSET($BN$2,0,0,ROW()-1,60),ROW()-1,FALSE))</f>
        <v/>
      </c>
      <c r="BM128" t="str">
        <f ca="1">IF(AND(ISNUMBER($BM$374),$B$258=1),$BM$374,HLOOKUP(INDIRECT(ADDRESS(2,COLUMN())),OFFSET($BN$2,0,0,ROW()-1,60),ROW()-1,FALSE))</f>
        <v/>
      </c>
      <c r="BN128" t="str">
        <f>""</f>
        <v/>
      </c>
      <c r="BO128">
        <f>44.17300665</f>
        <v>44.173006649999998</v>
      </c>
      <c r="BP128">
        <f>46.37383706</f>
        <v>46.37383706</v>
      </c>
      <c r="BQ128">
        <f>22.9486572</f>
        <v>22.9486572</v>
      </c>
      <c r="BR128">
        <f>14.98842984</f>
        <v>14.98842984</v>
      </c>
      <c r="BS128">
        <f>16.81922517</f>
        <v>16.819225169999999</v>
      </c>
      <c r="BT128">
        <f>14.67570539</f>
        <v>14.675705389999999</v>
      </c>
      <c r="BU128">
        <f>11.53758249</f>
        <v>11.53758249</v>
      </c>
      <c r="BV128">
        <f>9.065013652</f>
        <v>9.0650136519999993</v>
      </c>
      <c r="BW128">
        <f>7.332462031</f>
        <v>7.3324620310000004</v>
      </c>
      <c r="BX128">
        <f>6.296534883</f>
        <v>6.2965348829999996</v>
      </c>
      <c r="BY128">
        <f>13.12821176</f>
        <v>13.128211759999999</v>
      </c>
      <c r="BZ128">
        <f>11.32379278</f>
        <v>11.32379278</v>
      </c>
      <c r="CA128">
        <f>13.65956938</f>
        <v>13.659569380000001</v>
      </c>
      <c r="CB128">
        <f>18.91790779</f>
        <v>18.917907790000001</v>
      </c>
      <c r="CC128">
        <f>13.80388407</f>
        <v>13.803884070000001</v>
      </c>
      <c r="CD128">
        <f>16.43518519</f>
        <v>16.435185189999999</v>
      </c>
      <c r="CE128">
        <f>15.50993038</f>
        <v>15.50993038</v>
      </c>
      <c r="CF128">
        <f>11.43713645</f>
        <v>11.437136450000001</v>
      </c>
      <c r="CG128">
        <f>13.24086801</f>
        <v>13.24086801</v>
      </c>
      <c r="CH128">
        <f>17.20967778</f>
        <v>17.20967778</v>
      </c>
      <c r="CI128">
        <f>2.380663921</f>
        <v>2.380663921</v>
      </c>
      <c r="CJ128">
        <f>17.9676339</f>
        <v>17.967633899999999</v>
      </c>
      <c r="CK128">
        <f>10.95244697</f>
        <v>10.95244697</v>
      </c>
      <c r="CL128">
        <f>-1.736256472</f>
        <v>-1.736256472</v>
      </c>
      <c r="CM128">
        <f>23.11134313</f>
        <v>23.111343130000002</v>
      </c>
      <c r="CN128">
        <f>29.3517116</f>
        <v>29.351711600000002</v>
      </c>
      <c r="CO128">
        <f>49.89090153</f>
        <v>49.890901530000001</v>
      </c>
      <c r="CP128">
        <f>63.70292887</f>
        <v>63.702928870000001</v>
      </c>
      <c r="CQ128" t="str">
        <f>""</f>
        <v/>
      </c>
      <c r="CR128" t="str">
        <f>""</f>
        <v/>
      </c>
      <c r="CS128" t="str">
        <f>""</f>
        <v/>
      </c>
      <c r="CT128" t="str">
        <f>""</f>
        <v/>
      </c>
      <c r="CU128" t="str">
        <f>""</f>
        <v/>
      </c>
      <c r="CV128" t="str">
        <f>""</f>
        <v/>
      </c>
      <c r="CW128" t="str">
        <f>""</f>
        <v/>
      </c>
      <c r="CX128" t="str">
        <f>""</f>
        <v/>
      </c>
      <c r="CY128" t="str">
        <f>""</f>
        <v/>
      </c>
      <c r="CZ128" t="str">
        <f>""</f>
        <v/>
      </c>
      <c r="DA128" t="str">
        <f>""</f>
        <v/>
      </c>
      <c r="DB128" t="str">
        <f>""</f>
        <v/>
      </c>
      <c r="DC128" t="str">
        <f>""</f>
        <v/>
      </c>
      <c r="DD128" t="str">
        <f>""</f>
        <v/>
      </c>
      <c r="DE128" t="str">
        <f>""</f>
        <v/>
      </c>
      <c r="DF128" t="str">
        <f>""</f>
        <v/>
      </c>
      <c r="DG128" t="str">
        <f>""</f>
        <v/>
      </c>
      <c r="DH128" t="str">
        <f>""</f>
        <v/>
      </c>
      <c r="DI128" t="str">
        <f>""</f>
        <v/>
      </c>
      <c r="DJ128" t="str">
        <f>""</f>
        <v/>
      </c>
      <c r="DK128" t="str">
        <f>""</f>
        <v/>
      </c>
      <c r="DL128" t="str">
        <f>""</f>
        <v/>
      </c>
      <c r="DM128" t="str">
        <f>""</f>
        <v/>
      </c>
      <c r="DN128" t="str">
        <f>""</f>
        <v/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</row>
    <row r="129" spans="1:125">
      <c r="A129" t="str">
        <f>"    Medical Properties Trust Inc"</f>
        <v xml:space="preserve">    Medical Properties Trust Inc</v>
      </c>
      <c r="B129" t="str">
        <f>"MPW US Equity"</f>
        <v>MPW US Equity</v>
      </c>
      <c r="C129" t="str">
        <f t="shared" si="30"/>
        <v>RR551</v>
      </c>
      <c r="D129" t="str">
        <f t="shared" si="31"/>
        <v>NOI_GROWTH</v>
      </c>
      <c r="E129" t="str">
        <f t="shared" si="32"/>
        <v>动态</v>
      </c>
      <c r="F129" t="str">
        <f ca="1">IF(AND(ISNUMBER($F$375),$B$258=1),$F$375,HLOOKUP(INDIRECT(ADDRESS(2,COLUMN())),OFFSET($BN$2,0,0,ROW()-1,60),ROW()-1,FALSE))</f>
        <v/>
      </c>
      <c r="G129">
        <f ca="1">IF(AND(ISNUMBER($G$375),$B$258=1),$G$375,HLOOKUP(INDIRECT(ADDRESS(2,COLUMN())),OFFSET($BN$2,0,0,ROW()-1,60),ROW()-1,FALSE))</f>
        <v>30.383633790000001</v>
      </c>
      <c r="H129">
        <f ca="1">IF(AND(ISNUMBER($H$375),$B$258=1),$H$375,HLOOKUP(INDIRECT(ADDRESS(2,COLUMN())),OFFSET($BN$2,0,0,ROW()-1,60),ROW()-1,FALSE))</f>
        <v>36.606516429999999</v>
      </c>
      <c r="I129">
        <f ca="1">IF(AND(ISNUMBER($I$375),$B$258=1),$I$375,HLOOKUP(INDIRECT(ADDRESS(2,COLUMN())),OFFSET($BN$2,0,0,ROW()-1,60),ROW()-1,FALSE))</f>
        <v>37.877093850000001</v>
      </c>
      <c r="J129">
        <f ca="1">IF(AND(ISNUMBER($J$375),$B$258=1),$J$375,HLOOKUP(INDIRECT(ADDRESS(2,COLUMN())),OFFSET($BN$2,0,0,ROW()-1,60),ROW()-1,FALSE))</f>
        <v>25.68176381</v>
      </c>
      <c r="K129">
        <f ca="1">IF(AND(ISNUMBER($K$375),$B$258=1),$K$375,HLOOKUP(INDIRECT(ADDRESS(2,COLUMN())),OFFSET($BN$2,0,0,ROW()-1,60),ROW()-1,FALSE))</f>
        <v>28.43258655</v>
      </c>
      <c r="L129">
        <f ca="1">IF(AND(ISNUMBER($L$375),$B$258=1),$L$375,HLOOKUP(INDIRECT(ADDRESS(2,COLUMN())),OFFSET($BN$2,0,0,ROW()-1,60),ROW()-1,FALSE))</f>
        <v>21.00038485</v>
      </c>
      <c r="M129">
        <f ca="1">IF(AND(ISNUMBER($M$375),$B$258=1),$M$375,HLOOKUP(INDIRECT(ADDRESS(2,COLUMN())),OFFSET($BN$2,0,0,ROW()-1,60),ROW()-1,FALSE))</f>
        <v>39.001442109999999</v>
      </c>
      <c r="N129">
        <f ca="1">IF(AND(ISNUMBER($N$375),$B$258=1),$N$375,HLOOKUP(INDIRECT(ADDRESS(2,COLUMN())),OFFSET($BN$2,0,0,ROW()-1,60),ROW()-1,FALSE))</f>
        <v>43.2602239</v>
      </c>
      <c r="O129">
        <f ca="1">IF(AND(ISNUMBER($O$375),$B$258=1),$O$375,HLOOKUP(INDIRECT(ADDRESS(2,COLUMN())),OFFSET($BN$2,0,0,ROW()-1,60),ROW()-1,FALSE))</f>
        <v>48.207057939999999</v>
      </c>
      <c r="P129">
        <f ca="1">IF(AND(ISNUMBER($P$375),$B$258=1),$P$375,HLOOKUP(INDIRECT(ADDRESS(2,COLUMN())),OFFSET($BN$2,0,0,ROW()-1,60),ROW()-1,FALSE))</f>
        <v>36.015272580000001</v>
      </c>
      <c r="Q129">
        <f ca="1">IF(AND(ISNUMBER($Q$375),$B$258=1),$Q$375,HLOOKUP(INDIRECT(ADDRESS(2,COLUMN())),OFFSET($BN$2,0,0,ROW()-1,60),ROW()-1,FALSE))</f>
        <v>16.382864309999999</v>
      </c>
      <c r="R129">
        <f ca="1">IF(AND(ISNUMBER($R$375),$B$258=1),$R$375,HLOOKUP(INDIRECT(ADDRESS(2,COLUMN())),OFFSET($BN$2,0,0,ROW()-1,60),ROW()-1,FALSE))</f>
        <v>23.77081051</v>
      </c>
      <c r="S129">
        <f ca="1">IF(AND(ISNUMBER($S$375),$B$258=1),$S$375,HLOOKUP(INDIRECT(ADDRESS(2,COLUMN())),OFFSET($BN$2,0,0,ROW()-1,60),ROW()-1,FALSE))</f>
        <v>25.648877240000001</v>
      </c>
      <c r="T129">
        <f ca="1">IF(AND(ISNUMBER($T$375),$B$258=1),$T$375,HLOOKUP(INDIRECT(ADDRESS(2,COLUMN())),OFFSET($BN$2,0,0,ROW()-1,60),ROW()-1,FALSE))</f>
        <v>43.485464350000001</v>
      </c>
      <c r="U129">
        <f ca="1">IF(AND(ISNUMBER($U$375),$B$258=1),$U$375,HLOOKUP(INDIRECT(ADDRESS(2,COLUMN())),OFFSET($BN$2,0,0,ROW()-1,60),ROW()-1,FALSE))</f>
        <v>44.79967911</v>
      </c>
      <c r="V129">
        <f ca="1">IF(AND(ISNUMBER($V$375),$B$258=1),$V$375,HLOOKUP(INDIRECT(ADDRESS(2,COLUMN())),OFFSET($BN$2,0,0,ROW()-1,60),ROW()-1,FALSE))</f>
        <v>33.143516009999999</v>
      </c>
      <c r="W129">
        <f ca="1">IF(AND(ISNUMBER($W$375),$B$258=1),$W$375,HLOOKUP(INDIRECT(ADDRESS(2,COLUMN())),OFFSET($BN$2,0,0,ROW()-1,60),ROW()-1,FALSE))</f>
        <v>25.797692170000001</v>
      </c>
      <c r="X129">
        <f ca="1">IF(AND(ISNUMBER($X$375),$B$258=1),$X$375,HLOOKUP(INDIRECT(ADDRESS(2,COLUMN())),OFFSET($BN$2,0,0,ROW()-1,60),ROW()-1,FALSE))</f>
        <v>17.268535310000001</v>
      </c>
      <c r="Y129">
        <f ca="1">IF(AND(ISNUMBER($Y$375),$B$258=1),$Y$375,HLOOKUP(INDIRECT(ADDRESS(2,COLUMN())),OFFSET($BN$2,0,0,ROW()-1,60),ROW()-1,FALSE))</f>
        <v>15.152832500000001</v>
      </c>
      <c r="Z129">
        <f ca="1">IF(AND(ISNUMBER($Z$375),$B$258=1),$Z$375,HLOOKUP(INDIRECT(ADDRESS(2,COLUMN())),OFFSET($BN$2,0,0,ROW()-1,60),ROW()-1,FALSE))</f>
        <v>28.316072349999999</v>
      </c>
      <c r="AA129">
        <f ca="1">IF(AND(ISNUMBER($AA$375),$B$258=1),$AA$375,HLOOKUP(INDIRECT(ADDRESS(2,COLUMN())),OFFSET($BN$2,0,0,ROW()-1,60),ROW()-1,FALSE))</f>
        <v>44.624978849999998</v>
      </c>
      <c r="AB129">
        <f ca="1">IF(AND(ISNUMBER($AB$375),$B$258=1),$AB$375,HLOOKUP(INDIRECT(ADDRESS(2,COLUMN())),OFFSET($BN$2,0,0,ROW()-1,60),ROW()-1,FALSE))</f>
        <v>32.457193840000002</v>
      </c>
      <c r="AC129">
        <f ca="1">IF(AND(ISNUMBER($AC$375),$B$258=1),$AC$375,HLOOKUP(INDIRECT(ADDRESS(2,COLUMN())),OFFSET($BN$2,0,0,ROW()-1,60),ROW()-1,FALSE))</f>
        <v>24.868532649999999</v>
      </c>
      <c r="AD129">
        <f ca="1">IF(AND(ISNUMBER($AD$375),$B$258=1),$AD$375,HLOOKUP(INDIRECT(ADDRESS(2,COLUMN())),OFFSET($BN$2,0,0,ROW()-1,60),ROW()-1,FALSE))</f>
        <v>14.175888580000001</v>
      </c>
      <c r="AE129">
        <f ca="1">IF(AND(ISNUMBER($AE$375),$B$258=1),$AE$375,HLOOKUP(INDIRECT(ADDRESS(2,COLUMN())),OFFSET($BN$2,0,0,ROW()-1,60),ROW()-1,FALSE))</f>
        <v>29.277357569999999</v>
      </c>
      <c r="AF129">
        <f ca="1">IF(AND(ISNUMBER($AF$375),$B$258=1),$AF$375,HLOOKUP(INDIRECT(ADDRESS(2,COLUMN())),OFFSET($BN$2,0,0,ROW()-1,60),ROW()-1,FALSE))</f>
        <v>34.003126719999997</v>
      </c>
      <c r="AG129">
        <f ca="1">IF(AND(ISNUMBER($AG$375),$B$258=1),$AG$375,HLOOKUP(INDIRECT(ADDRESS(2,COLUMN())),OFFSET($BN$2,0,0,ROW()-1,60),ROW()-1,FALSE))</f>
        <v>27.228385200000002</v>
      </c>
      <c r="AH129">
        <f ca="1">IF(AND(ISNUMBER($AH$375),$B$258=1),$AH$375,HLOOKUP(INDIRECT(ADDRESS(2,COLUMN())),OFFSET($BN$2,0,0,ROW()-1,60),ROW()-1,FALSE))</f>
        <v>28.74833555</v>
      </c>
      <c r="AI129">
        <f ca="1">IF(AND(ISNUMBER($AI$375),$B$258=1),$AI$375,HLOOKUP(INDIRECT(ADDRESS(2,COLUMN())),OFFSET($BN$2,0,0,ROW()-1,60),ROW()-1,FALSE))</f>
        <v>0.56025845699999999</v>
      </c>
      <c r="AJ129">
        <f ca="1">IF(AND(ISNUMBER($AJ$375),$B$258=1),$AJ$375,HLOOKUP(INDIRECT(ADDRESS(2,COLUMN())),OFFSET($BN$2,0,0,ROW()-1,60),ROW()-1,FALSE))</f>
        <v>-5.0844498759999999</v>
      </c>
      <c r="AK129">
        <f ca="1">IF(AND(ISNUMBER($AK$375),$B$258=1),$AK$375,HLOOKUP(INDIRECT(ADDRESS(2,COLUMN())),OFFSET($BN$2,0,0,ROW()-1,60),ROW()-1,FALSE))</f>
        <v>10.34006477</v>
      </c>
      <c r="AL129">
        <f ca="1">IF(AND(ISNUMBER($AL$375),$B$258=1),$AL$375,HLOOKUP(INDIRECT(ADDRESS(2,COLUMN())),OFFSET($BN$2,0,0,ROW()-1,60),ROW()-1,FALSE))</f>
        <v>-4.6752697269999999</v>
      </c>
      <c r="AM129">
        <f ca="1">IF(AND(ISNUMBER($AM$375),$B$258=1),$AM$375,HLOOKUP(INDIRECT(ADDRESS(2,COLUMN())),OFFSET($BN$2,0,0,ROW()-1,60),ROW()-1,FALSE))</f>
        <v>22.19424287</v>
      </c>
      <c r="AN129">
        <f ca="1">IF(AND(ISNUMBER($AN$375),$B$258=1),$AN$375,HLOOKUP(INDIRECT(ADDRESS(2,COLUMN())),OFFSET($BN$2,0,0,ROW()-1,60),ROW()-1,FALSE))</f>
        <v>-7.463349622</v>
      </c>
      <c r="AO129">
        <f ca="1">IF(AND(ISNUMBER($AO$375),$B$258=1),$AO$375,HLOOKUP(INDIRECT(ADDRESS(2,COLUMN())),OFFSET($BN$2,0,0,ROW()-1,60),ROW()-1,FALSE))</f>
        <v>-10.56017039</v>
      </c>
      <c r="AP129">
        <f ca="1">IF(AND(ISNUMBER($AP$375),$B$258=1),$AP$375,HLOOKUP(INDIRECT(ADDRESS(2,COLUMN())),OFFSET($BN$2,0,0,ROW()-1,60),ROW()-1,FALSE))</f>
        <v>42.594268479999997</v>
      </c>
      <c r="AQ129">
        <f ca="1">IF(AND(ISNUMBER($AQ$375),$B$258=1),$AQ$375,HLOOKUP(INDIRECT(ADDRESS(2,COLUMN())),OFFSET($BN$2,0,0,ROW()-1,60),ROW()-1,FALSE))</f>
        <v>10.59482036</v>
      </c>
      <c r="AR129">
        <f ca="1">IF(AND(ISNUMBER($AR$375),$B$258=1),$AR$375,HLOOKUP(INDIRECT(ADDRESS(2,COLUMN())),OFFSET($BN$2,0,0,ROW()-1,60),ROW()-1,FALSE))</f>
        <v>69.473208060000005</v>
      </c>
      <c r="AS129" t="str">
        <f ca="1">IF(AND(ISNUMBER($AS$375),$B$258=1),$AS$375,HLOOKUP(INDIRECT(ADDRESS(2,COLUMN())),OFFSET($BN$2,0,0,ROW()-1,60),ROW()-1,FALSE))</f>
        <v/>
      </c>
      <c r="AT129">
        <f ca="1">IF(AND(ISNUMBER($AT$375),$B$258=1),$AT$375,HLOOKUP(INDIRECT(ADDRESS(2,COLUMN())),OFFSET($BN$2,0,0,ROW()-1,60),ROW()-1,FALSE))</f>
        <v>77.986022919999996</v>
      </c>
      <c r="AU129">
        <f ca="1">IF(AND(ISNUMBER($AU$375),$B$258=1),$AU$375,HLOOKUP(INDIRECT(ADDRESS(2,COLUMN())),OFFSET($BN$2,0,0,ROW()-1,60),ROW()-1,FALSE))</f>
        <v>35.451963319999997</v>
      </c>
      <c r="AV129">
        <f ca="1">IF(AND(ISNUMBER($AV$375),$B$258=1),$AV$375,HLOOKUP(INDIRECT(ADDRESS(2,COLUMN())),OFFSET($BN$2,0,0,ROW()-1,60),ROW()-1,FALSE))</f>
        <v>57.023671499999999</v>
      </c>
      <c r="AW129" t="str">
        <f ca="1">IF(AND(ISNUMBER($AW$375),$B$258=1),$AW$375,HLOOKUP(INDIRECT(ADDRESS(2,COLUMN())),OFFSET($BN$2,0,0,ROW()-1,60),ROW()-1,FALSE))</f>
        <v/>
      </c>
      <c r="AX129">
        <f ca="1">IF(AND(ISNUMBER($AX$375),$B$258=1),$AX$375,HLOOKUP(INDIRECT(ADDRESS(2,COLUMN())),OFFSET($BN$2,0,0,ROW()-1,60),ROW()-1,FALSE))</f>
        <v>12.66710673</v>
      </c>
      <c r="AY129">
        <f ca="1">IF(AND(ISNUMBER($AY$375),$B$258=1),$AY$375,HLOOKUP(INDIRECT(ADDRESS(2,COLUMN())),OFFSET($BN$2,0,0,ROW()-1,60),ROW()-1,FALSE))</f>
        <v>64.000135389999997</v>
      </c>
      <c r="AZ129">
        <f ca="1">IF(AND(ISNUMBER($AZ$375),$B$258=1),$AZ$375,HLOOKUP(INDIRECT(ADDRESS(2,COLUMN())),OFFSET($BN$2,0,0,ROW()-1,60),ROW()-1,FALSE))</f>
        <v>33.471921129999998</v>
      </c>
      <c r="BA129">
        <f ca="1">IF(AND(ISNUMBER($BA$375),$B$258=1),$BA$375,HLOOKUP(INDIRECT(ADDRESS(2,COLUMN())),OFFSET($BN$2,0,0,ROW()-1,60),ROW()-1,FALSE))</f>
        <v>39.708461819999997</v>
      </c>
      <c r="BB129">
        <f ca="1">IF(AND(ISNUMBER($BB$375),$B$258=1),$BB$375,HLOOKUP(INDIRECT(ADDRESS(2,COLUMN())),OFFSET($BN$2,0,0,ROW()-1,60),ROW()-1,FALSE))</f>
        <v>57.769150600000003</v>
      </c>
      <c r="BC129" t="str">
        <f ca="1">IF(AND(ISNUMBER($BC$375),$B$258=1),$BC$375,HLOOKUP(INDIRECT(ADDRESS(2,COLUMN())),OFFSET($BN$2,0,0,ROW()-1,60),ROW()-1,FALSE))</f>
        <v/>
      </c>
      <c r="BD129" t="str">
        <f ca="1">IF(AND(ISNUMBER($BD$375),$B$258=1),$BD$375,HLOOKUP(INDIRECT(ADDRESS(2,COLUMN())),OFFSET($BN$2,0,0,ROW()-1,60),ROW()-1,FALSE))</f>
        <v/>
      </c>
      <c r="BE129" t="str">
        <f ca="1">IF(AND(ISNUMBER($BE$375),$B$258=1),$BE$375,HLOOKUP(INDIRECT(ADDRESS(2,COLUMN())),OFFSET($BN$2,0,0,ROW()-1,60),ROW()-1,FALSE))</f>
        <v/>
      </c>
      <c r="BF129" t="str">
        <f ca="1">IF(AND(ISNUMBER($BF$375),$B$258=1),$BF$375,HLOOKUP(INDIRECT(ADDRESS(2,COLUMN())),OFFSET($BN$2,0,0,ROW()-1,60),ROW()-1,FALSE))</f>
        <v/>
      </c>
      <c r="BG129" t="str">
        <f ca="1">IF(AND(ISNUMBER($BG$375),$B$258=1),$BG$375,HLOOKUP(INDIRECT(ADDRESS(2,COLUMN())),OFFSET($BN$2,0,0,ROW()-1,60),ROW()-1,FALSE))</f>
        <v/>
      </c>
      <c r="BH129" t="str">
        <f ca="1">IF(AND(ISNUMBER($BH$375),$B$258=1),$BH$375,HLOOKUP(INDIRECT(ADDRESS(2,COLUMN())),OFFSET($BN$2,0,0,ROW()-1,60),ROW()-1,FALSE))</f>
        <v/>
      </c>
      <c r="BI129" t="str">
        <f ca="1">IF(AND(ISNUMBER($BI$375),$B$258=1),$BI$375,HLOOKUP(INDIRECT(ADDRESS(2,COLUMN())),OFFSET($BN$2,0,0,ROW()-1,60),ROW()-1,FALSE))</f>
        <v/>
      </c>
      <c r="BJ129" t="str">
        <f ca="1">IF(AND(ISNUMBER($BJ$375),$B$258=1),$BJ$375,HLOOKUP(INDIRECT(ADDRESS(2,COLUMN())),OFFSET($BN$2,0,0,ROW()-1,60),ROW()-1,FALSE))</f>
        <v/>
      </c>
      <c r="BK129" t="str">
        <f ca="1">IF(AND(ISNUMBER($BK$375),$B$258=1),$BK$375,HLOOKUP(INDIRECT(ADDRESS(2,COLUMN())),OFFSET($BN$2,0,0,ROW()-1,60),ROW()-1,FALSE))</f>
        <v/>
      </c>
      <c r="BL129" t="str">
        <f ca="1">IF(AND(ISNUMBER($BL$375),$B$258=1),$BL$375,HLOOKUP(INDIRECT(ADDRESS(2,COLUMN())),OFFSET($BN$2,0,0,ROW()-1,60),ROW()-1,FALSE))</f>
        <v/>
      </c>
      <c r="BM129" t="str">
        <f ca="1">IF(AND(ISNUMBER($BM$375),$B$258=1),$BM$375,HLOOKUP(INDIRECT(ADDRESS(2,COLUMN())),OFFSET($BN$2,0,0,ROW()-1,60),ROW()-1,FALSE))</f>
        <v/>
      </c>
      <c r="BN129" t="str">
        <f>""</f>
        <v/>
      </c>
      <c r="BO129">
        <f>30.38363379</f>
        <v>30.383633790000001</v>
      </c>
      <c r="BP129">
        <f>36.60651643</f>
        <v>36.606516429999999</v>
      </c>
      <c r="BQ129">
        <f>37.87709385</f>
        <v>37.877093850000001</v>
      </c>
      <c r="BR129">
        <f>25.68176381</f>
        <v>25.68176381</v>
      </c>
      <c r="BS129">
        <f>28.43258655</f>
        <v>28.43258655</v>
      </c>
      <c r="BT129">
        <f>21.00038485</f>
        <v>21.00038485</v>
      </c>
      <c r="BU129">
        <f>39.00144211</f>
        <v>39.001442109999999</v>
      </c>
      <c r="BV129">
        <f>43.2602239</f>
        <v>43.2602239</v>
      </c>
      <c r="BW129">
        <f>48.20705794</f>
        <v>48.207057939999999</v>
      </c>
      <c r="BX129">
        <f>36.01527258</f>
        <v>36.015272580000001</v>
      </c>
      <c r="BY129">
        <f>16.38286431</f>
        <v>16.382864309999999</v>
      </c>
      <c r="BZ129">
        <f>23.77081051</f>
        <v>23.77081051</v>
      </c>
      <c r="CA129">
        <f>25.64887724</f>
        <v>25.648877240000001</v>
      </c>
      <c r="CB129">
        <f>43.48546435</f>
        <v>43.485464350000001</v>
      </c>
      <c r="CC129">
        <f>44.79967911</f>
        <v>44.79967911</v>
      </c>
      <c r="CD129">
        <f>33.14351601</f>
        <v>33.143516009999999</v>
      </c>
      <c r="CE129">
        <f>25.79769217</f>
        <v>25.797692170000001</v>
      </c>
      <c r="CF129">
        <f>17.26853531</f>
        <v>17.268535310000001</v>
      </c>
      <c r="CG129">
        <f>15.1528325</f>
        <v>15.152832500000001</v>
      </c>
      <c r="CH129">
        <f>28.31607235</f>
        <v>28.316072349999999</v>
      </c>
      <c r="CI129">
        <f>44.62497885</f>
        <v>44.624978849999998</v>
      </c>
      <c r="CJ129">
        <f>32.45719384</f>
        <v>32.457193840000002</v>
      </c>
      <c r="CK129">
        <f>24.86853265</f>
        <v>24.868532649999999</v>
      </c>
      <c r="CL129">
        <f>14.17588858</f>
        <v>14.175888580000001</v>
      </c>
      <c r="CM129">
        <f>29.27735757</f>
        <v>29.277357569999999</v>
      </c>
      <c r="CN129">
        <f>34.00312672</f>
        <v>34.003126719999997</v>
      </c>
      <c r="CO129">
        <f>27.2283852</f>
        <v>27.228385200000002</v>
      </c>
      <c r="CP129">
        <f>28.74833555</f>
        <v>28.74833555</v>
      </c>
      <c r="CQ129">
        <f>0.560258457</f>
        <v>0.56025845699999999</v>
      </c>
      <c r="CR129">
        <f>-5.084449876</f>
        <v>-5.0844498759999999</v>
      </c>
      <c r="CS129">
        <f>10.34006477</f>
        <v>10.34006477</v>
      </c>
      <c r="CT129">
        <f>-4.675269727</f>
        <v>-4.6752697269999999</v>
      </c>
      <c r="CU129">
        <f>22.19424287</f>
        <v>22.19424287</v>
      </c>
      <c r="CV129">
        <f>-7.463349622</f>
        <v>-7.463349622</v>
      </c>
      <c r="CW129">
        <f>-10.56017039</f>
        <v>-10.56017039</v>
      </c>
      <c r="CX129">
        <f>42.59426848</f>
        <v>42.594268479999997</v>
      </c>
      <c r="CY129">
        <f>10.59482036</f>
        <v>10.59482036</v>
      </c>
      <c r="CZ129">
        <f>69.47320806</f>
        <v>69.473208060000005</v>
      </c>
      <c r="DA129" t="str">
        <f>""</f>
        <v/>
      </c>
      <c r="DB129">
        <f>77.98602292</f>
        <v>77.986022919999996</v>
      </c>
      <c r="DC129">
        <f>35.45196332</f>
        <v>35.451963319999997</v>
      </c>
      <c r="DD129">
        <f>57.0236715</f>
        <v>57.023671499999999</v>
      </c>
      <c r="DE129" t="str">
        <f>""</f>
        <v/>
      </c>
      <c r="DF129">
        <f>12.66710673</f>
        <v>12.66710673</v>
      </c>
      <c r="DG129">
        <f>64.00013539</f>
        <v>64.000135389999997</v>
      </c>
      <c r="DH129">
        <f>33.47192113</f>
        <v>33.471921129999998</v>
      </c>
      <c r="DI129">
        <f>39.70846182</f>
        <v>39.708461819999997</v>
      </c>
      <c r="DJ129">
        <f>57.7691506</f>
        <v>57.769150600000003</v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>
      <c r="A130" t="str">
        <f>"    Omega Healthcare Investors Inc"</f>
        <v xml:space="preserve">    Omega Healthcare Investors Inc</v>
      </c>
      <c r="B130" t="str">
        <f>"OHI US Equity"</f>
        <v>OHI US Equity</v>
      </c>
      <c r="C130" t="str">
        <f t="shared" si="30"/>
        <v>RR551</v>
      </c>
      <c r="D130" t="str">
        <f t="shared" si="31"/>
        <v>NOI_GROWTH</v>
      </c>
      <c r="E130" t="str">
        <f t="shared" si="32"/>
        <v>动态</v>
      </c>
      <c r="F130" t="str">
        <f ca="1">IF(AND(ISNUMBER($F$376),$B$258=1),$F$376,HLOOKUP(INDIRECT(ADDRESS(2,COLUMN())),OFFSET($BN$2,0,0,ROW()-1,60),ROW()-1,FALSE))</f>
        <v/>
      </c>
      <c r="G130">
        <f ca="1">IF(AND(ISNUMBER($G$376),$B$258=1),$G$376,HLOOKUP(INDIRECT(ADDRESS(2,COLUMN())),OFFSET($BN$2,0,0,ROW()-1,60),ROW()-1,FALSE))</f>
        <v>-7.3223654539999998</v>
      </c>
      <c r="H130">
        <f ca="1">IF(AND(ISNUMBER($H$376),$B$258=1),$H$376,HLOOKUP(INDIRECT(ADDRESS(2,COLUMN())),OFFSET($BN$2,0,0,ROW()-1,60),ROW()-1,FALSE))</f>
        <v>-3.361165164</v>
      </c>
      <c r="I130">
        <f ca="1">IF(AND(ISNUMBER($I$376),$B$258=1),$I$376,HLOOKUP(INDIRECT(ADDRESS(2,COLUMN())),OFFSET($BN$2,0,0,ROW()-1,60),ROW()-1,FALSE))</f>
        <v>3.7054090849999999</v>
      </c>
      <c r="J130">
        <f ca="1">IF(AND(ISNUMBER($J$376),$B$258=1),$J$376,HLOOKUP(INDIRECT(ADDRESS(2,COLUMN())),OFFSET($BN$2,0,0,ROW()-1,60),ROW()-1,FALSE))</f>
        <v>8.3468214110000005</v>
      </c>
      <c r="K130">
        <f ca="1">IF(AND(ISNUMBER($K$376),$B$258=1),$K$376,HLOOKUP(INDIRECT(ADDRESS(2,COLUMN())),OFFSET($BN$2,0,0,ROW()-1,60),ROW()-1,FALSE))</f>
        <v>10.47438708</v>
      </c>
      <c r="L130">
        <f ca="1">IF(AND(ISNUMBER($L$376),$B$258=1),$L$376,HLOOKUP(INDIRECT(ADDRESS(2,COLUMN())),OFFSET($BN$2,0,0,ROW()-1,60),ROW()-1,FALSE))</f>
        <v>10.783715259999999</v>
      </c>
      <c r="M130">
        <f ca="1">IF(AND(ISNUMBER($M$376),$B$258=1),$M$376,HLOOKUP(INDIRECT(ADDRESS(2,COLUMN())),OFFSET($BN$2,0,0,ROW()-1,60),ROW()-1,FALSE))</f>
        <v>13.385017850000001</v>
      </c>
      <c r="N130">
        <f ca="1">IF(AND(ISNUMBER($N$376),$B$258=1),$N$376,HLOOKUP(INDIRECT(ADDRESS(2,COLUMN())),OFFSET($BN$2,0,0,ROW()-1,60),ROW()-1,FALSE))</f>
        <v>66.633422949999996</v>
      </c>
      <c r="O130">
        <f ca="1">IF(AND(ISNUMBER($O$376),$B$258=1),$O$376,HLOOKUP(INDIRECT(ADDRESS(2,COLUMN())),OFFSET($BN$2,0,0,ROW()-1,60),ROW()-1,FALSE))</f>
        <v>68.675956650000003</v>
      </c>
      <c r="P130">
        <f ca="1">IF(AND(ISNUMBER($P$376),$B$258=1),$P$376,HLOOKUP(INDIRECT(ADDRESS(2,COLUMN())),OFFSET($BN$2,0,0,ROW()-1,60),ROW()-1,FALSE))</f>
        <v>62.723831509999997</v>
      </c>
      <c r="Q130">
        <f ca="1">IF(AND(ISNUMBER($Q$376),$B$258=1),$Q$376,HLOOKUP(INDIRECT(ADDRESS(2,COLUMN())),OFFSET($BN$2,0,0,ROW()-1,60),ROW()-1,FALSE))</f>
        <v>61.368989380000002</v>
      </c>
      <c r="R130">
        <f ca="1">IF(AND(ISNUMBER($R$376),$B$258=1),$R$376,HLOOKUP(INDIRECT(ADDRESS(2,COLUMN())),OFFSET($BN$2,0,0,ROW()-1,60),ROW()-1,FALSE))</f>
        <v>4.8253668120000004</v>
      </c>
      <c r="S130">
        <f ca="1">IF(AND(ISNUMBER($S$376),$B$258=1),$S$376,HLOOKUP(INDIRECT(ADDRESS(2,COLUMN())),OFFSET($BN$2,0,0,ROW()-1,60),ROW()-1,FALSE))</f>
        <v>12.661104630000001</v>
      </c>
      <c r="T130">
        <f ca="1">IF(AND(ISNUMBER($T$376),$B$258=1),$T$376,HLOOKUP(INDIRECT(ADDRESS(2,COLUMN())),OFFSET($BN$2,0,0,ROW()-1,60),ROW()-1,FALSE))</f>
        <v>19.08628792</v>
      </c>
      <c r="U130">
        <f ca="1">IF(AND(ISNUMBER($U$376),$B$258=1),$U$376,HLOOKUP(INDIRECT(ADDRESS(2,COLUMN())),OFFSET($BN$2,0,0,ROW()-1,60),ROW()-1,FALSE))</f>
        <v>18.608774140000001</v>
      </c>
      <c r="V130">
        <f ca="1">IF(AND(ISNUMBER($V$376),$B$258=1),$V$376,HLOOKUP(INDIRECT(ADDRESS(2,COLUMN())),OFFSET($BN$2,0,0,ROW()-1,60),ROW()-1,FALSE))</f>
        <v>18.143251459999998</v>
      </c>
      <c r="W130">
        <f ca="1">IF(AND(ISNUMBER($W$376),$B$258=1),$W$376,HLOOKUP(INDIRECT(ADDRESS(2,COLUMN())),OFFSET($BN$2,0,0,ROW()-1,60),ROW()-1,FALSE))</f>
        <v>17.72374705</v>
      </c>
      <c r="X130">
        <f ca="1">IF(AND(ISNUMBER($X$376),$B$258=1),$X$376,HLOOKUP(INDIRECT(ADDRESS(2,COLUMN())),OFFSET($BN$2,0,0,ROW()-1,60),ROW()-1,FALSE))</f>
        <v>20.042215680000002</v>
      </c>
      <c r="Y130">
        <f ca="1">IF(AND(ISNUMBER($Y$376),$B$258=1),$Y$376,HLOOKUP(INDIRECT(ADDRESS(2,COLUMN())),OFFSET($BN$2,0,0,ROW()-1,60),ROW()-1,FALSE))</f>
        <v>23.715903650000001</v>
      </c>
      <c r="Z130">
        <f ca="1">IF(AND(ISNUMBER($Z$376),$B$258=1),$Z$376,HLOOKUP(INDIRECT(ADDRESS(2,COLUMN())),OFFSET($BN$2,0,0,ROW()-1,60),ROW()-1,FALSE))</f>
        <v>22.55215531</v>
      </c>
      <c r="AA130">
        <f ca="1">IF(AND(ISNUMBER($AA$376),$B$258=1),$AA$376,HLOOKUP(INDIRECT(ADDRESS(2,COLUMN())),OFFSET($BN$2,0,0,ROW()-1,60),ROW()-1,FALSE))</f>
        <v>21.6180731</v>
      </c>
      <c r="AB130">
        <f ca="1">IF(AND(ISNUMBER($AB$376),$B$258=1),$AB$376,HLOOKUP(INDIRECT(ADDRESS(2,COLUMN())),OFFSET($BN$2,0,0,ROW()-1,60),ROW()-1,FALSE))</f>
        <v>13.913905160000001</v>
      </c>
      <c r="AC130">
        <f ca="1">IF(AND(ISNUMBER($AC$376),$B$258=1),$AC$376,HLOOKUP(INDIRECT(ADDRESS(2,COLUMN())),OFFSET($BN$2,0,0,ROW()-1,60),ROW()-1,FALSE))</f>
        <v>9.8427438780000003</v>
      </c>
      <c r="AD130">
        <f ca="1">IF(AND(ISNUMBER($AD$376),$B$258=1),$AD$376,HLOOKUP(INDIRECT(ADDRESS(2,COLUMN())),OFFSET($BN$2,0,0,ROW()-1,60),ROW()-1,FALSE))</f>
        <v>14.52884514</v>
      </c>
      <c r="AE130">
        <f ca="1">IF(AND(ISNUMBER($AE$376),$B$258=1),$AE$376,HLOOKUP(INDIRECT(ADDRESS(2,COLUMN())),OFFSET($BN$2,0,0,ROW()-1,60),ROW()-1,FALSE))</f>
        <v>3.434990553</v>
      </c>
      <c r="AF130">
        <f ca="1">IF(AND(ISNUMBER($AF$376),$B$258=1),$AF$376,HLOOKUP(INDIRECT(ADDRESS(2,COLUMN())),OFFSET($BN$2,0,0,ROW()-1,60),ROW()-1,FALSE))</f>
        <v>3.5038235869999999</v>
      </c>
      <c r="AG130">
        <f ca="1">IF(AND(ISNUMBER($AG$376),$B$258=1),$AG$376,HLOOKUP(INDIRECT(ADDRESS(2,COLUMN())),OFFSET($BN$2,0,0,ROW()-1,60),ROW()-1,FALSE))</f>
        <v>32.932841609999997</v>
      </c>
      <c r="AH130">
        <f ca="1">IF(AND(ISNUMBER($AH$376),$B$258=1),$AH$376,HLOOKUP(INDIRECT(ADDRESS(2,COLUMN())),OFFSET($BN$2,0,0,ROW()-1,60),ROW()-1,FALSE))</f>
        <v>40.517697900000002</v>
      </c>
      <c r="AI130">
        <f ca="1">IF(AND(ISNUMBER($AI$376),$B$258=1),$AI$376,HLOOKUP(INDIRECT(ADDRESS(2,COLUMN())),OFFSET($BN$2,0,0,ROW()-1,60),ROW()-1,FALSE))</f>
        <v>65.868468730000004</v>
      </c>
      <c r="AJ130">
        <f ca="1">IF(AND(ISNUMBER($AJ$376),$B$258=1),$AJ$376,HLOOKUP(INDIRECT(ADDRESS(2,COLUMN())),OFFSET($BN$2,0,0,ROW()-1,60),ROW()-1,FALSE))</f>
        <v>60.818415559999998</v>
      </c>
      <c r="AK130">
        <f ca="1">IF(AND(ISNUMBER($AK$376),$B$258=1),$AK$376,HLOOKUP(INDIRECT(ADDRESS(2,COLUMN())),OFFSET($BN$2,0,0,ROW()-1,60),ROW()-1,FALSE))</f>
        <v>24.972710729999999</v>
      </c>
      <c r="AL130">
        <f ca="1">IF(AND(ISNUMBER($AL$376),$B$258=1),$AL$376,HLOOKUP(INDIRECT(ADDRESS(2,COLUMN())),OFFSET($BN$2,0,0,ROW()-1,60),ROW()-1,FALSE))</f>
        <v>14.654523380000001</v>
      </c>
      <c r="AM130">
        <f ca="1">IF(AND(ISNUMBER($AM$376),$B$258=1),$AM$376,HLOOKUP(INDIRECT(ADDRESS(2,COLUMN())),OFFSET($BN$2,0,0,ROW()-1,60),ROW()-1,FALSE))</f>
        <v>0.31685211099999999</v>
      </c>
      <c r="AN130">
        <f ca="1">IF(AND(ISNUMBER($AN$376),$B$258=1),$AN$376,HLOOKUP(INDIRECT(ADDRESS(2,COLUMN())),OFFSET($BN$2,0,0,ROW()-1,60),ROW()-1,FALSE))</f>
        <v>10.6292768</v>
      </c>
      <c r="AO130" t="str">
        <f ca="1">IF(AND(ISNUMBER($AO$376),$B$258=1),$AO$376,HLOOKUP(INDIRECT(ADDRESS(2,COLUMN())),OFFSET($BN$2,0,0,ROW()-1,60),ROW()-1,FALSE))</f>
        <v/>
      </c>
      <c r="AP130">
        <f ca="1">IF(AND(ISNUMBER($AP$376),$B$258=1),$AP$376,HLOOKUP(INDIRECT(ADDRESS(2,COLUMN())),OFFSET($BN$2,0,0,ROW()-1,60),ROW()-1,FALSE))</f>
        <v>8.3182069290000005</v>
      </c>
      <c r="AQ130">
        <f ca="1">IF(AND(ISNUMBER($AQ$376),$B$258=1),$AQ$376,HLOOKUP(INDIRECT(ADDRESS(2,COLUMN())),OFFSET($BN$2,0,0,ROW()-1,60),ROW()-1,FALSE))</f>
        <v>7.2269483000000001</v>
      </c>
      <c r="AR130">
        <f ca="1">IF(AND(ISNUMBER($AR$376),$B$258=1),$AR$376,HLOOKUP(INDIRECT(ADDRESS(2,COLUMN())),OFFSET($BN$2,0,0,ROW()-1,60),ROW()-1,FALSE))</f>
        <v>0.40955999300000001</v>
      </c>
      <c r="AS130" t="str">
        <f ca="1">IF(AND(ISNUMBER($AS$376),$B$258=1),$AS$376,HLOOKUP(INDIRECT(ADDRESS(2,COLUMN())),OFFSET($BN$2,0,0,ROW()-1,60),ROW()-1,FALSE))</f>
        <v/>
      </c>
      <c r="AT130">
        <f ca="1">IF(AND(ISNUMBER($AT$376),$B$258=1),$AT$376,HLOOKUP(INDIRECT(ADDRESS(2,COLUMN())),OFFSET($BN$2,0,0,ROW()-1,60),ROW()-1,FALSE))</f>
        <v>-6.903898903</v>
      </c>
      <c r="AU130">
        <f ca="1">IF(AND(ISNUMBER($AU$376),$B$258=1),$AU$376,HLOOKUP(INDIRECT(ADDRESS(2,COLUMN())),OFFSET($BN$2,0,0,ROW()-1,60),ROW()-1,FALSE))</f>
        <v>10.864868019999999</v>
      </c>
      <c r="AV130">
        <f ca="1">IF(AND(ISNUMBER($AV$376),$B$258=1),$AV$376,HLOOKUP(INDIRECT(ADDRESS(2,COLUMN())),OFFSET($BN$2,0,0,ROW()-1,60),ROW()-1,FALSE))</f>
        <v>12.409134959999999</v>
      </c>
      <c r="AW130">
        <f ca="1">IF(AND(ISNUMBER($AW$376),$B$258=1),$AW$376,HLOOKUP(INDIRECT(ADDRESS(2,COLUMN())),OFFSET($BN$2,0,0,ROW()-1,60),ROW()-1,FALSE))</f>
        <v>20.973895580000001</v>
      </c>
      <c r="AX130">
        <f ca="1">IF(AND(ISNUMBER($AX$376),$B$258=1),$AX$376,HLOOKUP(INDIRECT(ADDRESS(2,COLUMN())),OFFSET($BN$2,0,0,ROW()-1,60),ROW()-1,FALSE))</f>
        <v>36.850219529999997</v>
      </c>
      <c r="AY130">
        <f ca="1">IF(AND(ISNUMBER($AY$376),$B$258=1),$AY$376,HLOOKUP(INDIRECT(ADDRESS(2,COLUMN())),OFFSET($BN$2,0,0,ROW()-1,60),ROW()-1,FALSE))</f>
        <v>30.12652456</v>
      </c>
      <c r="AZ130">
        <f ca="1">IF(AND(ISNUMBER($AZ$376),$B$258=1),$AZ$376,HLOOKUP(INDIRECT(ADDRESS(2,COLUMN())),OFFSET($BN$2,0,0,ROW()-1,60),ROW()-1,FALSE))</f>
        <v>32.818408560000002</v>
      </c>
      <c r="BA130">
        <f ca="1">IF(AND(ISNUMBER($BA$376),$B$258=1),$BA$376,HLOOKUP(INDIRECT(ADDRESS(2,COLUMN())),OFFSET($BN$2,0,0,ROW()-1,60),ROW()-1,FALSE))</f>
        <v>32.717420269999998</v>
      </c>
      <c r="BB130">
        <f ca="1">IF(AND(ISNUMBER($BB$376),$B$258=1),$BB$376,HLOOKUP(INDIRECT(ADDRESS(2,COLUMN())),OFFSET($BN$2,0,0,ROW()-1,60),ROW()-1,FALSE))</f>
        <v>37.194224759999997</v>
      </c>
      <c r="BC130">
        <f ca="1">IF(AND(ISNUMBER($BC$376),$B$258=1),$BC$376,HLOOKUP(INDIRECT(ADDRESS(2,COLUMN())),OFFSET($BN$2,0,0,ROW()-1,60),ROW()-1,FALSE))</f>
        <v>81.848960129999995</v>
      </c>
      <c r="BD130">
        <f ca="1">IF(AND(ISNUMBER($BD$376),$B$258=1),$BD$376,HLOOKUP(INDIRECT(ADDRESS(2,COLUMN())),OFFSET($BN$2,0,0,ROW()-1,60),ROW()-1,FALSE))</f>
        <v>33.846647240000003</v>
      </c>
      <c r="BE130">
        <f ca="1">IF(AND(ISNUMBER($BE$376),$B$258=1),$BE$376,HLOOKUP(INDIRECT(ADDRESS(2,COLUMN())),OFFSET($BN$2,0,0,ROW()-1,60),ROW()-1,FALSE))</f>
        <v>23.907539379999999</v>
      </c>
      <c r="BF130">
        <f ca="1">IF(AND(ISNUMBER($BF$376),$B$258=1),$BF$376,HLOOKUP(INDIRECT(ADDRESS(2,COLUMN())),OFFSET($BN$2,0,0,ROW()-1,60),ROW()-1,FALSE))</f>
        <v>27.010459770000001</v>
      </c>
      <c r="BG130">
        <f ca="1">IF(AND(ISNUMBER($BG$376),$B$258=1),$BG$376,HLOOKUP(INDIRECT(ADDRESS(2,COLUMN())),OFFSET($BN$2,0,0,ROW()-1,60),ROW()-1,FALSE))</f>
        <v>-12.475805060000001</v>
      </c>
      <c r="BH130">
        <f ca="1">IF(AND(ISNUMBER($BH$376),$B$258=1),$BH$376,HLOOKUP(INDIRECT(ADDRESS(2,COLUMN())),OFFSET($BN$2,0,0,ROW()-1,60),ROW()-1,FALSE))</f>
        <v>13.583265219999999</v>
      </c>
      <c r="BI130">
        <f ca="1">IF(AND(ISNUMBER($BI$376),$B$258=1),$BI$376,HLOOKUP(INDIRECT(ADDRESS(2,COLUMN())),OFFSET($BN$2,0,0,ROW()-1,60),ROW()-1,FALSE))</f>
        <v>14.370241200000001</v>
      </c>
      <c r="BJ130">
        <f ca="1">IF(AND(ISNUMBER($BJ$376),$B$258=1),$BJ$376,HLOOKUP(INDIRECT(ADDRESS(2,COLUMN())),OFFSET($BN$2,0,0,ROW()-1,60),ROW()-1,FALSE))</f>
        <v>12.777445139999999</v>
      </c>
      <c r="BK130">
        <f ca="1">IF(AND(ISNUMBER($BK$376),$B$258=1),$BK$376,HLOOKUP(INDIRECT(ADDRESS(2,COLUMN())),OFFSET($BN$2,0,0,ROW()-1,60),ROW()-1,FALSE))</f>
        <v>45.154498349999997</v>
      </c>
      <c r="BL130" t="str">
        <f ca="1">IF(AND(ISNUMBER($BL$376),$B$258=1),$BL$376,HLOOKUP(INDIRECT(ADDRESS(2,COLUMN())),OFFSET($BN$2,0,0,ROW()-1,60),ROW()-1,FALSE))</f>
        <v/>
      </c>
      <c r="BM130">
        <f ca="1">IF(AND(ISNUMBER($BM$376),$B$258=1),$BM$376,HLOOKUP(INDIRECT(ADDRESS(2,COLUMN())),OFFSET($BN$2,0,0,ROW()-1,60),ROW()-1,FALSE))</f>
        <v>658.69119780000005</v>
      </c>
      <c r="BN130" t="str">
        <f>""</f>
        <v/>
      </c>
      <c r="BO130">
        <f>-7.322365454</f>
        <v>-7.3223654539999998</v>
      </c>
      <c r="BP130">
        <f>-3.361165164</f>
        <v>-3.361165164</v>
      </c>
      <c r="BQ130">
        <f>3.705409085</f>
        <v>3.7054090849999999</v>
      </c>
      <c r="BR130">
        <f>8.346821411</f>
        <v>8.3468214110000005</v>
      </c>
      <c r="BS130">
        <f>10.47438708</f>
        <v>10.47438708</v>
      </c>
      <c r="BT130">
        <f>10.78371526</f>
        <v>10.783715259999999</v>
      </c>
      <c r="BU130">
        <f>13.38501785</f>
        <v>13.385017850000001</v>
      </c>
      <c r="BV130">
        <f>66.63342295</f>
        <v>66.633422949999996</v>
      </c>
      <c r="BW130">
        <f>68.67595665</f>
        <v>68.675956650000003</v>
      </c>
      <c r="BX130">
        <f>62.72383151</f>
        <v>62.723831509999997</v>
      </c>
      <c r="BY130">
        <f>61.36898938</f>
        <v>61.368989380000002</v>
      </c>
      <c r="BZ130">
        <f>4.825366812</f>
        <v>4.8253668120000004</v>
      </c>
      <c r="CA130">
        <f>12.66110463</f>
        <v>12.661104630000001</v>
      </c>
      <c r="CB130">
        <f>19.08628792</f>
        <v>19.08628792</v>
      </c>
      <c r="CC130">
        <f>18.60877414</f>
        <v>18.608774140000001</v>
      </c>
      <c r="CD130">
        <f>18.14325146</f>
        <v>18.143251459999998</v>
      </c>
      <c r="CE130">
        <f>17.72374705</f>
        <v>17.72374705</v>
      </c>
      <c r="CF130">
        <f>20.04221568</f>
        <v>20.042215680000002</v>
      </c>
      <c r="CG130">
        <f>23.71590365</f>
        <v>23.715903650000001</v>
      </c>
      <c r="CH130">
        <f>22.55215531</f>
        <v>22.55215531</v>
      </c>
      <c r="CI130">
        <f>21.6180731</f>
        <v>21.6180731</v>
      </c>
      <c r="CJ130">
        <f>13.91390516</f>
        <v>13.913905160000001</v>
      </c>
      <c r="CK130">
        <f>9.842743878</f>
        <v>9.8427438780000003</v>
      </c>
      <c r="CL130">
        <f>14.52884514</f>
        <v>14.52884514</v>
      </c>
      <c r="CM130">
        <f>3.434990553</f>
        <v>3.434990553</v>
      </c>
      <c r="CN130">
        <f>3.503823587</f>
        <v>3.5038235869999999</v>
      </c>
      <c r="CO130">
        <f>32.93284161</f>
        <v>32.932841609999997</v>
      </c>
      <c r="CP130">
        <f>40.5176979</f>
        <v>40.517697900000002</v>
      </c>
      <c r="CQ130">
        <f>65.86846873</f>
        <v>65.868468730000004</v>
      </c>
      <c r="CR130">
        <f>60.81841556</f>
        <v>60.818415559999998</v>
      </c>
      <c r="CS130">
        <f>24.97271073</f>
        <v>24.972710729999999</v>
      </c>
      <c r="CT130">
        <f>14.65452338</f>
        <v>14.654523380000001</v>
      </c>
      <c r="CU130">
        <f>0.316852111</f>
        <v>0.31685211099999999</v>
      </c>
      <c r="CV130">
        <f>10.6292768</f>
        <v>10.6292768</v>
      </c>
      <c r="CW130" t="str">
        <f>""</f>
        <v/>
      </c>
      <c r="CX130">
        <f>8.318206929</f>
        <v>8.3182069290000005</v>
      </c>
      <c r="CY130">
        <f>7.2269483</f>
        <v>7.2269483000000001</v>
      </c>
      <c r="CZ130">
        <f>0.409559993</f>
        <v>0.40955999300000001</v>
      </c>
      <c r="DA130" t="str">
        <f>""</f>
        <v/>
      </c>
      <c r="DB130">
        <f>-6.903898903</f>
        <v>-6.903898903</v>
      </c>
      <c r="DC130">
        <f>10.86486802</f>
        <v>10.864868019999999</v>
      </c>
      <c r="DD130">
        <f>12.40913496</f>
        <v>12.409134959999999</v>
      </c>
      <c r="DE130">
        <f>20.97389558</f>
        <v>20.973895580000001</v>
      </c>
      <c r="DF130">
        <f>36.85021953</f>
        <v>36.850219529999997</v>
      </c>
      <c r="DG130">
        <f>30.12652456</f>
        <v>30.12652456</v>
      </c>
      <c r="DH130">
        <f>32.81840856</f>
        <v>32.818408560000002</v>
      </c>
      <c r="DI130">
        <f>32.71742027</f>
        <v>32.717420269999998</v>
      </c>
      <c r="DJ130">
        <f>37.19422476</f>
        <v>37.194224759999997</v>
      </c>
      <c r="DK130">
        <f>81.84896013</f>
        <v>81.848960129999995</v>
      </c>
      <c r="DL130">
        <f>33.84664724</f>
        <v>33.846647240000003</v>
      </c>
      <c r="DM130">
        <f>23.90753938</f>
        <v>23.907539379999999</v>
      </c>
      <c r="DN130">
        <f>27.01045977</f>
        <v>27.010459770000001</v>
      </c>
      <c r="DO130">
        <f>-12.47580506</f>
        <v>-12.475805060000001</v>
      </c>
      <c r="DP130">
        <f>13.58326522</f>
        <v>13.583265219999999</v>
      </c>
      <c r="DQ130">
        <f>14.3702412</f>
        <v>14.370241200000001</v>
      </c>
      <c r="DR130">
        <f>12.77744514</f>
        <v>12.777445139999999</v>
      </c>
      <c r="DS130">
        <f>45.15449835</f>
        <v>45.154498349999997</v>
      </c>
      <c r="DT130" t="str">
        <f>""</f>
        <v/>
      </c>
      <c r="DU130">
        <f>658.6911978</f>
        <v>658.69119780000005</v>
      </c>
    </row>
    <row r="131" spans="1:125">
      <c r="A131" t="str">
        <f>"    Sabra Health Care REIT Inc"</f>
        <v xml:space="preserve">    Sabra Health Care REIT Inc</v>
      </c>
      <c r="B131" t="str">
        <f>"SBRA US Equity"</f>
        <v>SBRA US Equity</v>
      </c>
      <c r="C131" t="str">
        <f t="shared" si="30"/>
        <v>RR551</v>
      </c>
      <c r="D131" t="str">
        <f t="shared" si="31"/>
        <v>NOI_GROWTH</v>
      </c>
      <c r="E131" t="str">
        <f t="shared" si="32"/>
        <v>动态</v>
      </c>
      <c r="F131" t="str">
        <f ca="1">IF(AND(ISNUMBER($F$377),$B$258=1),$F$377,HLOOKUP(INDIRECT(ADDRESS(2,COLUMN())),OFFSET($BN$2,0,0,ROW()-1,60),ROW()-1,FALSE))</f>
        <v/>
      </c>
      <c r="G131">
        <f ca="1">IF(AND(ISNUMBER($G$377),$B$258=1),$G$377,HLOOKUP(INDIRECT(ADDRESS(2,COLUMN())),OFFSET($BN$2,0,0,ROW()-1,60),ROW()-1,FALSE))</f>
        <v>166.69118879999999</v>
      </c>
      <c r="H131">
        <f ca="1">IF(AND(ISNUMBER($H$377),$B$258=1),$H$377,HLOOKUP(INDIRECT(ADDRESS(2,COLUMN())),OFFSET($BN$2,0,0,ROW()-1,60),ROW()-1,FALSE))</f>
        <v>83.255062109999997</v>
      </c>
      <c r="I131">
        <f ca="1">IF(AND(ISNUMBER($I$377),$B$258=1),$I$377,HLOOKUP(INDIRECT(ADDRESS(2,COLUMN())),OFFSET($BN$2,0,0,ROW()-1,60),ROW()-1,FALSE))</f>
        <v>9.5238926920000004</v>
      </c>
      <c r="J131">
        <f ca="1">IF(AND(ISNUMBER($J$377),$B$258=1),$J$377,HLOOKUP(INDIRECT(ADDRESS(2,COLUMN())),OFFSET($BN$2,0,0,ROW()-1,60),ROW()-1,FALSE))</f>
        <v>6.0775508059999996</v>
      </c>
      <c r="K131">
        <f ca="1">IF(AND(ISNUMBER($K$377),$B$258=1),$K$377,HLOOKUP(INDIRECT(ADDRESS(2,COLUMN())),OFFSET($BN$2,0,0,ROW()-1,60),ROW()-1,FALSE))</f>
        <v>1.6105467019999999</v>
      </c>
      <c r="L131">
        <f ca="1">IF(AND(ISNUMBER($L$377),$B$258=1),$L$377,HLOOKUP(INDIRECT(ADDRESS(2,COLUMN())),OFFSET($BN$2,0,0,ROW()-1,60),ROW()-1,FALSE))</f>
        <v>10.526018840000001</v>
      </c>
      <c r="M131">
        <f ca="1">IF(AND(ISNUMBER($M$377),$B$258=1),$M$377,HLOOKUP(INDIRECT(ADDRESS(2,COLUMN())),OFFSET($BN$2,0,0,ROW()-1,60),ROW()-1,FALSE))</f>
        <v>14.750681419999999</v>
      </c>
      <c r="N131">
        <f ca="1">IF(AND(ISNUMBER($N$377),$B$258=1),$N$377,HLOOKUP(INDIRECT(ADDRESS(2,COLUMN())),OFFSET($BN$2,0,0,ROW()-1,60),ROW()-1,FALSE))</f>
        <v>15.598424400000001</v>
      </c>
      <c r="O131">
        <f ca="1">IF(AND(ISNUMBER($O$377),$B$258=1),$O$377,HLOOKUP(INDIRECT(ADDRESS(2,COLUMN())),OFFSET($BN$2,0,0,ROW()-1,60),ROW()-1,FALSE))</f>
        <v>18.339364700000001</v>
      </c>
      <c r="P131">
        <f ca="1">IF(AND(ISNUMBER($P$377),$B$258=1),$P$377,HLOOKUP(INDIRECT(ADDRESS(2,COLUMN())),OFFSET($BN$2,0,0,ROW()-1,60),ROW()-1,FALSE))</f>
        <v>39.323987950000003</v>
      </c>
      <c r="Q131">
        <f ca="1">IF(AND(ISNUMBER($Q$377),$B$258=1),$Q$377,HLOOKUP(INDIRECT(ADDRESS(2,COLUMN())),OFFSET($BN$2,0,0,ROW()-1,60),ROW()-1,FALSE))</f>
        <v>33.1092437</v>
      </c>
      <c r="R131">
        <f ca="1">IF(AND(ISNUMBER($R$377),$B$258=1),$R$377,HLOOKUP(INDIRECT(ADDRESS(2,COLUMN())),OFFSET($BN$2,0,0,ROW()-1,60),ROW()-1,FALSE))</f>
        <v>37.159560030000002</v>
      </c>
      <c r="S131">
        <f ca="1">IF(AND(ISNUMBER($S$377),$B$258=1),$S$377,HLOOKUP(INDIRECT(ADDRESS(2,COLUMN())),OFFSET($BN$2,0,0,ROW()-1,60),ROW()-1,FALSE))</f>
        <v>45.031490550000001</v>
      </c>
      <c r="T131">
        <f ca="1">IF(AND(ISNUMBER($T$377),$B$258=1),$T$377,HLOOKUP(INDIRECT(ADDRESS(2,COLUMN())),OFFSET($BN$2,0,0,ROW()-1,60),ROW()-1,FALSE))</f>
        <v>20.398119810000001</v>
      </c>
      <c r="U131">
        <f ca="1">IF(AND(ISNUMBER($U$377),$B$258=1),$U$377,HLOOKUP(INDIRECT(ADDRESS(2,COLUMN())),OFFSET($BN$2,0,0,ROW()-1,60),ROW()-1,FALSE))</f>
        <v>18.93203883</v>
      </c>
      <c r="V131">
        <f ca="1">IF(AND(ISNUMBER($V$377),$B$258=1),$V$377,HLOOKUP(INDIRECT(ADDRESS(2,COLUMN())),OFFSET($BN$2,0,0,ROW()-1,60),ROW()-1,FALSE))</f>
        <v>14.671961870000001</v>
      </c>
      <c r="W131">
        <f ca="1">IF(AND(ISNUMBER($W$377),$B$258=1),$W$377,HLOOKUP(INDIRECT(ADDRESS(2,COLUMN())),OFFSET($BN$2,0,0,ROW()-1,60),ROW()-1,FALSE))</f>
        <v>23.19850564</v>
      </c>
      <c r="X131">
        <f ca="1">IF(AND(ISNUMBER($X$377),$B$258=1),$X$377,HLOOKUP(INDIRECT(ADDRESS(2,COLUMN())),OFFSET($BN$2,0,0,ROW()-1,60),ROW()-1,FALSE))</f>
        <v>24.701022819999999</v>
      </c>
      <c r="Y131">
        <f ca="1">IF(AND(ISNUMBER($Y$377),$B$258=1),$Y$377,HLOOKUP(INDIRECT(ADDRESS(2,COLUMN())),OFFSET($BN$2,0,0,ROW()-1,60),ROW()-1,FALSE))</f>
        <v>26.98630137</v>
      </c>
      <c r="Z131">
        <f ca="1">IF(AND(ISNUMBER($Z$377),$B$258=1),$Z$377,HLOOKUP(INDIRECT(ADDRESS(2,COLUMN())),OFFSET($BN$2,0,0,ROW()-1,60),ROW()-1,FALSE))</f>
        <v>33.013565479999997</v>
      </c>
      <c r="AA131">
        <f ca="1">IF(AND(ISNUMBER($AA$377),$B$258=1),$AA$377,HLOOKUP(INDIRECT(ADDRESS(2,COLUMN())),OFFSET($BN$2,0,0,ROW()-1,60),ROW()-1,FALSE))</f>
        <v>20.0172451</v>
      </c>
      <c r="AB131">
        <f ca="1">IF(AND(ISNUMBER($AB$377),$B$258=1),$AB$377,HLOOKUP(INDIRECT(ADDRESS(2,COLUMN())),OFFSET($BN$2,0,0,ROW()-1,60),ROW()-1,FALSE))</f>
        <v>19.37635015</v>
      </c>
      <c r="AC131">
        <f ca="1">IF(AND(ISNUMBER($AC$377),$B$258=1),$AC$377,HLOOKUP(INDIRECT(ADDRESS(2,COLUMN())),OFFSET($BN$2,0,0,ROW()-1,60),ROW()-1,FALSE))</f>
        <v>33.240283439999999</v>
      </c>
      <c r="AD131">
        <f ca="1">IF(AND(ISNUMBER($AD$377),$B$258=1),$AD$377,HLOOKUP(INDIRECT(ADDRESS(2,COLUMN())),OFFSET($BN$2,0,0,ROW()-1,60),ROW()-1,FALSE))</f>
        <v>34.747451740000002</v>
      </c>
      <c r="AE131" t="str">
        <f ca="1">IF(AND(ISNUMBER($AE$377),$B$258=1),$AE$377,HLOOKUP(INDIRECT(ADDRESS(2,COLUMN())),OFFSET($BN$2,0,0,ROW()-1,60),ROW()-1,FALSE))</f>
        <v/>
      </c>
      <c r="AF131" t="str">
        <f ca="1">IF(AND(ISNUMBER($AF$377),$B$258=1),$AF$377,HLOOKUP(INDIRECT(ADDRESS(2,COLUMN())),OFFSET($BN$2,0,0,ROW()-1,60),ROW()-1,FALSE))</f>
        <v/>
      </c>
      <c r="AG131" t="str">
        <f ca="1">IF(AND(ISNUMBER($AG$377),$B$258=1),$AG$377,HLOOKUP(INDIRECT(ADDRESS(2,COLUMN())),OFFSET($BN$2,0,0,ROW()-1,60),ROW()-1,FALSE))</f>
        <v/>
      </c>
      <c r="AH131" t="str">
        <f ca="1">IF(AND(ISNUMBER($AH$377),$B$258=1),$AH$377,HLOOKUP(INDIRECT(ADDRESS(2,COLUMN())),OFFSET($BN$2,0,0,ROW()-1,60),ROW()-1,FALSE))</f>
        <v/>
      </c>
      <c r="AI131" t="str">
        <f ca="1">IF(AND(ISNUMBER($AI$377),$B$258=1),$AI$377,HLOOKUP(INDIRECT(ADDRESS(2,COLUMN())),OFFSET($BN$2,0,0,ROW()-1,60),ROW()-1,FALSE))</f>
        <v/>
      </c>
      <c r="AJ131" t="str">
        <f ca="1">IF(AND(ISNUMBER($AJ$377),$B$258=1),$AJ$377,HLOOKUP(INDIRECT(ADDRESS(2,COLUMN())),OFFSET($BN$2,0,0,ROW()-1,60),ROW()-1,FALSE))</f>
        <v/>
      </c>
      <c r="AK131" t="str">
        <f ca="1">IF(AND(ISNUMBER($AK$377),$B$258=1),$AK$377,HLOOKUP(INDIRECT(ADDRESS(2,COLUMN())),OFFSET($BN$2,0,0,ROW()-1,60),ROW()-1,FALSE))</f>
        <v/>
      </c>
      <c r="AL131" t="str">
        <f ca="1">IF(AND(ISNUMBER($AL$377),$B$258=1),$AL$377,HLOOKUP(INDIRECT(ADDRESS(2,COLUMN())),OFFSET($BN$2,0,0,ROW()-1,60),ROW()-1,FALSE))</f>
        <v/>
      </c>
      <c r="AM131" t="str">
        <f ca="1">IF(AND(ISNUMBER($AM$377),$B$258=1),$AM$377,HLOOKUP(INDIRECT(ADDRESS(2,COLUMN())),OFFSET($BN$2,0,0,ROW()-1,60),ROW()-1,FALSE))</f>
        <v/>
      </c>
      <c r="AN131" t="str">
        <f ca="1">IF(AND(ISNUMBER($AN$377),$B$258=1),$AN$377,HLOOKUP(INDIRECT(ADDRESS(2,COLUMN())),OFFSET($BN$2,0,0,ROW()-1,60),ROW()-1,FALSE))</f>
        <v/>
      </c>
      <c r="AO131" t="str">
        <f ca="1">IF(AND(ISNUMBER($AO$377),$B$258=1),$AO$377,HLOOKUP(INDIRECT(ADDRESS(2,COLUMN())),OFFSET($BN$2,0,0,ROW()-1,60),ROW()-1,FALSE))</f>
        <v/>
      </c>
      <c r="AP131" t="str">
        <f ca="1">IF(AND(ISNUMBER($AP$377),$B$258=1),$AP$377,HLOOKUP(INDIRECT(ADDRESS(2,COLUMN())),OFFSET($BN$2,0,0,ROW()-1,60),ROW()-1,FALSE))</f>
        <v/>
      </c>
      <c r="AQ131" t="str">
        <f ca="1">IF(AND(ISNUMBER($AQ$377),$B$258=1),$AQ$377,HLOOKUP(INDIRECT(ADDRESS(2,COLUMN())),OFFSET($BN$2,0,0,ROW()-1,60),ROW()-1,FALSE))</f>
        <v/>
      </c>
      <c r="AR131" t="str">
        <f ca="1">IF(AND(ISNUMBER($AR$377),$B$258=1),$AR$377,HLOOKUP(INDIRECT(ADDRESS(2,COLUMN())),OFFSET($BN$2,0,0,ROW()-1,60),ROW()-1,FALSE))</f>
        <v/>
      </c>
      <c r="AS131" t="str">
        <f ca="1">IF(AND(ISNUMBER($AS$377),$B$258=1),$AS$377,HLOOKUP(INDIRECT(ADDRESS(2,COLUMN())),OFFSET($BN$2,0,0,ROW()-1,60),ROW()-1,FALSE))</f>
        <v/>
      </c>
      <c r="AT131" t="str">
        <f ca="1">IF(AND(ISNUMBER($AT$377),$B$258=1),$AT$377,HLOOKUP(INDIRECT(ADDRESS(2,COLUMN())),OFFSET($BN$2,0,0,ROW()-1,60),ROW()-1,FALSE))</f>
        <v/>
      </c>
      <c r="AU131" t="str">
        <f ca="1">IF(AND(ISNUMBER($AU$377),$B$258=1),$AU$377,HLOOKUP(INDIRECT(ADDRESS(2,COLUMN())),OFFSET($BN$2,0,0,ROW()-1,60),ROW()-1,FALSE))</f>
        <v/>
      </c>
      <c r="AV131" t="str">
        <f ca="1">IF(AND(ISNUMBER($AV$377),$B$258=1),$AV$377,HLOOKUP(INDIRECT(ADDRESS(2,COLUMN())),OFFSET($BN$2,0,0,ROW()-1,60),ROW()-1,FALSE))</f>
        <v/>
      </c>
      <c r="AW131" t="str">
        <f ca="1">IF(AND(ISNUMBER($AW$377),$B$258=1),$AW$377,HLOOKUP(INDIRECT(ADDRESS(2,COLUMN())),OFFSET($BN$2,0,0,ROW()-1,60),ROW()-1,FALSE))</f>
        <v/>
      </c>
      <c r="AX131" t="str">
        <f ca="1">IF(AND(ISNUMBER($AX$377),$B$258=1),$AX$377,HLOOKUP(INDIRECT(ADDRESS(2,COLUMN())),OFFSET($BN$2,0,0,ROW()-1,60),ROW()-1,FALSE))</f>
        <v/>
      </c>
      <c r="AY131" t="str">
        <f ca="1">IF(AND(ISNUMBER($AY$377),$B$258=1),$AY$377,HLOOKUP(INDIRECT(ADDRESS(2,COLUMN())),OFFSET($BN$2,0,0,ROW()-1,60),ROW()-1,FALSE))</f>
        <v/>
      </c>
      <c r="AZ131" t="str">
        <f ca="1">IF(AND(ISNUMBER($AZ$377),$B$258=1),$AZ$377,HLOOKUP(INDIRECT(ADDRESS(2,COLUMN())),OFFSET($BN$2,0,0,ROW()-1,60),ROW()-1,FALSE))</f>
        <v/>
      </c>
      <c r="BA131" t="str">
        <f ca="1">IF(AND(ISNUMBER($BA$377),$B$258=1),$BA$377,HLOOKUP(INDIRECT(ADDRESS(2,COLUMN())),OFFSET($BN$2,0,0,ROW()-1,60),ROW()-1,FALSE))</f>
        <v/>
      </c>
      <c r="BB131" t="str">
        <f ca="1">IF(AND(ISNUMBER($BB$377),$B$258=1),$BB$377,HLOOKUP(INDIRECT(ADDRESS(2,COLUMN())),OFFSET($BN$2,0,0,ROW()-1,60),ROW()-1,FALSE))</f>
        <v/>
      </c>
      <c r="BC131" t="str">
        <f ca="1">IF(AND(ISNUMBER($BC$377),$B$258=1),$BC$377,HLOOKUP(INDIRECT(ADDRESS(2,COLUMN())),OFFSET($BN$2,0,0,ROW()-1,60),ROW()-1,FALSE))</f>
        <v/>
      </c>
      <c r="BD131" t="str">
        <f ca="1">IF(AND(ISNUMBER($BD$377),$B$258=1),$BD$377,HLOOKUP(INDIRECT(ADDRESS(2,COLUMN())),OFFSET($BN$2,0,0,ROW()-1,60),ROW()-1,FALSE))</f>
        <v/>
      </c>
      <c r="BE131" t="str">
        <f ca="1">IF(AND(ISNUMBER($BE$377),$B$258=1),$BE$377,HLOOKUP(INDIRECT(ADDRESS(2,COLUMN())),OFFSET($BN$2,0,0,ROW()-1,60),ROW()-1,FALSE))</f>
        <v/>
      </c>
      <c r="BF131" t="str">
        <f ca="1">IF(AND(ISNUMBER($BF$377),$B$258=1),$BF$377,HLOOKUP(INDIRECT(ADDRESS(2,COLUMN())),OFFSET($BN$2,0,0,ROW()-1,60),ROW()-1,FALSE))</f>
        <v/>
      </c>
      <c r="BG131" t="str">
        <f ca="1">IF(AND(ISNUMBER($BG$377),$B$258=1),$BG$377,HLOOKUP(INDIRECT(ADDRESS(2,COLUMN())),OFFSET($BN$2,0,0,ROW()-1,60),ROW()-1,FALSE))</f>
        <v/>
      </c>
      <c r="BH131" t="str">
        <f ca="1">IF(AND(ISNUMBER($BH$377),$B$258=1),$BH$377,HLOOKUP(INDIRECT(ADDRESS(2,COLUMN())),OFFSET($BN$2,0,0,ROW()-1,60),ROW()-1,FALSE))</f>
        <v/>
      </c>
      <c r="BI131" t="str">
        <f ca="1">IF(AND(ISNUMBER($BI$377),$B$258=1),$BI$377,HLOOKUP(INDIRECT(ADDRESS(2,COLUMN())),OFFSET($BN$2,0,0,ROW()-1,60),ROW()-1,FALSE))</f>
        <v/>
      </c>
      <c r="BJ131" t="str">
        <f ca="1">IF(AND(ISNUMBER($BJ$377),$B$258=1),$BJ$377,HLOOKUP(INDIRECT(ADDRESS(2,COLUMN())),OFFSET($BN$2,0,0,ROW()-1,60),ROW()-1,FALSE))</f>
        <v/>
      </c>
      <c r="BK131" t="str">
        <f ca="1">IF(AND(ISNUMBER($BK$377),$B$258=1),$BK$377,HLOOKUP(INDIRECT(ADDRESS(2,COLUMN())),OFFSET($BN$2,0,0,ROW()-1,60),ROW()-1,FALSE))</f>
        <v/>
      </c>
      <c r="BL131" t="str">
        <f ca="1">IF(AND(ISNUMBER($BL$377),$B$258=1),$BL$377,HLOOKUP(INDIRECT(ADDRESS(2,COLUMN())),OFFSET($BN$2,0,0,ROW()-1,60),ROW()-1,FALSE))</f>
        <v/>
      </c>
      <c r="BM131" t="str">
        <f ca="1">IF(AND(ISNUMBER($BM$377),$B$258=1),$BM$377,HLOOKUP(INDIRECT(ADDRESS(2,COLUMN())),OFFSET($BN$2,0,0,ROW()-1,60),ROW()-1,FALSE))</f>
        <v/>
      </c>
      <c r="BN131" t="str">
        <f>""</f>
        <v/>
      </c>
      <c r="BO131">
        <f>166.6911888</f>
        <v>166.69118879999999</v>
      </c>
      <c r="BP131">
        <f>83.25506211</f>
        <v>83.255062109999997</v>
      </c>
      <c r="BQ131">
        <f>9.523892692</f>
        <v>9.5238926920000004</v>
      </c>
      <c r="BR131">
        <f>6.077550806</f>
        <v>6.0775508059999996</v>
      </c>
      <c r="BS131">
        <f>1.610546702</f>
        <v>1.6105467019999999</v>
      </c>
      <c r="BT131">
        <f>10.52601884</f>
        <v>10.526018840000001</v>
      </c>
      <c r="BU131">
        <f>14.75068142</f>
        <v>14.750681419999999</v>
      </c>
      <c r="BV131">
        <f>15.5984244</f>
        <v>15.598424400000001</v>
      </c>
      <c r="BW131">
        <f>18.3393647</f>
        <v>18.339364700000001</v>
      </c>
      <c r="BX131">
        <f>39.32398795</f>
        <v>39.323987950000003</v>
      </c>
      <c r="BY131">
        <f>33.1092437</f>
        <v>33.1092437</v>
      </c>
      <c r="BZ131">
        <f>37.15956003</f>
        <v>37.159560030000002</v>
      </c>
      <c r="CA131">
        <f>45.03149055</f>
        <v>45.031490550000001</v>
      </c>
      <c r="CB131">
        <f>20.39811981</f>
        <v>20.398119810000001</v>
      </c>
      <c r="CC131">
        <f>18.93203883</f>
        <v>18.93203883</v>
      </c>
      <c r="CD131">
        <f>14.67196187</f>
        <v>14.671961870000001</v>
      </c>
      <c r="CE131">
        <f>23.19850564</f>
        <v>23.19850564</v>
      </c>
      <c r="CF131">
        <f>24.70102282</f>
        <v>24.701022819999999</v>
      </c>
      <c r="CG131">
        <f>26.98630137</f>
        <v>26.98630137</v>
      </c>
      <c r="CH131">
        <f>33.01356548</f>
        <v>33.013565479999997</v>
      </c>
      <c r="CI131">
        <f>20.0172451</f>
        <v>20.0172451</v>
      </c>
      <c r="CJ131">
        <f>19.37635015</f>
        <v>19.37635015</v>
      </c>
      <c r="CK131">
        <f>33.24028344</f>
        <v>33.240283439999999</v>
      </c>
      <c r="CL131">
        <f>34.74745174</f>
        <v>34.747451740000002</v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>
      <c r="A132" t="str">
        <f>"    Senior Housing Properties Trus"</f>
        <v xml:space="preserve">    Senior Housing Properties Trus</v>
      </c>
      <c r="B132" t="str">
        <f>"SNH US Equity"</f>
        <v>SNH US Equity</v>
      </c>
      <c r="C132" t="str">
        <f t="shared" si="30"/>
        <v>RR551</v>
      </c>
      <c r="D132" t="str">
        <f t="shared" si="31"/>
        <v>NOI_GROWTH</v>
      </c>
      <c r="E132" t="str">
        <f t="shared" si="32"/>
        <v>动态</v>
      </c>
      <c r="F132" t="str">
        <f ca="1">IF(AND(ISNUMBER($F$378),$B$258=1),$F$378,HLOOKUP(INDIRECT(ADDRESS(2,COLUMN())),OFFSET($BN$2,0,0,ROW()-1,60),ROW()-1,FALSE))</f>
        <v/>
      </c>
      <c r="G132">
        <f ca="1">IF(AND(ISNUMBER($G$378),$B$258=1),$G$378,HLOOKUP(INDIRECT(ADDRESS(2,COLUMN())),OFFSET($BN$2,0,0,ROW()-1,60),ROW()-1,FALSE))</f>
        <v>0.62486533099999997</v>
      </c>
      <c r="H132">
        <f ca="1">IF(AND(ISNUMBER($H$378),$B$258=1),$H$378,HLOOKUP(INDIRECT(ADDRESS(2,COLUMN())),OFFSET($BN$2,0,0,ROW()-1,60),ROW()-1,FALSE))</f>
        <v>2.3778878950000002</v>
      </c>
      <c r="I132">
        <f ca="1">IF(AND(ISNUMBER($I$378),$B$258=1),$I$378,HLOOKUP(INDIRECT(ADDRESS(2,COLUMN())),OFFSET($BN$2,0,0,ROW()-1,60),ROW()-1,FALSE))</f>
        <v>-4.0151526540000004</v>
      </c>
      <c r="J132">
        <f ca="1">IF(AND(ISNUMBER($J$378),$B$258=1),$J$378,HLOOKUP(INDIRECT(ADDRESS(2,COLUMN())),OFFSET($BN$2,0,0,ROW()-1,60),ROW()-1,FALSE))</f>
        <v>3.0155028989999999</v>
      </c>
      <c r="K132">
        <f ca="1">IF(AND(ISNUMBER($K$378),$B$258=1),$K$378,HLOOKUP(INDIRECT(ADDRESS(2,COLUMN())),OFFSET($BN$2,0,0,ROW()-1,60),ROW()-1,FALSE))</f>
        <v>6.9354838709999997</v>
      </c>
      <c r="L132">
        <f ca="1">IF(AND(ISNUMBER($L$378),$B$258=1),$L$378,HLOOKUP(INDIRECT(ADDRESS(2,COLUMN())),OFFSET($BN$2,0,0,ROW()-1,60),ROW()-1,FALSE))</f>
        <v>0.35520537299999999</v>
      </c>
      <c r="M132">
        <f ca="1">IF(AND(ISNUMBER($M$378),$B$258=1),$M$378,HLOOKUP(INDIRECT(ADDRESS(2,COLUMN())),OFFSET($BN$2,0,0,ROW()-1,60),ROW()-1,FALSE))</f>
        <v>7.3748264839999997</v>
      </c>
      <c r="N132">
        <f ca="1">IF(AND(ISNUMBER($N$378),$B$258=1),$N$378,HLOOKUP(INDIRECT(ADDRESS(2,COLUMN())),OFFSET($BN$2,0,0,ROW()-1,60),ROW()-1,FALSE))</f>
        <v>5.8043007170000003</v>
      </c>
      <c r="O132">
        <f ca="1">IF(AND(ISNUMBER($O$378),$B$258=1),$O$378,HLOOKUP(INDIRECT(ADDRESS(2,COLUMN())),OFFSET($BN$2,0,0,ROW()-1,60),ROW()-1,FALSE))</f>
        <v>6.6732210890000001</v>
      </c>
      <c r="P132">
        <f ca="1">IF(AND(ISNUMBER($P$378),$B$258=1),$P$378,HLOOKUP(INDIRECT(ADDRESS(2,COLUMN())),OFFSET($BN$2,0,0,ROW()-1,60),ROW()-1,FALSE))</f>
        <v>12.79959204</v>
      </c>
      <c r="Q132">
        <f ca="1">IF(AND(ISNUMBER($Q$378),$B$258=1),$Q$378,HLOOKUP(INDIRECT(ADDRESS(2,COLUMN())),OFFSET($BN$2,0,0,ROW()-1,60),ROW()-1,FALSE))</f>
        <v>29.386212230000002</v>
      </c>
      <c r="R132">
        <f ca="1">IF(AND(ISNUMBER($R$378),$B$258=1),$R$378,HLOOKUP(INDIRECT(ADDRESS(2,COLUMN())),OFFSET($BN$2,0,0,ROW()-1,60),ROW()-1,FALSE))</f>
        <v>75.13794412</v>
      </c>
      <c r="S132">
        <f ca="1">IF(AND(ISNUMBER($S$378),$B$258=1),$S$378,HLOOKUP(INDIRECT(ADDRESS(2,COLUMN())),OFFSET($BN$2,0,0,ROW()-1,60),ROW()-1,FALSE))</f>
        <v>41.737975480000003</v>
      </c>
      <c r="T132">
        <f ca="1">IF(AND(ISNUMBER($T$378),$B$258=1),$T$378,HLOOKUP(INDIRECT(ADDRESS(2,COLUMN())),OFFSET($BN$2,0,0,ROW()-1,60),ROW()-1,FALSE))</f>
        <v>46.070763499999998</v>
      </c>
      <c r="U132">
        <f ca="1">IF(AND(ISNUMBER($U$378),$B$258=1),$U$378,HLOOKUP(INDIRECT(ADDRESS(2,COLUMN())),OFFSET($BN$2,0,0,ROW()-1,60),ROW()-1,FALSE))</f>
        <v>26.63105281</v>
      </c>
      <c r="V132">
        <f ca="1">IF(AND(ISNUMBER($V$378),$B$258=1),$V$378,HLOOKUP(INDIRECT(ADDRESS(2,COLUMN())),OFFSET($BN$2,0,0,ROW()-1,60),ROW()-1,FALSE))</f>
        <v>-10.269038330000001</v>
      </c>
      <c r="W132">
        <f ca="1">IF(AND(ISNUMBER($W$378),$B$258=1),$W$378,HLOOKUP(INDIRECT(ADDRESS(2,COLUMN())),OFFSET($BN$2,0,0,ROW()-1,60),ROW()-1,FALSE))</f>
        <v>-9.3265680839999998</v>
      </c>
      <c r="X132">
        <f ca="1">IF(AND(ISNUMBER($X$378),$B$258=1),$X$378,HLOOKUP(INDIRECT(ADDRESS(2,COLUMN())),OFFSET($BN$2,0,0,ROW()-1,60),ROW()-1,FALSE))</f>
        <v>-43.85446073</v>
      </c>
      <c r="Y132">
        <f ca="1">IF(AND(ISNUMBER($Y$378),$B$258=1),$Y$378,HLOOKUP(INDIRECT(ADDRESS(2,COLUMN())),OFFSET($BN$2,0,0,ROW()-1,60),ROW()-1,FALSE))</f>
        <v>-44.87016869</v>
      </c>
      <c r="Z132">
        <f ca="1">IF(AND(ISNUMBER($Z$378),$B$258=1),$Z$378,HLOOKUP(INDIRECT(ADDRESS(2,COLUMN())),OFFSET($BN$2,0,0,ROW()-1,60),ROW()-1,FALSE))</f>
        <v>-45.600034200000003</v>
      </c>
      <c r="AA132">
        <f ca="1">IF(AND(ISNUMBER($AA$378),$B$258=1),$AA$378,HLOOKUP(INDIRECT(ADDRESS(2,COLUMN())),OFFSET($BN$2,0,0,ROW()-1,60),ROW()-1,FALSE))</f>
        <v>-45.68140872</v>
      </c>
      <c r="AB132">
        <f ca="1">IF(AND(ISNUMBER($AB$378),$B$258=1),$AB$378,HLOOKUP(INDIRECT(ADDRESS(2,COLUMN())),OFFSET($BN$2,0,0,ROW()-1,60),ROW()-1,FALSE))</f>
        <v>-28.43062845</v>
      </c>
      <c r="AC132">
        <f ca="1">IF(AND(ISNUMBER($AC$378),$B$258=1),$AC$378,HLOOKUP(INDIRECT(ADDRESS(2,COLUMN())),OFFSET($BN$2,0,0,ROW()-1,60),ROW()-1,FALSE))</f>
        <v>-22.947559989999998</v>
      </c>
      <c r="AD132">
        <f ca="1">IF(AND(ISNUMBER($AD$378),$B$258=1),$AD$378,HLOOKUP(INDIRECT(ADDRESS(2,COLUMN())),OFFSET($BN$2,0,0,ROW()-1,60),ROW()-1,FALSE))</f>
        <v>-20.36791157</v>
      </c>
      <c r="AE132">
        <f ca="1">IF(AND(ISNUMBER($AE$378),$B$258=1),$AE$378,HLOOKUP(INDIRECT(ADDRESS(2,COLUMN())),OFFSET($BN$2,0,0,ROW()-1,60),ROW()-1,FALSE))</f>
        <v>2.5165184310000002</v>
      </c>
      <c r="AF132">
        <f ca="1">IF(AND(ISNUMBER($AF$378),$B$258=1),$AF$378,HLOOKUP(INDIRECT(ADDRESS(2,COLUMN())),OFFSET($BN$2,0,0,ROW()-1,60),ROW()-1,FALSE))</f>
        <v>22.4982322</v>
      </c>
      <c r="AG132">
        <f ca="1">IF(AND(ISNUMBER($AG$378),$B$258=1),$AG$378,HLOOKUP(INDIRECT(ADDRESS(2,COLUMN())),OFFSET($BN$2,0,0,ROW()-1,60),ROW()-1,FALSE))</f>
        <v>16.17702719</v>
      </c>
      <c r="AH132">
        <f ca="1">IF(AND(ISNUMBER($AH$378),$B$258=1),$AH$378,HLOOKUP(INDIRECT(ADDRESS(2,COLUMN())),OFFSET($BN$2,0,0,ROW()-1,60),ROW()-1,FALSE))</f>
        <v>15.83631297</v>
      </c>
      <c r="AI132">
        <f ca="1">IF(AND(ISNUMBER($AI$378),$B$258=1),$AI$378,HLOOKUP(INDIRECT(ADDRESS(2,COLUMN())),OFFSET($BN$2,0,0,ROW()-1,60),ROW()-1,FALSE))</f>
        <v>9.5825552680000001</v>
      </c>
      <c r="AJ132">
        <f ca="1">IF(AND(ISNUMBER($AJ$378),$B$258=1),$AJ$378,HLOOKUP(INDIRECT(ADDRESS(2,COLUMN())),OFFSET($BN$2,0,0,ROW()-1,60),ROW()-1,FALSE))</f>
        <v>12.471648650000001</v>
      </c>
      <c r="AK132">
        <f ca="1">IF(AND(ISNUMBER($AK$378),$B$258=1),$AK$378,HLOOKUP(INDIRECT(ADDRESS(2,COLUMN())),OFFSET($BN$2,0,0,ROW()-1,60),ROW()-1,FALSE))</f>
        <v>15.77666969</v>
      </c>
      <c r="AL132">
        <f ca="1">IF(AND(ISNUMBER($AL$378),$B$258=1),$AL$378,HLOOKUP(INDIRECT(ADDRESS(2,COLUMN())),OFFSET($BN$2,0,0,ROW()-1,60),ROW()-1,FALSE))</f>
        <v>16.278927580000001</v>
      </c>
      <c r="AM132">
        <f ca="1">IF(AND(ISNUMBER($AM$378),$B$258=1),$AM$378,HLOOKUP(INDIRECT(ADDRESS(2,COLUMN())),OFFSET($BN$2,0,0,ROW()-1,60),ROW()-1,FALSE))</f>
        <v>16.989189719999999</v>
      </c>
      <c r="AN132">
        <f ca="1">IF(AND(ISNUMBER($AN$378),$B$258=1),$AN$378,HLOOKUP(INDIRECT(ADDRESS(2,COLUMN())),OFFSET($BN$2,0,0,ROW()-1,60),ROW()-1,FALSE))</f>
        <v>17.322412870000001</v>
      </c>
      <c r="AO132">
        <f ca="1">IF(AND(ISNUMBER($AO$378),$B$258=1),$AO$378,HLOOKUP(INDIRECT(ADDRESS(2,COLUMN())),OFFSET($BN$2,0,0,ROW()-1,60),ROW()-1,FALSE))</f>
        <v>25.798357660000001</v>
      </c>
      <c r="AP132">
        <f ca="1">IF(AND(ISNUMBER($AP$378),$B$258=1),$AP$378,HLOOKUP(INDIRECT(ADDRESS(2,COLUMN())),OFFSET($BN$2,0,0,ROW()-1,60),ROW()-1,FALSE))</f>
        <v>33.560623069999998</v>
      </c>
      <c r="AQ132">
        <f ca="1">IF(AND(ISNUMBER($AQ$378),$B$258=1),$AQ$378,HLOOKUP(INDIRECT(ADDRESS(2,COLUMN())),OFFSET($BN$2,0,0,ROW()-1,60),ROW()-1,FALSE))</f>
        <v>34.910916319999998</v>
      </c>
      <c r="AR132">
        <f ca="1">IF(AND(ISNUMBER($AR$378),$B$258=1),$AR$378,HLOOKUP(INDIRECT(ADDRESS(2,COLUMN())),OFFSET($BN$2,0,0,ROW()-1,60),ROW()-1,FALSE))</f>
        <v>29.606073500000001</v>
      </c>
      <c r="AS132">
        <f ca="1">IF(AND(ISNUMBER($AS$378),$B$258=1),$AS$378,HLOOKUP(INDIRECT(ADDRESS(2,COLUMN())),OFFSET($BN$2,0,0,ROW()-1,60),ROW()-1,FALSE))</f>
        <v>18.470476959999999</v>
      </c>
      <c r="AT132">
        <f ca="1">IF(AND(ISNUMBER($AT$378),$B$258=1),$AT$378,HLOOKUP(INDIRECT(ADDRESS(2,COLUMN())),OFFSET($BN$2,0,0,ROW()-1,60),ROW()-1,FALSE))</f>
        <v>10.568610189999999</v>
      </c>
      <c r="AU132">
        <f ca="1">IF(AND(ISNUMBER($AU$378),$B$258=1),$AU$378,HLOOKUP(INDIRECT(ADDRESS(2,COLUMN())),OFFSET($BN$2,0,0,ROW()-1,60),ROW()-1,FALSE))</f>
        <v>-3.758806844</v>
      </c>
      <c r="AV132">
        <f ca="1">IF(AND(ISNUMBER($AV$378),$B$258=1),$AV$378,HLOOKUP(INDIRECT(ADDRESS(2,COLUMN())),OFFSET($BN$2,0,0,ROW()-1,60),ROW()-1,FALSE))</f>
        <v>6.3597170280000004</v>
      </c>
      <c r="AW132">
        <f ca="1">IF(AND(ISNUMBER($AW$378),$B$258=1),$AW$378,HLOOKUP(INDIRECT(ADDRESS(2,COLUMN())),OFFSET($BN$2,0,0,ROW()-1,60),ROW()-1,FALSE))</f>
        <v>8.5164096669999996</v>
      </c>
      <c r="AX132">
        <f ca="1">IF(AND(ISNUMBER($AX$378),$B$258=1),$AX$378,HLOOKUP(INDIRECT(ADDRESS(2,COLUMN())),OFFSET($BN$2,0,0,ROW()-1,60),ROW()-1,FALSE))</f>
        <v>8.5197070279999991</v>
      </c>
      <c r="AY132">
        <f ca="1">IF(AND(ISNUMBER($AY$378),$B$258=1),$AY$378,HLOOKUP(INDIRECT(ADDRESS(2,COLUMN())),OFFSET($BN$2,0,0,ROW()-1,60),ROW()-1,FALSE))</f>
        <v>24.825821779999998</v>
      </c>
      <c r="AZ132">
        <f ca="1">IF(AND(ISNUMBER($AZ$378),$B$258=1),$AZ$378,HLOOKUP(INDIRECT(ADDRESS(2,COLUMN())),OFFSET($BN$2,0,0,ROW()-1,60),ROW()-1,FALSE))</f>
        <v>6.2699322850000003</v>
      </c>
      <c r="BA132">
        <f ca="1">IF(AND(ISNUMBER($BA$378),$B$258=1),$BA$378,HLOOKUP(INDIRECT(ADDRESS(2,COLUMN())),OFFSET($BN$2,0,0,ROW()-1,60),ROW()-1,FALSE))</f>
        <v>4.6733466699999999</v>
      </c>
      <c r="BB132">
        <f ca="1">IF(AND(ISNUMBER($BB$378),$B$258=1),$BB$378,HLOOKUP(INDIRECT(ADDRESS(2,COLUMN())),OFFSET($BN$2,0,0,ROW()-1,60),ROW()-1,FALSE))</f>
        <v>4.9758267009999999</v>
      </c>
      <c r="BC132">
        <f ca="1">IF(AND(ISNUMBER($BC$378),$B$258=1),$BC$378,HLOOKUP(INDIRECT(ADDRESS(2,COLUMN())),OFFSET($BN$2,0,0,ROW()-1,60),ROW()-1,FALSE))</f>
        <v>8.6655413790000004</v>
      </c>
      <c r="BD132">
        <f ca="1">IF(AND(ISNUMBER($BD$378),$B$258=1),$BD$378,HLOOKUP(INDIRECT(ADDRESS(2,COLUMN())),OFFSET($BN$2,0,0,ROW()-1,60),ROW()-1,FALSE))</f>
        <v>11.516970540000001</v>
      </c>
      <c r="BE132">
        <f ca="1">IF(AND(ISNUMBER($BE$378),$B$258=1),$BE$378,HLOOKUP(INDIRECT(ADDRESS(2,COLUMN())),OFFSET($BN$2,0,0,ROW()-1,60),ROW()-1,FALSE))</f>
        <v>11.097225509999999</v>
      </c>
      <c r="BF132">
        <f ca="1">IF(AND(ISNUMBER($BF$378),$B$258=1),$BF$378,HLOOKUP(INDIRECT(ADDRESS(2,COLUMN())),OFFSET($BN$2,0,0,ROW()-1,60),ROW()-1,FALSE))</f>
        <v>11.654087369999999</v>
      </c>
      <c r="BG132">
        <f ca="1">IF(AND(ISNUMBER($BG$378),$B$258=1),$BG$378,HLOOKUP(INDIRECT(ADDRESS(2,COLUMN())),OFFSET($BN$2,0,0,ROW()-1,60),ROW()-1,FALSE))</f>
        <v>13.350776809999999</v>
      </c>
      <c r="BH132" t="str">
        <f ca="1">IF(AND(ISNUMBER($BH$378),$B$258=1),$BH$378,HLOOKUP(INDIRECT(ADDRESS(2,COLUMN())),OFFSET($BN$2,0,0,ROW()-1,60),ROW()-1,FALSE))</f>
        <v/>
      </c>
      <c r="BI132" t="str">
        <f ca="1">IF(AND(ISNUMBER($BI$378),$B$258=1),$BI$378,HLOOKUP(INDIRECT(ADDRESS(2,COLUMN())),OFFSET($BN$2,0,0,ROW()-1,60),ROW()-1,FALSE))</f>
        <v/>
      </c>
      <c r="BJ132" t="str">
        <f ca="1">IF(AND(ISNUMBER($BJ$378),$B$258=1),$BJ$378,HLOOKUP(INDIRECT(ADDRESS(2,COLUMN())),OFFSET($BN$2,0,0,ROW()-1,60),ROW()-1,FALSE))</f>
        <v/>
      </c>
      <c r="BK132">
        <f ca="1">IF(AND(ISNUMBER($BK$378),$B$258=1),$BK$378,HLOOKUP(INDIRECT(ADDRESS(2,COLUMN())),OFFSET($BN$2,0,0,ROW()-1,60),ROW()-1,FALSE))</f>
        <v>9.2896674840000006</v>
      </c>
      <c r="BL132" t="str">
        <f ca="1">IF(AND(ISNUMBER($BL$378),$B$258=1),$BL$378,HLOOKUP(INDIRECT(ADDRESS(2,COLUMN())),OFFSET($BN$2,0,0,ROW()-1,60),ROW()-1,FALSE))</f>
        <v/>
      </c>
      <c r="BM132" t="str">
        <f ca="1">IF(AND(ISNUMBER($BM$378),$B$258=1),$BM$378,HLOOKUP(INDIRECT(ADDRESS(2,COLUMN())),OFFSET($BN$2,0,0,ROW()-1,60),ROW()-1,FALSE))</f>
        <v/>
      </c>
      <c r="BN132" t="str">
        <f>""</f>
        <v/>
      </c>
      <c r="BO132">
        <f>0.624865331</f>
        <v>0.62486533099999997</v>
      </c>
      <c r="BP132">
        <f>2.377887895</f>
        <v>2.3778878950000002</v>
      </c>
      <c r="BQ132">
        <f>-4.015152654</f>
        <v>-4.0151526540000004</v>
      </c>
      <c r="BR132">
        <f>3.015502899</f>
        <v>3.0155028989999999</v>
      </c>
      <c r="BS132">
        <f>6.935483871</f>
        <v>6.9354838709999997</v>
      </c>
      <c r="BT132">
        <f>0.355205373</f>
        <v>0.35520537299999999</v>
      </c>
      <c r="BU132">
        <f>7.374826484</f>
        <v>7.3748264839999997</v>
      </c>
      <c r="BV132">
        <f>5.804300717</f>
        <v>5.8043007170000003</v>
      </c>
      <c r="BW132">
        <f>6.673221089</f>
        <v>6.6732210890000001</v>
      </c>
      <c r="BX132">
        <f>12.79959204</f>
        <v>12.79959204</v>
      </c>
      <c r="BY132">
        <f>29.38621223</f>
        <v>29.386212230000002</v>
      </c>
      <c r="BZ132">
        <f>75.13794412</f>
        <v>75.13794412</v>
      </c>
      <c r="CA132">
        <f>41.73797548</f>
        <v>41.737975480000003</v>
      </c>
      <c r="CB132">
        <f>46.0707635</f>
        <v>46.070763499999998</v>
      </c>
      <c r="CC132">
        <f>26.63105281</f>
        <v>26.63105281</v>
      </c>
      <c r="CD132">
        <f>-10.26903833</f>
        <v>-10.269038330000001</v>
      </c>
      <c r="CE132">
        <f>-9.326568084</f>
        <v>-9.3265680839999998</v>
      </c>
      <c r="CF132">
        <f>-43.85446073</f>
        <v>-43.85446073</v>
      </c>
      <c r="CG132">
        <f>-44.87016869</f>
        <v>-44.87016869</v>
      </c>
      <c r="CH132">
        <f>-45.6000342</f>
        <v>-45.600034200000003</v>
      </c>
      <c r="CI132">
        <f>-45.68140872</f>
        <v>-45.68140872</v>
      </c>
      <c r="CJ132">
        <f>-28.43062845</f>
        <v>-28.43062845</v>
      </c>
      <c r="CK132">
        <f>-22.94755999</f>
        <v>-22.947559989999998</v>
      </c>
      <c r="CL132">
        <f>-20.36791157</f>
        <v>-20.36791157</v>
      </c>
      <c r="CM132">
        <f>2.516518431</f>
        <v>2.5165184310000002</v>
      </c>
      <c r="CN132">
        <f>22.4982322</f>
        <v>22.4982322</v>
      </c>
      <c r="CO132">
        <f>16.17702719</f>
        <v>16.17702719</v>
      </c>
      <c r="CP132">
        <f>15.83631297</f>
        <v>15.83631297</v>
      </c>
      <c r="CQ132">
        <f>9.582555268</f>
        <v>9.5825552680000001</v>
      </c>
      <c r="CR132">
        <f>12.47164865</f>
        <v>12.471648650000001</v>
      </c>
      <c r="CS132">
        <f>15.77666969</f>
        <v>15.77666969</v>
      </c>
      <c r="CT132">
        <f>16.27892758</f>
        <v>16.278927580000001</v>
      </c>
      <c r="CU132">
        <f>16.98918972</f>
        <v>16.989189719999999</v>
      </c>
      <c r="CV132">
        <f>17.32241287</f>
        <v>17.322412870000001</v>
      </c>
      <c r="CW132">
        <f>25.79835766</f>
        <v>25.798357660000001</v>
      </c>
      <c r="CX132">
        <f>33.56062307</f>
        <v>33.560623069999998</v>
      </c>
      <c r="CY132">
        <f>34.91091632</f>
        <v>34.910916319999998</v>
      </c>
      <c r="CZ132">
        <f>29.6060735</f>
        <v>29.606073500000001</v>
      </c>
      <c r="DA132">
        <f>18.47047696</f>
        <v>18.470476959999999</v>
      </c>
      <c r="DB132">
        <f>10.56861019</f>
        <v>10.568610189999999</v>
      </c>
      <c r="DC132">
        <f>-3.758806844</f>
        <v>-3.758806844</v>
      </c>
      <c r="DD132">
        <f>6.359717028</f>
        <v>6.3597170280000004</v>
      </c>
      <c r="DE132">
        <f>8.516409667</f>
        <v>8.5164096669999996</v>
      </c>
      <c r="DF132">
        <f>8.519707028</f>
        <v>8.5197070279999991</v>
      </c>
      <c r="DG132">
        <f>24.82582178</f>
        <v>24.825821779999998</v>
      </c>
      <c r="DH132">
        <f>6.269932285</f>
        <v>6.2699322850000003</v>
      </c>
      <c r="DI132">
        <f>4.67334667</f>
        <v>4.6733466699999999</v>
      </c>
      <c r="DJ132">
        <f>4.975826701</f>
        <v>4.9758267009999999</v>
      </c>
      <c r="DK132">
        <f>8.665541379</f>
        <v>8.6655413790000004</v>
      </c>
      <c r="DL132">
        <f>11.51697054</f>
        <v>11.516970540000001</v>
      </c>
      <c r="DM132">
        <f>11.09722551</f>
        <v>11.097225509999999</v>
      </c>
      <c r="DN132">
        <f>11.65408737</f>
        <v>11.654087369999999</v>
      </c>
      <c r="DO132">
        <f>13.35077681</f>
        <v>13.350776809999999</v>
      </c>
      <c r="DP132" t="str">
        <f>""</f>
        <v/>
      </c>
      <c r="DQ132" t="str">
        <f>""</f>
        <v/>
      </c>
      <c r="DR132" t="str">
        <f>""</f>
        <v/>
      </c>
      <c r="DS132">
        <f>9.289667484</f>
        <v>9.2896674840000006</v>
      </c>
      <c r="DT132" t="str">
        <f>""</f>
        <v/>
      </c>
      <c r="DU132" t="str">
        <f>""</f>
        <v/>
      </c>
    </row>
    <row r="133" spans="1:125">
      <c r="A133" t="str">
        <f>"    Ventas Inc"</f>
        <v xml:space="preserve">    Ventas Inc</v>
      </c>
      <c r="B133" t="str">
        <f>"VTR US Equity"</f>
        <v>VTR US Equity</v>
      </c>
      <c r="C133" t="str">
        <f t="shared" si="30"/>
        <v>RR551</v>
      </c>
      <c r="D133" t="str">
        <f t="shared" si="31"/>
        <v>NOI_GROWTH</v>
      </c>
      <c r="E133" t="str">
        <f t="shared" si="32"/>
        <v>动态</v>
      </c>
      <c r="F133" t="str">
        <f ca="1">IF(AND(ISNUMBER($F$379),$B$258=1),$F$379,HLOOKUP(INDIRECT(ADDRESS(2,COLUMN())),OFFSET($BN$2,0,0,ROW()-1,60),ROW()-1,FALSE))</f>
        <v/>
      </c>
      <c r="G133">
        <f ca="1">IF(AND(ISNUMBER($G$379),$B$258=1),$G$379,HLOOKUP(INDIRECT(ADDRESS(2,COLUMN())),OFFSET($BN$2,0,0,ROW()-1,60),ROW()-1,FALSE))</f>
        <v>-0.85971050599999999</v>
      </c>
      <c r="H133">
        <f ca="1">IF(AND(ISNUMBER($H$379),$B$258=1),$H$379,HLOOKUP(INDIRECT(ADDRESS(2,COLUMN())),OFFSET($BN$2,0,0,ROW()-1,60),ROW()-1,FALSE))</f>
        <v>3.5228996920000002</v>
      </c>
      <c r="I133">
        <f ca="1">IF(AND(ISNUMBER($I$379),$B$258=1),$I$379,HLOOKUP(INDIRECT(ADDRESS(2,COLUMN())),OFFSET($BN$2,0,0,ROW()-1,60),ROW()-1,FALSE))</f>
        <v>5.2728551100000001</v>
      </c>
      <c r="J133">
        <f ca="1">IF(AND(ISNUMBER($J$379),$B$258=1),$J$379,HLOOKUP(INDIRECT(ADDRESS(2,COLUMN())),OFFSET($BN$2,0,0,ROW()-1,60),ROW()-1,FALSE))</f>
        <v>4.2796930499999997</v>
      </c>
      <c r="K133">
        <f ca="1">IF(AND(ISNUMBER($K$379),$B$258=1),$K$379,HLOOKUP(INDIRECT(ADDRESS(2,COLUMN())),OFFSET($BN$2,0,0,ROW()-1,60),ROW()-1,FALSE))</f>
        <v>4.6810864370000003</v>
      </c>
      <c r="L133">
        <f ca="1">IF(AND(ISNUMBER($L$379),$B$258=1),$L$379,HLOOKUP(INDIRECT(ADDRESS(2,COLUMN())),OFFSET($BN$2,0,0,ROW()-1,60),ROW()-1,FALSE))</f>
        <v>2.844846483</v>
      </c>
      <c r="M133">
        <f ca="1">IF(AND(ISNUMBER($M$379),$B$258=1),$M$379,HLOOKUP(INDIRECT(ADDRESS(2,COLUMN())),OFFSET($BN$2,0,0,ROW()-1,60),ROW()-1,FALSE))</f>
        <v>6.3809367180000001</v>
      </c>
      <c r="N133">
        <f ca="1">IF(AND(ISNUMBER($N$379),$B$258=1),$N$379,HLOOKUP(INDIRECT(ADDRESS(2,COLUMN())),OFFSET($BN$2,0,0,ROW()-1,60),ROW()-1,FALSE))</f>
        <v>7.0741054769999998</v>
      </c>
      <c r="O133">
        <f ca="1">IF(AND(ISNUMBER($O$379),$B$258=1),$O$379,HLOOKUP(INDIRECT(ADDRESS(2,COLUMN())),OFFSET($BN$2,0,0,ROW()-1,60),ROW()-1,FALSE))</f>
        <v>16.656701250000001</v>
      </c>
      <c r="P133">
        <f ca="1">IF(AND(ISNUMBER($P$379),$B$258=1),$P$379,HLOOKUP(INDIRECT(ADDRESS(2,COLUMN())),OFFSET($BN$2,0,0,ROW()-1,60),ROW()-1,FALSE))</f>
        <v>19.727525249999999</v>
      </c>
      <c r="Q133">
        <f ca="1">IF(AND(ISNUMBER($Q$379),$B$258=1),$Q$379,HLOOKUP(INDIRECT(ADDRESS(2,COLUMN())),OFFSET($BN$2,0,0,ROW()-1,60),ROW()-1,FALSE))</f>
        <v>-0.85504258499999997</v>
      </c>
      <c r="R133">
        <f ca="1">IF(AND(ISNUMBER($R$379),$B$258=1),$R$379,HLOOKUP(INDIRECT(ADDRESS(2,COLUMN())),OFFSET($BN$2,0,0,ROW()-1,60),ROW()-1,FALSE))</f>
        <v>-0.116307956</v>
      </c>
      <c r="S133">
        <f ca="1">IF(AND(ISNUMBER($S$379),$B$258=1),$S$379,HLOOKUP(INDIRECT(ADDRESS(2,COLUMN())),OFFSET($BN$2,0,0,ROW()-1,60),ROW()-1,FALSE))</f>
        <v>-7.0977238959999998</v>
      </c>
      <c r="T133">
        <f ca="1">IF(AND(ISNUMBER($T$379),$B$258=1),$T$379,HLOOKUP(INDIRECT(ADDRESS(2,COLUMN())),OFFSET($BN$2,0,0,ROW()-1,60),ROW()-1,FALSE))</f>
        <v>-6.5581651709999997</v>
      </c>
      <c r="U133">
        <f ca="1">IF(AND(ISNUMBER($U$379),$B$258=1),$U$379,HLOOKUP(INDIRECT(ADDRESS(2,COLUMN())),OFFSET($BN$2,0,0,ROW()-1,60),ROW()-1,FALSE))</f>
        <v>12.17917718</v>
      </c>
      <c r="V133">
        <f ca="1">IF(AND(ISNUMBER($V$379),$B$258=1),$V$379,HLOOKUP(INDIRECT(ADDRESS(2,COLUMN())),OFFSET($BN$2,0,0,ROW()-1,60),ROW()-1,FALSE))</f>
        <v>11.095499630000001</v>
      </c>
      <c r="W133">
        <f ca="1">IF(AND(ISNUMBER($W$379),$B$258=1),$W$379,HLOOKUP(INDIRECT(ADDRESS(2,COLUMN())),OFFSET($BN$2,0,0,ROW()-1,60),ROW()-1,FALSE))</f>
        <v>14.18581419</v>
      </c>
      <c r="X133">
        <f ca="1">IF(AND(ISNUMBER($X$379),$B$258=1),$X$379,HLOOKUP(INDIRECT(ADDRESS(2,COLUMN())),OFFSET($BN$2,0,0,ROW()-1,60),ROW()-1,FALSE))</f>
        <v>9.2912111240000002</v>
      </c>
      <c r="Y133">
        <f ca="1">IF(AND(ISNUMBER($Y$379),$B$258=1),$Y$379,HLOOKUP(INDIRECT(ADDRESS(2,COLUMN())),OFFSET($BN$2,0,0,ROW()-1,60),ROW()-1,FALSE))</f>
        <v>8.7159999460000002</v>
      </c>
      <c r="Z133">
        <f ca="1">IF(AND(ISNUMBER($Z$379),$B$258=1),$Z$379,HLOOKUP(INDIRECT(ADDRESS(2,COLUMN())),OFFSET($BN$2,0,0,ROW()-1,60),ROW()-1,FALSE))</f>
        <v>16.36856796</v>
      </c>
      <c r="AA133">
        <f ca="1">IF(AND(ISNUMBER($AA$379),$B$258=1),$AA$379,HLOOKUP(INDIRECT(ADDRESS(2,COLUMN())),OFFSET($BN$2,0,0,ROW()-1,60),ROW()-1,FALSE))</f>
        <v>10.0633541</v>
      </c>
      <c r="AB133">
        <f ca="1">IF(AND(ISNUMBER($AB$379),$B$258=1),$AB$379,HLOOKUP(INDIRECT(ADDRESS(2,COLUMN())),OFFSET($BN$2,0,0,ROW()-1,60),ROW()-1,FALSE))</f>
        <v>11.654311330000001</v>
      </c>
      <c r="AC133">
        <f ca="1">IF(AND(ISNUMBER($AC$379),$B$258=1),$AC$379,HLOOKUP(INDIRECT(ADDRESS(2,COLUMN())),OFFSET($BN$2,0,0,ROW()-1,60),ROW()-1,FALSE))</f>
        <v>77.456312089999997</v>
      </c>
      <c r="AD133">
        <f ca="1">IF(AND(ISNUMBER($AD$379),$B$258=1),$AD$379,HLOOKUP(INDIRECT(ADDRESS(2,COLUMN())),OFFSET($BN$2,0,0,ROW()-1,60),ROW()-1,FALSE))</f>
        <v>95.178992719999997</v>
      </c>
      <c r="AE133">
        <f ca="1">IF(AND(ISNUMBER($AE$379),$B$258=1),$AE$379,HLOOKUP(INDIRECT(ADDRESS(2,COLUMN())),OFFSET($BN$2,0,0,ROW()-1,60),ROW()-1,FALSE))</f>
        <v>89.996739270000006</v>
      </c>
      <c r="AF133">
        <f ca="1">IF(AND(ISNUMBER($AF$379),$B$258=1),$AF$379,HLOOKUP(INDIRECT(ADDRESS(2,COLUMN())),OFFSET($BN$2,0,0,ROW()-1,60),ROW()-1,FALSE))</f>
        <v>88.963602059999999</v>
      </c>
      <c r="AG133">
        <f ca="1">IF(AND(ISNUMBER($AG$379),$B$258=1),$AG$379,HLOOKUP(INDIRECT(ADDRESS(2,COLUMN())),OFFSET($BN$2,0,0,ROW()-1,60),ROW()-1,FALSE))</f>
        <v>25.8992149</v>
      </c>
      <c r="AH133">
        <f ca="1">IF(AND(ISNUMBER($AH$379),$B$258=1),$AH$379,HLOOKUP(INDIRECT(ADDRESS(2,COLUMN())),OFFSET($BN$2,0,0,ROW()-1,60),ROW()-1,FALSE))</f>
        <v>10.97395165</v>
      </c>
      <c r="AI133">
        <f ca="1">IF(AND(ISNUMBER($AI$379),$B$258=1),$AI$379,HLOOKUP(INDIRECT(ADDRESS(2,COLUMN())),OFFSET($BN$2,0,0,ROW()-1,60),ROW()-1,FALSE))</f>
        <v>16.118081180000001</v>
      </c>
      <c r="AJ133">
        <f ca="1">IF(AND(ISNUMBER($AJ$379),$B$258=1),$AJ$379,HLOOKUP(INDIRECT(ADDRESS(2,COLUMN())),OFFSET($BN$2,0,0,ROW()-1,60),ROW()-1,FALSE))</f>
        <v>15.242021859999999</v>
      </c>
      <c r="AK133">
        <f ca="1">IF(AND(ISNUMBER($AK$379),$B$258=1),$AK$379,HLOOKUP(INDIRECT(ADDRESS(2,COLUMN())),OFFSET($BN$2,0,0,ROW()-1,60),ROW()-1,FALSE))</f>
        <v>5.7016217749999996</v>
      </c>
      <c r="AL133">
        <f ca="1">IF(AND(ISNUMBER($AL$379),$B$258=1),$AL$379,HLOOKUP(INDIRECT(ADDRESS(2,COLUMN())),OFFSET($BN$2,0,0,ROW()-1,60),ROW()-1,FALSE))</f>
        <v>5.5114800260000001</v>
      </c>
      <c r="AM133">
        <f ca="1">IF(AND(ISNUMBER($AM$379),$B$258=1),$AM$379,HLOOKUP(INDIRECT(ADDRESS(2,COLUMN())),OFFSET($BN$2,0,0,ROW()-1,60),ROW()-1,FALSE))</f>
        <v>2.627852603</v>
      </c>
      <c r="AN133">
        <f ca="1">IF(AND(ISNUMBER($AN$379),$B$258=1),$AN$379,HLOOKUP(INDIRECT(ADDRESS(2,COLUMN())),OFFSET($BN$2,0,0,ROW()-1,60),ROW()-1,FALSE))</f>
        <v>4.6608681560000003</v>
      </c>
      <c r="AO133">
        <f ca="1">IF(AND(ISNUMBER($AO$379),$B$258=1),$AO$379,HLOOKUP(INDIRECT(ADDRESS(2,COLUMN())),OFFSET($BN$2,0,0,ROW()-1,60),ROW()-1,FALSE))</f>
        <v>0.346005126</v>
      </c>
      <c r="AP133">
        <f ca="1">IF(AND(ISNUMBER($AP$379),$B$258=1),$AP$379,HLOOKUP(INDIRECT(ADDRESS(2,COLUMN())),OFFSET($BN$2,0,0,ROW()-1,60),ROW()-1,FALSE))</f>
        <v>-0.37293093100000002</v>
      </c>
      <c r="AQ133">
        <f ca="1">IF(AND(ISNUMBER($AQ$379),$B$258=1),$AQ$379,HLOOKUP(INDIRECT(ADDRESS(2,COLUMN())),OFFSET($BN$2,0,0,ROW()-1,60),ROW()-1,FALSE))</f>
        <v>0.33503383399999997</v>
      </c>
      <c r="AR133">
        <f ca="1">IF(AND(ISNUMBER($AR$379),$B$258=1),$AR$379,HLOOKUP(INDIRECT(ADDRESS(2,COLUMN())),OFFSET($BN$2,0,0,ROW()-1,60),ROW()-1,FALSE))</f>
        <v>-1.879791414</v>
      </c>
      <c r="AS133">
        <f ca="1">IF(AND(ISNUMBER($AS$379),$B$258=1),$AS$379,HLOOKUP(INDIRECT(ADDRESS(2,COLUMN())),OFFSET($BN$2,0,0,ROW()-1,60),ROW()-1,FALSE))</f>
        <v>11.25067327</v>
      </c>
      <c r="AT133">
        <f ca="1">IF(AND(ISNUMBER($AT$379),$B$258=1),$AT$379,HLOOKUP(INDIRECT(ADDRESS(2,COLUMN())),OFFSET($BN$2,0,0,ROW()-1,60),ROW()-1,FALSE))</f>
        <v>30.350767739999998</v>
      </c>
      <c r="AU133">
        <f ca="1">IF(AND(ISNUMBER($AU$379),$B$258=1),$AU$379,HLOOKUP(INDIRECT(ADDRESS(2,COLUMN())),OFFSET($BN$2,0,0,ROW()-1,60),ROW()-1,FALSE))</f>
        <v>39.152183909999998</v>
      </c>
      <c r="AV133">
        <f ca="1">IF(AND(ISNUMBER($AV$379),$B$258=1),$AV$379,HLOOKUP(INDIRECT(ADDRESS(2,COLUMN())),OFFSET($BN$2,0,0,ROW()-1,60),ROW()-1,FALSE))</f>
        <v>46.13192085</v>
      </c>
      <c r="AW133">
        <f ca="1">IF(AND(ISNUMBER($AW$379),$B$258=1),$AW$379,HLOOKUP(INDIRECT(ADDRESS(2,COLUMN())),OFFSET($BN$2,0,0,ROW()-1,60),ROW()-1,FALSE))</f>
        <v>46.77298648</v>
      </c>
      <c r="AX133">
        <f ca="1">IF(AND(ISNUMBER($AX$379),$B$258=1),$AX$379,HLOOKUP(INDIRECT(ADDRESS(2,COLUMN())),OFFSET($BN$2,0,0,ROW()-1,60),ROW()-1,FALSE))</f>
        <v>20.359187760000001</v>
      </c>
      <c r="AY133">
        <f ca="1">IF(AND(ISNUMBER($AY$379),$B$258=1),$AY$379,HLOOKUP(INDIRECT(ADDRESS(2,COLUMN())),OFFSET($BN$2,0,0,ROW()-1,60),ROW()-1,FALSE))</f>
        <v>13.79331994</v>
      </c>
      <c r="AZ133">
        <f ca="1">IF(AND(ISNUMBER($AZ$379),$B$258=1),$AZ$379,HLOOKUP(INDIRECT(ADDRESS(2,COLUMN())),OFFSET($BN$2,0,0,ROW()-1,60),ROW()-1,FALSE))</f>
        <v>11.17989708</v>
      </c>
      <c r="BA133">
        <f ca="1">IF(AND(ISNUMBER($BA$379),$B$258=1),$BA$379,HLOOKUP(INDIRECT(ADDRESS(2,COLUMN())),OFFSET($BN$2,0,0,ROW()-1,60),ROW()-1,FALSE))</f>
        <v>32.31844238</v>
      </c>
      <c r="BB133">
        <f ca="1">IF(AND(ISNUMBER($BB$379),$B$258=1),$BB$379,HLOOKUP(INDIRECT(ADDRESS(2,COLUMN())),OFFSET($BN$2,0,0,ROW()-1,60),ROW()-1,FALSE))</f>
        <v>54.184958270000003</v>
      </c>
      <c r="BC133">
        <f ca="1">IF(AND(ISNUMBER($BC$379),$B$258=1),$BC$379,HLOOKUP(INDIRECT(ADDRESS(2,COLUMN())),OFFSET($BN$2,0,0,ROW()-1,60),ROW()-1,FALSE))</f>
        <v>57.031827669999998</v>
      </c>
      <c r="BD133">
        <f ca="1">IF(AND(ISNUMBER($BD$379),$B$258=1),$BD$379,HLOOKUP(INDIRECT(ADDRESS(2,COLUMN())),OFFSET($BN$2,0,0,ROW()-1,60),ROW()-1,FALSE))</f>
        <v>54.980146150000003</v>
      </c>
      <c r="BE133">
        <f ca="1">IF(AND(ISNUMBER($BE$379),$B$258=1),$BE$379,HLOOKUP(INDIRECT(ADDRESS(2,COLUMN())),OFFSET($BN$2,0,0,ROW()-1,60),ROW()-1,FALSE))</f>
        <v>24.354371539999999</v>
      </c>
      <c r="BF133">
        <f ca="1">IF(AND(ISNUMBER($BF$379),$B$258=1),$BF$379,HLOOKUP(INDIRECT(ADDRESS(2,COLUMN())),OFFSET($BN$2,0,0,ROW()-1,60),ROW()-1,FALSE))</f>
        <v>18.618624350000001</v>
      </c>
      <c r="BG133">
        <f ca="1">IF(AND(ISNUMBER($BG$379),$B$258=1),$BG$379,HLOOKUP(INDIRECT(ADDRESS(2,COLUMN())),OFFSET($BN$2,0,0,ROW()-1,60),ROW()-1,FALSE))</f>
        <v>24.014749909999999</v>
      </c>
      <c r="BH133">
        <f ca="1">IF(AND(ISNUMBER($BH$379),$B$258=1),$BH$379,HLOOKUP(INDIRECT(ADDRESS(2,COLUMN())),OFFSET($BN$2,0,0,ROW()-1,60),ROW()-1,FALSE))</f>
        <v>22.47491892</v>
      </c>
      <c r="BI133">
        <f ca="1">IF(AND(ISNUMBER($BI$379),$B$258=1),$BI$379,HLOOKUP(INDIRECT(ADDRESS(2,COLUMN())),OFFSET($BN$2,0,0,ROW()-1,60),ROW()-1,FALSE))</f>
        <v>25.333130449999999</v>
      </c>
      <c r="BJ133">
        <f ca="1">IF(AND(ISNUMBER($BJ$379),$B$258=1),$BJ$379,HLOOKUP(INDIRECT(ADDRESS(2,COLUMN())),OFFSET($BN$2,0,0,ROW()-1,60),ROW()-1,FALSE))</f>
        <v>16.491867389999999</v>
      </c>
      <c r="BK133">
        <f ca="1">IF(AND(ISNUMBER($BK$379),$B$258=1),$BK$379,HLOOKUP(INDIRECT(ADDRESS(2,COLUMN())),OFFSET($BN$2,0,0,ROW()-1,60),ROW()-1,FALSE))</f>
        <v>8.6092496619999999</v>
      </c>
      <c r="BL133">
        <f ca="1">IF(AND(ISNUMBER($BL$379),$B$258=1),$BL$379,HLOOKUP(INDIRECT(ADDRESS(2,COLUMN())),OFFSET($BN$2,0,0,ROW()-1,60),ROW()-1,FALSE))</f>
        <v>9.8543166709999994</v>
      </c>
      <c r="BM133">
        <f ca="1">IF(AND(ISNUMBER($BM$379),$B$258=1),$BM$379,HLOOKUP(INDIRECT(ADDRESS(2,COLUMN())),OFFSET($BN$2,0,0,ROW()-1,60),ROW()-1,FALSE))</f>
        <v>4.4620554979999998</v>
      </c>
      <c r="BN133" t="str">
        <f>""</f>
        <v/>
      </c>
      <c r="BO133">
        <f>-0.859710506</f>
        <v>-0.85971050599999999</v>
      </c>
      <c r="BP133">
        <f>3.522899692</f>
        <v>3.5228996920000002</v>
      </c>
      <c r="BQ133">
        <f>5.27285511</f>
        <v>5.2728551100000001</v>
      </c>
      <c r="BR133">
        <f>4.27969305</f>
        <v>4.2796930499999997</v>
      </c>
      <c r="BS133">
        <f>4.681086437</f>
        <v>4.6810864370000003</v>
      </c>
      <c r="BT133">
        <f>2.844846483</f>
        <v>2.844846483</v>
      </c>
      <c r="BU133">
        <f>6.380936718</f>
        <v>6.3809367180000001</v>
      </c>
      <c r="BV133">
        <f>7.074105477</f>
        <v>7.0741054769999998</v>
      </c>
      <c r="BW133">
        <f>16.65670125</f>
        <v>16.656701250000001</v>
      </c>
      <c r="BX133">
        <f>19.72752525</f>
        <v>19.727525249999999</v>
      </c>
      <c r="BY133">
        <f>-0.855042585</f>
        <v>-0.85504258499999997</v>
      </c>
      <c r="BZ133">
        <f>-0.116307956</f>
        <v>-0.116307956</v>
      </c>
      <c r="CA133">
        <f>-7.097723896</f>
        <v>-7.0977238959999998</v>
      </c>
      <c r="CB133">
        <f>-6.558165171</f>
        <v>-6.5581651709999997</v>
      </c>
      <c r="CC133">
        <f>12.17917718</f>
        <v>12.17917718</v>
      </c>
      <c r="CD133">
        <f>11.09549963</f>
        <v>11.095499630000001</v>
      </c>
      <c r="CE133">
        <f>14.18581419</f>
        <v>14.18581419</v>
      </c>
      <c r="CF133">
        <f>9.291211124</f>
        <v>9.2912111240000002</v>
      </c>
      <c r="CG133">
        <f>8.715999946</f>
        <v>8.7159999460000002</v>
      </c>
      <c r="CH133">
        <f>16.36856796</f>
        <v>16.36856796</v>
      </c>
      <c r="CI133">
        <f>10.0633541</f>
        <v>10.0633541</v>
      </c>
      <c r="CJ133">
        <f>11.65431133</f>
        <v>11.654311330000001</v>
      </c>
      <c r="CK133">
        <f>77.45631209</f>
        <v>77.456312089999997</v>
      </c>
      <c r="CL133">
        <f>95.17899272</f>
        <v>95.178992719999997</v>
      </c>
      <c r="CM133">
        <f>89.99673927</f>
        <v>89.996739270000006</v>
      </c>
      <c r="CN133">
        <f>88.96360206</f>
        <v>88.963602059999999</v>
      </c>
      <c r="CO133">
        <f>25.8992149</f>
        <v>25.8992149</v>
      </c>
      <c r="CP133">
        <f>10.97395165</f>
        <v>10.97395165</v>
      </c>
      <c r="CQ133">
        <f>16.11808118</f>
        <v>16.118081180000001</v>
      </c>
      <c r="CR133">
        <f>15.24202186</f>
        <v>15.242021859999999</v>
      </c>
      <c r="CS133">
        <f>5.701621775</f>
        <v>5.7016217749999996</v>
      </c>
      <c r="CT133">
        <f>5.511480026</f>
        <v>5.5114800260000001</v>
      </c>
      <c r="CU133">
        <f>2.627852603</f>
        <v>2.627852603</v>
      </c>
      <c r="CV133">
        <f>4.660868156</f>
        <v>4.6608681560000003</v>
      </c>
      <c r="CW133">
        <f>0.346005126</f>
        <v>0.346005126</v>
      </c>
      <c r="CX133">
        <f>-0.372930931</f>
        <v>-0.37293093100000002</v>
      </c>
      <c r="CY133">
        <f>0.335033834</f>
        <v>0.33503383399999997</v>
      </c>
      <c r="CZ133">
        <f>-1.879791414</f>
        <v>-1.879791414</v>
      </c>
      <c r="DA133">
        <f>11.25067327</f>
        <v>11.25067327</v>
      </c>
      <c r="DB133">
        <f>30.35076774</f>
        <v>30.350767739999998</v>
      </c>
      <c r="DC133">
        <f>39.15218391</f>
        <v>39.152183909999998</v>
      </c>
      <c r="DD133">
        <f>46.13192085</f>
        <v>46.13192085</v>
      </c>
      <c r="DE133">
        <f>46.77298648</f>
        <v>46.77298648</v>
      </c>
      <c r="DF133">
        <f>20.35918776</f>
        <v>20.359187760000001</v>
      </c>
      <c r="DG133">
        <f>13.79331994</f>
        <v>13.79331994</v>
      </c>
      <c r="DH133">
        <f>11.17989708</f>
        <v>11.17989708</v>
      </c>
      <c r="DI133">
        <f>32.31844238</f>
        <v>32.31844238</v>
      </c>
      <c r="DJ133">
        <f>54.18495827</f>
        <v>54.184958270000003</v>
      </c>
      <c r="DK133">
        <f>57.03182767</f>
        <v>57.031827669999998</v>
      </c>
      <c r="DL133">
        <f>54.98014615</f>
        <v>54.980146150000003</v>
      </c>
      <c r="DM133">
        <f>24.35437154</f>
        <v>24.354371539999999</v>
      </c>
      <c r="DN133">
        <f>18.61862435</f>
        <v>18.618624350000001</v>
      </c>
      <c r="DO133">
        <f>24.01474991</f>
        <v>24.014749909999999</v>
      </c>
      <c r="DP133">
        <f>22.47491892</f>
        <v>22.47491892</v>
      </c>
      <c r="DQ133">
        <f>25.33313045</f>
        <v>25.333130449999999</v>
      </c>
      <c r="DR133">
        <f>16.49186739</f>
        <v>16.491867389999999</v>
      </c>
      <c r="DS133">
        <f>8.609249662</f>
        <v>8.6092496619999999</v>
      </c>
      <c r="DT133">
        <f>9.854316671</f>
        <v>9.8543166709999994</v>
      </c>
      <c r="DU133">
        <f>4.462055498</f>
        <v>4.4620554979999998</v>
      </c>
    </row>
    <row r="134" spans="1:125">
      <c r="A134" t="str">
        <f>"    Welltower Inc"</f>
        <v xml:space="preserve">    Welltower Inc</v>
      </c>
      <c r="B134" t="str">
        <f>"HCN US Equity"</f>
        <v>HCN US Equity</v>
      </c>
      <c r="C134" t="str">
        <f t="shared" si="30"/>
        <v>RR551</v>
      </c>
      <c r="D134" t="str">
        <f t="shared" si="31"/>
        <v>NOI_GROWTH</v>
      </c>
      <c r="E134" t="str">
        <f t="shared" si="32"/>
        <v>动态</v>
      </c>
      <c r="F134" t="str">
        <f ca="1">IF(AND(ISNUMBER($F$380),$B$258=1),$F$380,HLOOKUP(INDIRECT(ADDRESS(2,COLUMN())),OFFSET($BN$2,0,0,ROW()-1,60),ROW()-1,FALSE))</f>
        <v/>
      </c>
      <c r="G134">
        <f ca="1">IF(AND(ISNUMBER($G$380),$B$258=1),$G$380,HLOOKUP(INDIRECT(ADDRESS(2,COLUMN())),OFFSET($BN$2,0,0,ROW()-1,60),ROW()-1,FALSE))</f>
        <v>-1.7886069849999999</v>
      </c>
      <c r="H134">
        <f ca="1">IF(AND(ISNUMBER($H$380),$B$258=1),$H$380,HLOOKUP(INDIRECT(ADDRESS(2,COLUMN())),OFFSET($BN$2,0,0,ROW()-1,60),ROW()-1,FALSE))</f>
        <v>-6.2730199190000002</v>
      </c>
      <c r="I134">
        <f ca="1">IF(AND(ISNUMBER($I$380),$B$258=1),$I$380,HLOOKUP(INDIRECT(ADDRESS(2,COLUMN())),OFFSET($BN$2,0,0,ROW()-1,60),ROW()-1,FALSE))</f>
        <v>-8.3299943350000003</v>
      </c>
      <c r="J134">
        <f ca="1">IF(AND(ISNUMBER($J$380),$B$258=1),$J$380,HLOOKUP(INDIRECT(ADDRESS(2,COLUMN())),OFFSET($BN$2,0,0,ROW()-1,60),ROW()-1,FALSE))</f>
        <v>-7.1926656529999997</v>
      </c>
      <c r="K134">
        <f ca="1">IF(AND(ISNUMBER($K$380),$B$258=1),$K$380,HLOOKUP(INDIRECT(ADDRESS(2,COLUMN())),OFFSET($BN$2,0,0,ROW()-1,60),ROW()-1,FALSE))</f>
        <v>-1.3476433670000001</v>
      </c>
      <c r="L134">
        <f ca="1">IF(AND(ISNUMBER($L$380),$B$258=1),$L$380,HLOOKUP(INDIRECT(ADDRESS(2,COLUMN())),OFFSET($BN$2,0,0,ROW()-1,60),ROW()-1,FALSE))</f>
        <v>5.797831607</v>
      </c>
      <c r="M134">
        <f ca="1">IF(AND(ISNUMBER($M$380),$B$258=1),$M$380,HLOOKUP(INDIRECT(ADDRESS(2,COLUMN())),OFFSET($BN$2,0,0,ROW()-1,60),ROW()-1,FALSE))</f>
        <v>8.4655083589999993</v>
      </c>
      <c r="N134">
        <f ca="1">IF(AND(ISNUMBER($N$380),$B$258=1),$N$380,HLOOKUP(INDIRECT(ADDRESS(2,COLUMN())),OFFSET($BN$2,0,0,ROW()-1,60),ROW()-1,FALSE))</f>
        <v>14.63574075</v>
      </c>
      <c r="O134">
        <f ca="1">IF(AND(ISNUMBER($O$380),$B$258=1),$O$380,HLOOKUP(INDIRECT(ADDRESS(2,COLUMN())),OFFSET($BN$2,0,0,ROW()-1,60),ROW()-1,FALSE))</f>
        <v>14.11608234</v>
      </c>
      <c r="P134">
        <f ca="1">IF(AND(ISNUMBER($P$380),$B$258=1),$P$380,HLOOKUP(INDIRECT(ADDRESS(2,COLUMN())),OFFSET($BN$2,0,0,ROW()-1,60),ROW()-1,FALSE))</f>
        <v>13.385666479999999</v>
      </c>
      <c r="Q134">
        <f ca="1">IF(AND(ISNUMBER($Q$380),$B$258=1),$Q$380,HLOOKUP(INDIRECT(ADDRESS(2,COLUMN())),OFFSET($BN$2,0,0,ROW()-1,60),ROW()-1,FALSE))</f>
        <v>13.16277039</v>
      </c>
      <c r="R134">
        <f ca="1">IF(AND(ISNUMBER($R$380),$B$258=1),$R$380,HLOOKUP(INDIRECT(ADDRESS(2,COLUMN())),OFFSET($BN$2,0,0,ROW()-1,60),ROW()-1,FALSE))</f>
        <v>9.8267407359999996</v>
      </c>
      <c r="S134">
        <f ca="1">IF(AND(ISNUMBER($S$380),$B$258=1),$S$380,HLOOKUP(INDIRECT(ADDRESS(2,COLUMN())),OFFSET($BN$2,0,0,ROW()-1,60),ROW()-1,FALSE))</f>
        <v>10.10511421</v>
      </c>
      <c r="T134">
        <f ca="1">IF(AND(ISNUMBER($T$380),$B$258=1),$T$380,HLOOKUP(INDIRECT(ADDRESS(2,COLUMN())),OFFSET($BN$2,0,0,ROW()-1,60),ROW()-1,FALSE))</f>
        <v>11.25097639</v>
      </c>
      <c r="U134">
        <f ca="1">IF(AND(ISNUMBER($U$380),$B$258=1),$U$380,HLOOKUP(INDIRECT(ADDRESS(2,COLUMN())),OFFSET($BN$2,0,0,ROW()-1,60),ROW()-1,FALSE))</f>
        <v>20.3674313</v>
      </c>
      <c r="V134">
        <f ca="1">IF(AND(ISNUMBER($V$380),$B$258=1),$V$380,HLOOKUP(INDIRECT(ADDRESS(2,COLUMN())),OFFSET($BN$2,0,0,ROW()-1,60),ROW()-1,FALSE))</f>
        <v>22.91880025</v>
      </c>
      <c r="W134">
        <f ca="1">IF(AND(ISNUMBER($W$380),$B$258=1),$W$380,HLOOKUP(INDIRECT(ADDRESS(2,COLUMN())),OFFSET($BN$2,0,0,ROW()-1,60),ROW()-1,FALSE))</f>
        <v>38.983664589999997</v>
      </c>
      <c r="X134">
        <f ca="1">IF(AND(ISNUMBER($X$380),$B$258=1),$X$380,HLOOKUP(INDIRECT(ADDRESS(2,COLUMN())),OFFSET($BN$2,0,0,ROW()-1,60),ROW()-1,FALSE))</f>
        <v>40.508367810000003</v>
      </c>
      <c r="Y134">
        <f ca="1">IF(AND(ISNUMBER($Y$380),$B$258=1),$Y$380,HLOOKUP(INDIRECT(ADDRESS(2,COLUMN())),OFFSET($BN$2,0,0,ROW()-1,60),ROW()-1,FALSE))</f>
        <v>33.52116899</v>
      </c>
      <c r="Z134">
        <f ca="1">IF(AND(ISNUMBER($Z$380),$B$258=1),$Z$380,HLOOKUP(INDIRECT(ADDRESS(2,COLUMN())),OFFSET($BN$2,0,0,ROW()-1,60),ROW()-1,FALSE))</f>
        <v>31.419489710000001</v>
      </c>
      <c r="AA134">
        <f ca="1">IF(AND(ISNUMBER($AA$380),$B$258=1),$AA$380,HLOOKUP(INDIRECT(ADDRESS(2,COLUMN())),OFFSET($BN$2,0,0,ROW()-1,60),ROW()-1,FALSE))</f>
        <v>22.113244080000001</v>
      </c>
      <c r="AB134">
        <f ca="1">IF(AND(ISNUMBER($AB$380),$B$258=1),$AB$380,HLOOKUP(INDIRECT(ADDRESS(2,COLUMN())),OFFSET($BN$2,0,0,ROW()-1,60),ROW()-1,FALSE))</f>
        <v>19.396284349999998</v>
      </c>
      <c r="AC134">
        <f ca="1">IF(AND(ISNUMBER($AC$380),$B$258=1),$AC$380,HLOOKUP(INDIRECT(ADDRESS(2,COLUMN())),OFFSET($BN$2,0,0,ROW()-1,60),ROW()-1,FALSE))</f>
        <v>16.666997899999998</v>
      </c>
      <c r="AD134">
        <f ca="1">IF(AND(ISNUMBER($AD$380),$B$258=1),$AD$380,HLOOKUP(INDIRECT(ADDRESS(2,COLUMN())),OFFSET($BN$2,0,0,ROW()-1,60),ROW()-1,FALSE))</f>
        <v>66.627698910000007</v>
      </c>
      <c r="AE134">
        <f ca="1">IF(AND(ISNUMBER($AE$380),$B$258=1),$AE$380,HLOOKUP(INDIRECT(ADDRESS(2,COLUMN())),OFFSET($BN$2,0,0,ROW()-1,60),ROW()-1,FALSE))</f>
        <v>80.675909279999999</v>
      </c>
      <c r="AF134">
        <f ca="1">IF(AND(ISNUMBER($AF$380),$B$258=1),$AF$380,HLOOKUP(INDIRECT(ADDRESS(2,COLUMN())),OFFSET($BN$2,0,0,ROW()-1,60),ROW()-1,FALSE))</f>
        <v>87.71814913</v>
      </c>
      <c r="AG134">
        <f ca="1">IF(AND(ISNUMBER($AG$380),$B$258=1),$AG$380,HLOOKUP(INDIRECT(ADDRESS(2,COLUMN())),OFFSET($BN$2,0,0,ROW()-1,60),ROW()-1,FALSE))</f>
        <v>93.835616439999995</v>
      </c>
      <c r="AH134">
        <f ca="1">IF(AND(ISNUMBER($AH$380),$B$258=1),$AH$380,HLOOKUP(INDIRECT(ADDRESS(2,COLUMN())),OFFSET($BN$2,0,0,ROW()-1,60),ROW()-1,FALSE))</f>
        <v>36.508711939999998</v>
      </c>
      <c r="AI134">
        <f ca="1">IF(AND(ISNUMBER($AI$380),$B$258=1),$AI$380,HLOOKUP(INDIRECT(ADDRESS(2,COLUMN())),OFFSET($BN$2,0,0,ROW()-1,60),ROW()-1,FALSE))</f>
        <v>22.91809524</v>
      </c>
      <c r="AJ134">
        <f ca="1">IF(AND(ISNUMBER($AJ$380),$B$258=1),$AJ$380,HLOOKUP(INDIRECT(ADDRESS(2,COLUMN())),OFFSET($BN$2,0,0,ROW()-1,60),ROW()-1,FALSE))</f>
        <v>18.072765390000001</v>
      </c>
      <c r="AK134">
        <f ca="1">IF(AND(ISNUMBER($AK$380),$B$258=1),$AK$380,HLOOKUP(INDIRECT(ADDRESS(2,COLUMN())),OFFSET($BN$2,0,0,ROW()-1,60),ROW()-1,FALSE))</f>
        <v>11.50304113</v>
      </c>
      <c r="AL134">
        <f ca="1">IF(AND(ISNUMBER($AL$380),$B$258=1),$AL$380,HLOOKUP(INDIRECT(ADDRESS(2,COLUMN())),OFFSET($BN$2,0,0,ROW()-1,60),ROW()-1,FALSE))</f>
        <v>5.5517359920000002</v>
      </c>
      <c r="AM134">
        <f ca="1">IF(AND(ISNUMBER($AM$380),$B$258=1),$AM$380,HLOOKUP(INDIRECT(ADDRESS(2,COLUMN())),OFFSET($BN$2,0,0,ROW()-1,60),ROW()-1,FALSE))</f>
        <v>12.01460339</v>
      </c>
      <c r="AN134">
        <f ca="1">IF(AND(ISNUMBER($AN$380),$B$258=1),$AN$380,HLOOKUP(INDIRECT(ADDRESS(2,COLUMN())),OFFSET($BN$2,0,0,ROW()-1,60),ROW()-1,FALSE))</f>
        <v>1.0261129250000001</v>
      </c>
      <c r="AO134">
        <f ca="1">IF(AND(ISNUMBER($AO$380),$B$258=1),$AO$380,HLOOKUP(INDIRECT(ADDRESS(2,COLUMN())),OFFSET($BN$2,0,0,ROW()-1,60),ROW()-1,FALSE))</f>
        <v>8.3553635919999998</v>
      </c>
      <c r="AP134">
        <f ca="1">IF(AND(ISNUMBER($AP$380),$B$258=1),$AP$380,HLOOKUP(INDIRECT(ADDRESS(2,COLUMN())),OFFSET($BN$2,0,0,ROW()-1,60),ROW()-1,FALSE))</f>
        <v>10.699913430000001</v>
      </c>
      <c r="AQ134">
        <f ca="1">IF(AND(ISNUMBER($AQ$380),$B$258=1),$AQ$380,HLOOKUP(INDIRECT(ADDRESS(2,COLUMN())),OFFSET($BN$2,0,0,ROW()-1,60),ROW()-1,FALSE))</f>
        <v>4.6699751860000003</v>
      </c>
      <c r="AR134">
        <f ca="1">IF(AND(ISNUMBER($AR$380),$B$258=1),$AR$380,HLOOKUP(INDIRECT(ADDRESS(2,COLUMN())),OFFSET($BN$2,0,0,ROW()-1,60),ROW()-1,FALSE))</f>
        <v>13.75190093</v>
      </c>
      <c r="AS134">
        <f ca="1">IF(AND(ISNUMBER($AS$380),$B$258=1),$AS$380,HLOOKUP(INDIRECT(ADDRESS(2,COLUMN())),OFFSET($BN$2,0,0,ROW()-1,60),ROW()-1,FALSE))</f>
        <v>11.4791524</v>
      </c>
      <c r="AT134">
        <f ca="1">IF(AND(ISNUMBER($AT$380),$B$258=1),$AT$380,HLOOKUP(INDIRECT(ADDRESS(2,COLUMN())),OFFSET($BN$2,0,0,ROW()-1,60),ROW()-1,FALSE))</f>
        <v>9.1198820699999992</v>
      </c>
      <c r="AU134">
        <f ca="1">IF(AND(ISNUMBER($AU$380),$B$258=1),$AU$380,HLOOKUP(INDIRECT(ADDRESS(2,COLUMN())),OFFSET($BN$2,0,0,ROW()-1,60),ROW()-1,FALSE))</f>
        <v>25.708082749999999</v>
      </c>
      <c r="AV134">
        <f ca="1">IF(AND(ISNUMBER($AV$380),$B$258=1),$AV$380,HLOOKUP(INDIRECT(ADDRESS(2,COLUMN())),OFFSET($BN$2,0,0,ROW()-1,60),ROW()-1,FALSE))</f>
        <v>38.100043640000003</v>
      </c>
      <c r="AW134">
        <f ca="1">IF(AND(ISNUMBER($AW$380),$B$258=1),$AW$380,HLOOKUP(INDIRECT(ADDRESS(2,COLUMN())),OFFSET($BN$2,0,0,ROW()-1,60),ROW()-1,FALSE))</f>
        <v>34.294911990000003</v>
      </c>
      <c r="AX134">
        <f ca="1">IF(AND(ISNUMBER($AX$380),$B$258=1),$AX$380,HLOOKUP(INDIRECT(ADDRESS(2,COLUMN())),OFFSET($BN$2,0,0,ROW()-1,60),ROW()-1,FALSE))</f>
        <v>34.950966659999999</v>
      </c>
      <c r="AY134">
        <f ca="1">IF(AND(ISNUMBER($AY$380),$B$258=1),$AY$380,HLOOKUP(INDIRECT(ADDRESS(2,COLUMN())),OFFSET($BN$2,0,0,ROW()-1,60),ROW()-1,FALSE))</f>
        <v>19.140775980000001</v>
      </c>
      <c r="AZ134" t="str">
        <f ca="1">IF(AND(ISNUMBER($AZ$380),$B$258=1),$AZ$380,HLOOKUP(INDIRECT(ADDRESS(2,COLUMN())),OFFSET($BN$2,0,0,ROW()-1,60),ROW()-1,FALSE))</f>
        <v/>
      </c>
      <c r="BA134" t="str">
        <f ca="1">IF(AND(ISNUMBER($BA$380),$B$258=1),$BA$380,HLOOKUP(INDIRECT(ADDRESS(2,COLUMN())),OFFSET($BN$2,0,0,ROW()-1,60),ROW()-1,FALSE))</f>
        <v/>
      </c>
      <c r="BB134" t="str">
        <f ca="1">IF(AND(ISNUMBER($BB$380),$B$258=1),$BB$380,HLOOKUP(INDIRECT(ADDRESS(2,COLUMN())),OFFSET($BN$2,0,0,ROW()-1,60),ROW()-1,FALSE))</f>
        <v/>
      </c>
      <c r="BC134">
        <f ca="1">IF(AND(ISNUMBER($BC$380),$B$258=1),$BC$380,HLOOKUP(INDIRECT(ADDRESS(2,COLUMN())),OFFSET($BN$2,0,0,ROW()-1,60),ROW()-1,FALSE))</f>
        <v>31.053964539999999</v>
      </c>
      <c r="BD134" t="str">
        <f ca="1">IF(AND(ISNUMBER($BD$380),$B$258=1),$BD$380,HLOOKUP(INDIRECT(ADDRESS(2,COLUMN())),OFFSET($BN$2,0,0,ROW()-1,60),ROW()-1,FALSE))</f>
        <v/>
      </c>
      <c r="BE134" t="str">
        <f ca="1">IF(AND(ISNUMBER($BE$380),$B$258=1),$BE$380,HLOOKUP(INDIRECT(ADDRESS(2,COLUMN())),OFFSET($BN$2,0,0,ROW()-1,60),ROW()-1,FALSE))</f>
        <v/>
      </c>
      <c r="BF134" t="str">
        <f ca="1">IF(AND(ISNUMBER($BF$380),$B$258=1),$BF$380,HLOOKUP(INDIRECT(ADDRESS(2,COLUMN())),OFFSET($BN$2,0,0,ROW()-1,60),ROW()-1,FALSE))</f>
        <v/>
      </c>
      <c r="BG134">
        <f ca="1">IF(AND(ISNUMBER($BG$380),$B$258=1),$BG$380,HLOOKUP(INDIRECT(ADDRESS(2,COLUMN())),OFFSET($BN$2,0,0,ROW()-1,60),ROW()-1,FALSE))</f>
        <v>-6.243152147</v>
      </c>
      <c r="BH134" t="str">
        <f ca="1">IF(AND(ISNUMBER($BH$380),$B$258=1),$BH$380,HLOOKUP(INDIRECT(ADDRESS(2,COLUMN())),OFFSET($BN$2,0,0,ROW()-1,60),ROW()-1,FALSE))</f>
        <v/>
      </c>
      <c r="BI134" t="str">
        <f ca="1">IF(AND(ISNUMBER($BI$380),$B$258=1),$BI$380,HLOOKUP(INDIRECT(ADDRESS(2,COLUMN())),OFFSET($BN$2,0,0,ROW()-1,60),ROW()-1,FALSE))</f>
        <v/>
      </c>
      <c r="BJ134" t="str">
        <f ca="1">IF(AND(ISNUMBER($BJ$380),$B$258=1),$BJ$380,HLOOKUP(INDIRECT(ADDRESS(2,COLUMN())),OFFSET($BN$2,0,0,ROW()-1,60),ROW()-1,FALSE))</f>
        <v/>
      </c>
      <c r="BK134">
        <f ca="1">IF(AND(ISNUMBER($BK$380),$B$258=1),$BK$380,HLOOKUP(INDIRECT(ADDRESS(2,COLUMN())),OFFSET($BN$2,0,0,ROW()-1,60),ROW()-1,FALSE))</f>
        <v>47.096907649999999</v>
      </c>
      <c r="BL134" t="str">
        <f ca="1">IF(AND(ISNUMBER($BL$380),$B$258=1),$BL$380,HLOOKUP(INDIRECT(ADDRESS(2,COLUMN())),OFFSET($BN$2,0,0,ROW()-1,60),ROW()-1,FALSE))</f>
        <v/>
      </c>
      <c r="BM134" t="str">
        <f ca="1">IF(AND(ISNUMBER($BM$380),$B$258=1),$BM$380,HLOOKUP(INDIRECT(ADDRESS(2,COLUMN())),OFFSET($BN$2,0,0,ROW()-1,60),ROW()-1,FALSE))</f>
        <v/>
      </c>
      <c r="BN134" t="str">
        <f>""</f>
        <v/>
      </c>
      <c r="BO134">
        <f>-1.788606985</f>
        <v>-1.7886069849999999</v>
      </c>
      <c r="BP134">
        <f>-6.273019919</f>
        <v>-6.2730199190000002</v>
      </c>
      <c r="BQ134">
        <f>-8.329994335</f>
        <v>-8.3299943350000003</v>
      </c>
      <c r="BR134">
        <f>-7.192665653</f>
        <v>-7.1926656529999997</v>
      </c>
      <c r="BS134">
        <f>-1.347643367</f>
        <v>-1.3476433670000001</v>
      </c>
      <c r="BT134">
        <f>5.797831607</f>
        <v>5.797831607</v>
      </c>
      <c r="BU134">
        <f>8.465508359</f>
        <v>8.4655083589999993</v>
      </c>
      <c r="BV134">
        <f>14.63574075</f>
        <v>14.63574075</v>
      </c>
      <c r="BW134">
        <f>14.11608234</f>
        <v>14.11608234</v>
      </c>
      <c r="BX134">
        <f>13.38566648</f>
        <v>13.385666479999999</v>
      </c>
      <c r="BY134">
        <f>13.16277039</f>
        <v>13.16277039</v>
      </c>
      <c r="BZ134">
        <f>9.826740736</f>
        <v>9.8267407359999996</v>
      </c>
      <c r="CA134">
        <f>10.10511421</f>
        <v>10.10511421</v>
      </c>
      <c r="CB134">
        <f>11.25097639</f>
        <v>11.25097639</v>
      </c>
      <c r="CC134">
        <f>20.3674313</f>
        <v>20.3674313</v>
      </c>
      <c r="CD134">
        <f>22.91880025</f>
        <v>22.91880025</v>
      </c>
      <c r="CE134">
        <f>38.98366459</f>
        <v>38.983664589999997</v>
      </c>
      <c r="CF134">
        <f>40.50836781</f>
        <v>40.508367810000003</v>
      </c>
      <c r="CG134">
        <f>33.52116899</f>
        <v>33.52116899</v>
      </c>
      <c r="CH134">
        <f>31.41948971</f>
        <v>31.419489710000001</v>
      </c>
      <c r="CI134">
        <f>22.11324408</f>
        <v>22.113244080000001</v>
      </c>
      <c r="CJ134">
        <f>19.39628435</f>
        <v>19.396284349999998</v>
      </c>
      <c r="CK134">
        <f>16.6669979</f>
        <v>16.666997899999998</v>
      </c>
      <c r="CL134">
        <f>66.62769891</f>
        <v>66.627698910000007</v>
      </c>
      <c r="CM134">
        <f>80.67590928</f>
        <v>80.675909279999999</v>
      </c>
      <c r="CN134">
        <f>87.71814913</f>
        <v>87.71814913</v>
      </c>
      <c r="CO134">
        <f>93.83561644</f>
        <v>93.835616439999995</v>
      </c>
      <c r="CP134">
        <f>36.50871194</f>
        <v>36.508711939999998</v>
      </c>
      <c r="CQ134">
        <f>22.91809524</f>
        <v>22.91809524</v>
      </c>
      <c r="CR134">
        <f>18.07276539</f>
        <v>18.072765390000001</v>
      </c>
      <c r="CS134">
        <f>11.50304113</f>
        <v>11.50304113</v>
      </c>
      <c r="CT134">
        <f>5.551735992</f>
        <v>5.5517359920000002</v>
      </c>
      <c r="CU134">
        <f>12.01460339</f>
        <v>12.01460339</v>
      </c>
      <c r="CV134">
        <f>1.026112925</f>
        <v>1.0261129250000001</v>
      </c>
      <c r="CW134">
        <f>8.355363592</f>
        <v>8.3553635919999998</v>
      </c>
      <c r="CX134">
        <f>10.69991343</f>
        <v>10.699913430000001</v>
      </c>
      <c r="CY134">
        <f>4.669975186</f>
        <v>4.6699751860000003</v>
      </c>
      <c r="CZ134">
        <f>13.75190093</f>
        <v>13.75190093</v>
      </c>
      <c r="DA134">
        <f>11.4791524</f>
        <v>11.4791524</v>
      </c>
      <c r="DB134">
        <f>9.11988207</f>
        <v>9.1198820699999992</v>
      </c>
      <c r="DC134">
        <f>25.70808275</f>
        <v>25.708082749999999</v>
      </c>
      <c r="DD134">
        <f>38.10004364</f>
        <v>38.100043640000003</v>
      </c>
      <c r="DE134">
        <f>34.29491199</f>
        <v>34.294911990000003</v>
      </c>
      <c r="DF134">
        <f>34.95096666</f>
        <v>34.950966659999999</v>
      </c>
      <c r="DG134">
        <f>19.14077598</f>
        <v>19.140775980000001</v>
      </c>
      <c r="DH134" t="str">
        <f>""</f>
        <v/>
      </c>
      <c r="DI134" t="str">
        <f>""</f>
        <v/>
      </c>
      <c r="DJ134" t="str">
        <f>""</f>
        <v/>
      </c>
      <c r="DK134">
        <f>31.05396454</f>
        <v>31.053964539999999</v>
      </c>
      <c r="DL134" t="str">
        <f>""</f>
        <v/>
      </c>
      <c r="DM134" t="str">
        <f>""</f>
        <v/>
      </c>
      <c r="DN134" t="str">
        <f>""</f>
        <v/>
      </c>
      <c r="DO134">
        <f>-6.243152147</f>
        <v>-6.243152147</v>
      </c>
      <c r="DP134" t="str">
        <f>""</f>
        <v/>
      </c>
      <c r="DQ134" t="str">
        <f>""</f>
        <v/>
      </c>
      <c r="DR134" t="str">
        <f>""</f>
        <v/>
      </c>
      <c r="DS134">
        <f>47.09690765</f>
        <v>47.096907649999999</v>
      </c>
      <c r="DT134" t="str">
        <f>""</f>
        <v/>
      </c>
      <c r="DU134" t="str">
        <f>""</f>
        <v/>
      </c>
    </row>
    <row r="135" spans="1:125">
      <c r="A135" t="str">
        <f>"FFO增长同比(%)"</f>
        <v>FFO增长同比(%)</v>
      </c>
      <c r="B135" t="str">
        <f>""</f>
        <v/>
      </c>
      <c r="E135" t="str">
        <f>"Median"</f>
        <v>Median</v>
      </c>
      <c r="F135" t="str">
        <f ca="1">IF(ISERROR(IF(MEDIAN($F$136:$F$146) = 0, "", MEDIAN($F$136:$F$146))), "", (IF(MEDIAN($F$136:$F$146) = 0, "", MEDIAN($F$136:$F$146))))</f>
        <v/>
      </c>
      <c r="G135" t="str">
        <f ca="1">IF(ISERROR(IF(MEDIAN($G$136:$G$146) = 0, "", MEDIAN($G$136:$G$146))), "", (IF(MEDIAN($G$136:$G$146) = 0, "", MEDIAN($G$136:$G$146))))</f>
        <v/>
      </c>
      <c r="H135" t="str">
        <f ca="1">IF(ISERROR(IF(MEDIAN($H$136:$H$146) = 0, "", MEDIAN($H$136:$H$146))), "", (IF(MEDIAN($H$136:$H$146) = 0, "", MEDIAN($H$136:$H$146))))</f>
        <v/>
      </c>
      <c r="I135" t="str">
        <f ca="1">IF(ISERROR(IF(MEDIAN($I$136:$I$146) = 0, "", MEDIAN($I$136:$I$146))), "", (IF(MEDIAN($I$136:$I$146) = 0, "", MEDIAN($I$136:$I$146))))</f>
        <v/>
      </c>
      <c r="J135" t="str">
        <f ca="1">IF(ISERROR(IF(MEDIAN($J$136:$J$146) = 0, "", MEDIAN($J$136:$J$146))), "", (IF(MEDIAN($J$136:$J$146) = 0, "", MEDIAN($J$136:$J$146))))</f>
        <v/>
      </c>
      <c r="K135" t="str">
        <f ca="1">IF(ISERROR(IF(MEDIAN($K$136:$K$146) = 0, "", MEDIAN($K$136:$K$146))), "", (IF(MEDIAN($K$136:$K$146) = 0, "", MEDIAN($K$136:$K$146))))</f>
        <v/>
      </c>
      <c r="L135" t="str">
        <f ca="1">IF(ISERROR(IF(MEDIAN($L$136:$L$146) = 0, "", MEDIAN($L$136:$L$146))), "", (IF(MEDIAN($L$136:$L$146) = 0, "", MEDIAN($L$136:$L$146))))</f>
        <v/>
      </c>
      <c r="M135" t="str">
        <f ca="1">IF(ISERROR(IF(MEDIAN($M$136:$M$146) = 0, "", MEDIAN($M$136:$M$146))), "", (IF(MEDIAN($M$136:$M$146) = 0, "", MEDIAN($M$136:$M$146))))</f>
        <v/>
      </c>
      <c r="N135" t="str">
        <f ca="1">IF(ISERROR(IF(MEDIAN($N$136:$N$146) = 0, "", MEDIAN($N$136:$N$146))), "", (IF(MEDIAN($N$136:$N$146) = 0, "", MEDIAN($N$136:$N$146))))</f>
        <v/>
      </c>
      <c r="O135" t="str">
        <f ca="1">IF(ISERROR(IF(MEDIAN($O$136:$O$146) = 0, "", MEDIAN($O$136:$O$146))), "", (IF(MEDIAN($O$136:$O$146) = 0, "", MEDIAN($O$136:$O$146))))</f>
        <v/>
      </c>
      <c r="P135" t="str">
        <f ca="1">IF(ISERROR(IF(MEDIAN($P$136:$P$146) = 0, "", MEDIAN($P$136:$P$146))), "", (IF(MEDIAN($P$136:$P$146) = 0, "", MEDIAN($P$136:$P$146))))</f>
        <v/>
      </c>
      <c r="Q135" t="str">
        <f ca="1">IF(ISERROR(IF(MEDIAN($Q$136:$Q$146) = 0, "", MEDIAN($Q$136:$Q$146))), "", (IF(MEDIAN($Q$136:$Q$146) = 0, "", MEDIAN($Q$136:$Q$146))))</f>
        <v/>
      </c>
      <c r="R135" t="str">
        <f ca="1">IF(ISERROR(IF(MEDIAN($R$136:$R$146) = 0, "", MEDIAN($R$136:$R$146))), "", (IF(MEDIAN($R$136:$R$146) = 0, "", MEDIAN($R$136:$R$146))))</f>
        <v/>
      </c>
      <c r="S135" t="str">
        <f ca="1">IF(ISERROR(IF(MEDIAN($S$136:$S$146) = 0, "", MEDIAN($S$136:$S$146))), "", (IF(MEDIAN($S$136:$S$146) = 0, "", MEDIAN($S$136:$S$146))))</f>
        <v/>
      </c>
      <c r="T135" t="str">
        <f ca="1">IF(ISERROR(IF(MEDIAN($T$136:$T$146) = 0, "", MEDIAN($T$136:$T$146))), "", (IF(MEDIAN($T$136:$T$146) = 0, "", MEDIAN($T$136:$T$146))))</f>
        <v/>
      </c>
      <c r="U135" t="str">
        <f ca="1">IF(ISERROR(IF(MEDIAN($U$136:$U$146) = 0, "", MEDIAN($U$136:$U$146))), "", (IF(MEDIAN($U$136:$U$146) = 0, "", MEDIAN($U$136:$U$146))))</f>
        <v/>
      </c>
      <c r="V135" t="str">
        <f ca="1">IF(ISERROR(IF(MEDIAN($V$136:$V$146) = 0, "", MEDIAN($V$136:$V$146))), "", (IF(MEDIAN($V$136:$V$146) = 0, "", MEDIAN($V$136:$V$146))))</f>
        <v/>
      </c>
      <c r="W135" t="str">
        <f ca="1">IF(ISERROR(IF(MEDIAN($W$136:$W$146) = 0, "", MEDIAN($W$136:$W$146))), "", (IF(MEDIAN($W$136:$W$146) = 0, "", MEDIAN($W$136:$W$146))))</f>
        <v/>
      </c>
      <c r="X135" t="str">
        <f ca="1">IF(ISERROR(IF(MEDIAN($X$136:$X$146) = 0, "", MEDIAN($X$136:$X$146))), "", (IF(MEDIAN($X$136:$X$146) = 0, "", MEDIAN($X$136:$X$146))))</f>
        <v/>
      </c>
      <c r="Y135" t="str">
        <f ca="1">IF(ISERROR(IF(MEDIAN($Y$136:$Y$146) = 0, "", MEDIAN($Y$136:$Y$146))), "", (IF(MEDIAN($Y$136:$Y$146) = 0, "", MEDIAN($Y$136:$Y$146))))</f>
        <v/>
      </c>
      <c r="Z135" t="str">
        <f ca="1">IF(ISERROR(IF(MEDIAN($Z$136:$Z$146) = 0, "", MEDIAN($Z$136:$Z$146))), "", (IF(MEDIAN($Z$136:$Z$146) = 0, "", MEDIAN($Z$136:$Z$146))))</f>
        <v/>
      </c>
      <c r="AA135" t="str">
        <f ca="1">IF(ISERROR(IF(MEDIAN($AA$136:$AA$146) = 0, "", MEDIAN($AA$136:$AA$146))), "", (IF(MEDIAN($AA$136:$AA$146) = 0, "", MEDIAN($AA$136:$AA$146))))</f>
        <v/>
      </c>
      <c r="AB135" t="str">
        <f ca="1">IF(ISERROR(IF(MEDIAN($AB$136:$AB$146) = 0, "", MEDIAN($AB$136:$AB$146))), "", (IF(MEDIAN($AB$136:$AB$146) = 0, "", MEDIAN($AB$136:$AB$146))))</f>
        <v/>
      </c>
      <c r="AC135" t="str">
        <f ca="1">IF(ISERROR(IF(MEDIAN($AC$136:$AC$146) = 0, "", MEDIAN($AC$136:$AC$146))), "", (IF(MEDIAN($AC$136:$AC$146) = 0, "", MEDIAN($AC$136:$AC$146))))</f>
        <v/>
      </c>
      <c r="AD135" t="str">
        <f ca="1">IF(ISERROR(IF(MEDIAN($AD$136:$AD$146) = 0, "", MEDIAN($AD$136:$AD$146))), "", (IF(MEDIAN($AD$136:$AD$146) = 0, "", MEDIAN($AD$136:$AD$146))))</f>
        <v/>
      </c>
      <c r="AE135" t="str">
        <f ca="1">IF(ISERROR(IF(MEDIAN($AE$136:$AE$146) = 0, "", MEDIAN($AE$136:$AE$146))), "", (IF(MEDIAN($AE$136:$AE$146) = 0, "", MEDIAN($AE$136:$AE$146))))</f>
        <v/>
      </c>
      <c r="AF135" t="str">
        <f ca="1">IF(ISERROR(IF(MEDIAN($AF$136:$AF$146) = 0, "", MEDIAN($AF$136:$AF$146))), "", (IF(MEDIAN($AF$136:$AF$146) = 0, "", MEDIAN($AF$136:$AF$146))))</f>
        <v/>
      </c>
      <c r="AG135" t="str">
        <f ca="1">IF(ISERROR(IF(MEDIAN($AG$136:$AG$146) = 0, "", MEDIAN($AG$136:$AG$146))), "", (IF(MEDIAN($AG$136:$AG$146) = 0, "", MEDIAN($AG$136:$AG$146))))</f>
        <v/>
      </c>
      <c r="AH135" t="str">
        <f ca="1">IF(ISERROR(IF(MEDIAN($AH$136:$AH$146) = 0, "", MEDIAN($AH$136:$AH$146))), "", (IF(MEDIAN($AH$136:$AH$146) = 0, "", MEDIAN($AH$136:$AH$146))))</f>
        <v/>
      </c>
      <c r="AI135" t="str">
        <f ca="1">IF(ISERROR(IF(MEDIAN($AI$136:$AI$146) = 0, "", MEDIAN($AI$136:$AI$146))), "", (IF(MEDIAN($AI$136:$AI$146) = 0, "", MEDIAN($AI$136:$AI$146))))</f>
        <v/>
      </c>
      <c r="AJ135" t="str">
        <f ca="1">IF(ISERROR(IF(MEDIAN($AJ$136:$AJ$146) = 0, "", MEDIAN($AJ$136:$AJ$146))), "", (IF(MEDIAN($AJ$136:$AJ$146) = 0, "", MEDIAN($AJ$136:$AJ$146))))</f>
        <v/>
      </c>
      <c r="AK135" t="str">
        <f ca="1">IF(ISERROR(IF(MEDIAN($AK$136:$AK$146) = 0, "", MEDIAN($AK$136:$AK$146))), "", (IF(MEDIAN($AK$136:$AK$146) = 0, "", MEDIAN($AK$136:$AK$146))))</f>
        <v/>
      </c>
      <c r="AL135" t="str">
        <f ca="1">IF(ISERROR(IF(MEDIAN($AL$136:$AL$146) = 0, "", MEDIAN($AL$136:$AL$146))), "", (IF(MEDIAN($AL$136:$AL$146) = 0, "", MEDIAN($AL$136:$AL$146))))</f>
        <v/>
      </c>
      <c r="AM135" t="str">
        <f ca="1">IF(ISERROR(IF(MEDIAN($AM$136:$AM$146) = 0, "", MEDIAN($AM$136:$AM$146))), "", (IF(MEDIAN($AM$136:$AM$146) = 0, "", MEDIAN($AM$136:$AM$146))))</f>
        <v/>
      </c>
      <c r="AN135" t="str">
        <f ca="1">IF(ISERROR(IF(MEDIAN($AN$136:$AN$146) = 0, "", MEDIAN($AN$136:$AN$146))), "", (IF(MEDIAN($AN$136:$AN$146) = 0, "", MEDIAN($AN$136:$AN$146))))</f>
        <v/>
      </c>
      <c r="AO135" t="str">
        <f ca="1">IF(ISERROR(IF(MEDIAN($AO$136:$AO$146) = 0, "", MEDIAN($AO$136:$AO$146))), "", (IF(MEDIAN($AO$136:$AO$146) = 0, "", MEDIAN($AO$136:$AO$146))))</f>
        <v/>
      </c>
      <c r="AP135" t="str">
        <f ca="1">IF(ISERROR(IF(MEDIAN($AP$136:$AP$146) = 0, "", MEDIAN($AP$136:$AP$146))), "", (IF(MEDIAN($AP$136:$AP$146) = 0, "", MEDIAN($AP$136:$AP$146))))</f>
        <v/>
      </c>
      <c r="AQ135" t="str">
        <f ca="1">IF(ISERROR(IF(MEDIAN($AQ$136:$AQ$146) = 0, "", MEDIAN($AQ$136:$AQ$146))), "", (IF(MEDIAN($AQ$136:$AQ$146) = 0, "", MEDIAN($AQ$136:$AQ$146))))</f>
        <v/>
      </c>
      <c r="AR135" t="str">
        <f ca="1">IF(ISERROR(IF(MEDIAN($AR$136:$AR$146) = 0, "", MEDIAN($AR$136:$AR$146))), "", (IF(MEDIAN($AR$136:$AR$146) = 0, "", MEDIAN($AR$136:$AR$146))))</f>
        <v/>
      </c>
      <c r="AS135" t="str">
        <f ca="1">IF(ISERROR(IF(MEDIAN($AS$136:$AS$146) = 0, "", MEDIAN($AS$136:$AS$146))), "", (IF(MEDIAN($AS$136:$AS$146) = 0, "", MEDIAN($AS$136:$AS$146))))</f>
        <v/>
      </c>
      <c r="AT135" t="str">
        <f ca="1">IF(ISERROR(IF(MEDIAN($AT$136:$AT$146) = 0, "", MEDIAN($AT$136:$AT$146))), "", (IF(MEDIAN($AT$136:$AT$146) = 0, "", MEDIAN($AT$136:$AT$146))))</f>
        <v/>
      </c>
      <c r="AU135" t="str">
        <f ca="1">IF(ISERROR(IF(MEDIAN($AU$136:$AU$146) = 0, "", MEDIAN($AU$136:$AU$146))), "", (IF(MEDIAN($AU$136:$AU$146) = 0, "", MEDIAN($AU$136:$AU$146))))</f>
        <v/>
      </c>
      <c r="AV135" t="str">
        <f ca="1">IF(ISERROR(IF(MEDIAN($AV$136:$AV$146) = 0, "", MEDIAN($AV$136:$AV$146))), "", (IF(MEDIAN($AV$136:$AV$146) = 0, "", MEDIAN($AV$136:$AV$146))))</f>
        <v/>
      </c>
      <c r="AW135" t="str">
        <f ca="1">IF(ISERROR(IF(MEDIAN($AW$136:$AW$146) = 0, "", MEDIAN($AW$136:$AW$146))), "", (IF(MEDIAN($AW$136:$AW$146) = 0, "", MEDIAN($AW$136:$AW$146))))</f>
        <v/>
      </c>
      <c r="AX135" t="str">
        <f ca="1">IF(ISERROR(IF(MEDIAN($AX$136:$AX$146) = 0, "", MEDIAN($AX$136:$AX$146))), "", (IF(MEDIAN($AX$136:$AX$146) = 0, "", MEDIAN($AX$136:$AX$146))))</f>
        <v/>
      </c>
      <c r="AY135" t="str">
        <f ca="1">IF(ISERROR(IF(MEDIAN($AY$136:$AY$146) = 0, "", MEDIAN($AY$136:$AY$146))), "", (IF(MEDIAN($AY$136:$AY$146) = 0, "", MEDIAN($AY$136:$AY$146))))</f>
        <v/>
      </c>
      <c r="AZ135" t="str">
        <f ca="1">IF(ISERROR(IF(MEDIAN($AZ$136:$AZ$146) = 0, "", MEDIAN($AZ$136:$AZ$146))), "", (IF(MEDIAN($AZ$136:$AZ$146) = 0, "", MEDIAN($AZ$136:$AZ$146))))</f>
        <v/>
      </c>
      <c r="BA135" t="str">
        <f ca="1">IF(ISERROR(IF(MEDIAN($BA$136:$BA$146) = 0, "", MEDIAN($BA$136:$BA$146))), "", (IF(MEDIAN($BA$136:$BA$146) = 0, "", MEDIAN($BA$136:$BA$146))))</f>
        <v/>
      </c>
      <c r="BB135" t="str">
        <f ca="1">IF(ISERROR(IF(MEDIAN($BB$136:$BB$146) = 0, "", MEDIAN($BB$136:$BB$146))), "", (IF(MEDIAN($BB$136:$BB$146) = 0, "", MEDIAN($BB$136:$BB$146))))</f>
        <v/>
      </c>
      <c r="BC135" t="str">
        <f ca="1">IF(ISERROR(IF(MEDIAN($BC$136:$BC$146) = 0, "", MEDIAN($BC$136:$BC$146))), "", (IF(MEDIAN($BC$136:$BC$146) = 0, "", MEDIAN($BC$136:$BC$146))))</f>
        <v/>
      </c>
      <c r="BD135" t="str">
        <f ca="1">IF(ISERROR(IF(MEDIAN($BD$136:$BD$146) = 0, "", MEDIAN($BD$136:$BD$146))), "", (IF(MEDIAN($BD$136:$BD$146) = 0, "", MEDIAN($BD$136:$BD$146))))</f>
        <v/>
      </c>
      <c r="BE135" t="str">
        <f ca="1">IF(ISERROR(IF(MEDIAN($BE$136:$BE$146) = 0, "", MEDIAN($BE$136:$BE$146))), "", (IF(MEDIAN($BE$136:$BE$146) = 0, "", MEDIAN($BE$136:$BE$146))))</f>
        <v/>
      </c>
      <c r="BF135" t="str">
        <f ca="1">IF(ISERROR(IF(MEDIAN($BF$136:$BF$146) = 0, "", MEDIAN($BF$136:$BF$146))), "", (IF(MEDIAN($BF$136:$BF$146) = 0, "", MEDIAN($BF$136:$BF$146))))</f>
        <v/>
      </c>
      <c r="BG135" t="str">
        <f ca="1">IF(ISERROR(IF(MEDIAN($BG$136:$BG$146) = 0, "", MEDIAN($BG$136:$BG$146))), "", (IF(MEDIAN($BG$136:$BG$146) = 0, "", MEDIAN($BG$136:$BG$146))))</f>
        <v/>
      </c>
      <c r="BH135" t="str">
        <f ca="1">IF(ISERROR(IF(MEDIAN($BH$136:$BH$146) = 0, "", MEDIAN($BH$136:$BH$146))), "", (IF(MEDIAN($BH$136:$BH$146) = 0, "", MEDIAN($BH$136:$BH$146))))</f>
        <v/>
      </c>
      <c r="BI135" t="str">
        <f ca="1">IF(ISERROR(IF(MEDIAN($BI$136:$BI$146) = 0, "", MEDIAN($BI$136:$BI$146))), "", (IF(MEDIAN($BI$136:$BI$146) = 0, "", MEDIAN($BI$136:$BI$146))))</f>
        <v/>
      </c>
      <c r="BJ135" t="str">
        <f ca="1">IF(ISERROR(IF(MEDIAN($BJ$136:$BJ$146) = 0, "", MEDIAN($BJ$136:$BJ$146))), "", (IF(MEDIAN($BJ$136:$BJ$146) = 0, "", MEDIAN($BJ$136:$BJ$146))))</f>
        <v/>
      </c>
      <c r="BK135" t="str">
        <f ca="1">IF(ISERROR(IF(MEDIAN($BK$136:$BK$146) = 0, "", MEDIAN($BK$136:$BK$146))), "", (IF(MEDIAN($BK$136:$BK$146) = 0, "", MEDIAN($BK$136:$BK$146))))</f>
        <v/>
      </c>
      <c r="BL135" t="str">
        <f ca="1">IF(ISERROR(IF(MEDIAN($BL$136:$BL$146) = 0, "", MEDIAN($BL$136:$BL$146))), "", (IF(MEDIAN($BL$136:$BL$146) = 0, "", MEDIAN($BL$136:$BL$146))))</f>
        <v/>
      </c>
      <c r="BM135" t="str">
        <f ca="1">IF(ISERROR(IF(MEDIAN($BM$136:$BM$146) = 0, "", MEDIAN($BM$136:$BM$146))), "", (IF(MEDIAN($BM$136:$BM$146) = 0, "", MEDIAN($BM$136:$BM$146))))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>
      <c r="A136" t="str">
        <f>"    Alexandria Real Estate Equitie"</f>
        <v xml:space="preserve">    Alexandria Real Estate Equitie</v>
      </c>
      <c r="B136" t="str">
        <f>"ARE US Equity"</f>
        <v>ARE US Equity</v>
      </c>
      <c r="C136" t="str">
        <f t="shared" ref="C136:C146" si="33">"BE592"</f>
        <v>BE592</v>
      </c>
      <c r="D136" t="str">
        <f t="shared" ref="D136:D146" si="34">"BEST_FFOPS_YOY_GTH"</f>
        <v>BEST_FFOPS_YOY_GTH</v>
      </c>
      <c r="E136" t="str">
        <f t="shared" ref="E136:E146" si="35">"动态"</f>
        <v>动态</v>
      </c>
      <c r="F136" t="str">
        <f ca="1">IF(AND(ISNUMBER($F$381),$B$258=1),$F$381,HLOOKUP(INDIRECT(ADDRESS(2,COLUMN())),OFFSET($BN$2,0,0,ROW()-1,60),ROW()-1,FALSE))</f>
        <v/>
      </c>
      <c r="G136" t="str">
        <f ca="1">IF(AND(ISNUMBER($G$381),$B$258=1),$G$381,HLOOKUP(INDIRECT(ADDRESS(2,COLUMN())),OFFSET($BN$2,0,0,ROW()-1,60),ROW()-1,FALSE))</f>
        <v/>
      </c>
      <c r="H136" t="str">
        <f ca="1">IF(AND(ISNUMBER($H$381),$B$258=1),$H$381,HLOOKUP(INDIRECT(ADDRESS(2,COLUMN())),OFFSET($BN$2,0,0,ROW()-1,60),ROW()-1,FALSE))</f>
        <v/>
      </c>
      <c r="I136" t="str">
        <f ca="1">IF(AND(ISNUMBER($I$381),$B$258=1),$I$381,HLOOKUP(INDIRECT(ADDRESS(2,COLUMN())),OFFSET($BN$2,0,0,ROW()-1,60),ROW()-1,FALSE))</f>
        <v/>
      </c>
      <c r="J136" t="str">
        <f ca="1">IF(AND(ISNUMBER($J$381),$B$258=1),$J$381,HLOOKUP(INDIRECT(ADDRESS(2,COLUMN())),OFFSET($BN$2,0,0,ROW()-1,60),ROW()-1,FALSE))</f>
        <v/>
      </c>
      <c r="K136" t="str">
        <f ca="1">IF(AND(ISNUMBER($K$381),$B$258=1),$K$381,HLOOKUP(INDIRECT(ADDRESS(2,COLUMN())),OFFSET($BN$2,0,0,ROW()-1,60),ROW()-1,FALSE))</f>
        <v/>
      </c>
      <c r="L136" t="str">
        <f ca="1">IF(AND(ISNUMBER($L$381),$B$258=1),$L$381,HLOOKUP(INDIRECT(ADDRESS(2,COLUMN())),OFFSET($BN$2,0,0,ROW()-1,60),ROW()-1,FALSE))</f>
        <v/>
      </c>
      <c r="M136" t="str">
        <f ca="1">IF(AND(ISNUMBER($M$381),$B$258=1),$M$381,HLOOKUP(INDIRECT(ADDRESS(2,COLUMN())),OFFSET($BN$2,0,0,ROW()-1,60),ROW()-1,FALSE))</f>
        <v/>
      </c>
      <c r="N136" t="str">
        <f ca="1">IF(AND(ISNUMBER($N$381),$B$258=1),$N$381,HLOOKUP(INDIRECT(ADDRESS(2,COLUMN())),OFFSET($BN$2,0,0,ROW()-1,60),ROW()-1,FALSE))</f>
        <v/>
      </c>
      <c r="O136" t="str">
        <f ca="1">IF(AND(ISNUMBER($O$381),$B$258=1),$O$381,HLOOKUP(INDIRECT(ADDRESS(2,COLUMN())),OFFSET($BN$2,0,0,ROW()-1,60),ROW()-1,FALSE))</f>
        <v/>
      </c>
      <c r="P136" t="str">
        <f ca="1">IF(AND(ISNUMBER($P$381),$B$258=1),$P$381,HLOOKUP(INDIRECT(ADDRESS(2,COLUMN())),OFFSET($BN$2,0,0,ROW()-1,60),ROW()-1,FALSE))</f>
        <v/>
      </c>
      <c r="Q136" t="str">
        <f ca="1">IF(AND(ISNUMBER($Q$381),$B$258=1),$Q$381,HLOOKUP(INDIRECT(ADDRESS(2,COLUMN())),OFFSET($BN$2,0,0,ROW()-1,60),ROW()-1,FALSE))</f>
        <v/>
      </c>
      <c r="R136" t="str">
        <f ca="1">IF(AND(ISNUMBER($R$381),$B$258=1),$R$381,HLOOKUP(INDIRECT(ADDRESS(2,COLUMN())),OFFSET($BN$2,0,0,ROW()-1,60),ROW()-1,FALSE))</f>
        <v/>
      </c>
      <c r="S136" t="str">
        <f ca="1">IF(AND(ISNUMBER($S$381),$B$258=1),$S$381,HLOOKUP(INDIRECT(ADDRESS(2,COLUMN())),OFFSET($BN$2,0,0,ROW()-1,60),ROW()-1,FALSE))</f>
        <v/>
      </c>
      <c r="T136" t="str">
        <f ca="1">IF(AND(ISNUMBER($T$381),$B$258=1),$T$381,HLOOKUP(INDIRECT(ADDRESS(2,COLUMN())),OFFSET($BN$2,0,0,ROW()-1,60),ROW()-1,FALSE))</f>
        <v/>
      </c>
      <c r="U136" t="str">
        <f ca="1">IF(AND(ISNUMBER($U$381),$B$258=1),$U$381,HLOOKUP(INDIRECT(ADDRESS(2,COLUMN())),OFFSET($BN$2,0,0,ROW()-1,60),ROW()-1,FALSE))</f>
        <v/>
      </c>
      <c r="V136" t="str">
        <f ca="1">IF(AND(ISNUMBER($V$381),$B$258=1),$V$381,HLOOKUP(INDIRECT(ADDRESS(2,COLUMN())),OFFSET($BN$2,0,0,ROW()-1,60),ROW()-1,FALSE))</f>
        <v/>
      </c>
      <c r="W136" t="str">
        <f ca="1">IF(AND(ISNUMBER($W$381),$B$258=1),$W$381,HLOOKUP(INDIRECT(ADDRESS(2,COLUMN())),OFFSET($BN$2,0,0,ROW()-1,60),ROW()-1,FALSE))</f>
        <v/>
      </c>
      <c r="X136" t="str">
        <f ca="1">IF(AND(ISNUMBER($X$381),$B$258=1),$X$381,HLOOKUP(INDIRECT(ADDRESS(2,COLUMN())),OFFSET($BN$2,0,0,ROW()-1,60),ROW()-1,FALSE))</f>
        <v/>
      </c>
      <c r="Y136" t="str">
        <f ca="1">IF(AND(ISNUMBER($Y$381),$B$258=1),$Y$381,HLOOKUP(INDIRECT(ADDRESS(2,COLUMN())),OFFSET($BN$2,0,0,ROW()-1,60),ROW()-1,FALSE))</f>
        <v/>
      </c>
      <c r="Z136" t="str">
        <f ca="1">IF(AND(ISNUMBER($Z$381),$B$258=1),$Z$381,HLOOKUP(INDIRECT(ADDRESS(2,COLUMN())),OFFSET($BN$2,0,0,ROW()-1,60),ROW()-1,FALSE))</f>
        <v/>
      </c>
      <c r="AA136" t="str">
        <f ca="1">IF(AND(ISNUMBER($AA$381),$B$258=1),$AA$381,HLOOKUP(INDIRECT(ADDRESS(2,COLUMN())),OFFSET($BN$2,0,0,ROW()-1,60),ROW()-1,FALSE))</f>
        <v/>
      </c>
      <c r="AB136" t="str">
        <f ca="1">IF(AND(ISNUMBER($AB$381),$B$258=1),$AB$381,HLOOKUP(INDIRECT(ADDRESS(2,COLUMN())),OFFSET($BN$2,0,0,ROW()-1,60),ROW()-1,FALSE))</f>
        <v/>
      </c>
      <c r="AC136" t="str">
        <f ca="1">IF(AND(ISNUMBER($AC$381),$B$258=1),$AC$381,HLOOKUP(INDIRECT(ADDRESS(2,COLUMN())),OFFSET($BN$2,0,0,ROW()-1,60),ROW()-1,FALSE))</f>
        <v/>
      </c>
      <c r="AD136" t="str">
        <f ca="1">IF(AND(ISNUMBER($AD$381),$B$258=1),$AD$381,HLOOKUP(INDIRECT(ADDRESS(2,COLUMN())),OFFSET($BN$2,0,0,ROW()-1,60),ROW()-1,FALSE))</f>
        <v/>
      </c>
      <c r="AE136" t="str">
        <f ca="1">IF(AND(ISNUMBER($AE$381),$B$258=1),$AE$381,HLOOKUP(INDIRECT(ADDRESS(2,COLUMN())),OFFSET($BN$2,0,0,ROW()-1,60),ROW()-1,FALSE))</f>
        <v/>
      </c>
      <c r="AF136" t="str">
        <f ca="1">IF(AND(ISNUMBER($AF$381),$B$258=1),$AF$381,HLOOKUP(INDIRECT(ADDRESS(2,COLUMN())),OFFSET($BN$2,0,0,ROW()-1,60),ROW()-1,FALSE))</f>
        <v/>
      </c>
      <c r="AG136" t="str">
        <f ca="1">IF(AND(ISNUMBER($AG$381),$B$258=1),$AG$381,HLOOKUP(INDIRECT(ADDRESS(2,COLUMN())),OFFSET($BN$2,0,0,ROW()-1,60),ROW()-1,FALSE))</f>
        <v/>
      </c>
      <c r="AH136" t="str">
        <f ca="1">IF(AND(ISNUMBER($AH$381),$B$258=1),$AH$381,HLOOKUP(INDIRECT(ADDRESS(2,COLUMN())),OFFSET($BN$2,0,0,ROW()-1,60),ROW()-1,FALSE))</f>
        <v/>
      </c>
      <c r="AI136" t="str">
        <f ca="1">IF(AND(ISNUMBER($AI$381),$B$258=1),$AI$381,HLOOKUP(INDIRECT(ADDRESS(2,COLUMN())),OFFSET($BN$2,0,0,ROW()-1,60),ROW()-1,FALSE))</f>
        <v/>
      </c>
      <c r="AJ136" t="str">
        <f ca="1">IF(AND(ISNUMBER($AJ$381),$B$258=1),$AJ$381,HLOOKUP(INDIRECT(ADDRESS(2,COLUMN())),OFFSET($BN$2,0,0,ROW()-1,60),ROW()-1,FALSE))</f>
        <v/>
      </c>
      <c r="AK136" t="str">
        <f ca="1">IF(AND(ISNUMBER($AK$381),$B$258=1),$AK$381,HLOOKUP(INDIRECT(ADDRESS(2,COLUMN())),OFFSET($BN$2,0,0,ROW()-1,60),ROW()-1,FALSE))</f>
        <v/>
      </c>
      <c r="AL136" t="str">
        <f ca="1">IF(AND(ISNUMBER($AL$381),$B$258=1),$AL$381,HLOOKUP(INDIRECT(ADDRESS(2,COLUMN())),OFFSET($BN$2,0,0,ROW()-1,60),ROW()-1,FALSE))</f>
        <v/>
      </c>
      <c r="AM136" t="str">
        <f ca="1">IF(AND(ISNUMBER($AM$381),$B$258=1),$AM$381,HLOOKUP(INDIRECT(ADDRESS(2,COLUMN())),OFFSET($BN$2,0,0,ROW()-1,60),ROW()-1,FALSE))</f>
        <v/>
      </c>
      <c r="AN136" t="str">
        <f ca="1">IF(AND(ISNUMBER($AN$381),$B$258=1),$AN$381,HLOOKUP(INDIRECT(ADDRESS(2,COLUMN())),OFFSET($BN$2,0,0,ROW()-1,60),ROW()-1,FALSE))</f>
        <v/>
      </c>
      <c r="AO136" t="str">
        <f ca="1">IF(AND(ISNUMBER($AO$381),$B$258=1),$AO$381,HLOOKUP(INDIRECT(ADDRESS(2,COLUMN())),OFFSET($BN$2,0,0,ROW()-1,60),ROW()-1,FALSE))</f>
        <v/>
      </c>
      <c r="AP136" t="str">
        <f ca="1">IF(AND(ISNUMBER($AP$381),$B$258=1),$AP$381,HLOOKUP(INDIRECT(ADDRESS(2,COLUMN())),OFFSET($BN$2,0,0,ROW()-1,60),ROW()-1,FALSE))</f>
        <v/>
      </c>
      <c r="AQ136" t="str">
        <f ca="1">IF(AND(ISNUMBER($AQ$381),$B$258=1),$AQ$381,HLOOKUP(INDIRECT(ADDRESS(2,COLUMN())),OFFSET($BN$2,0,0,ROW()-1,60),ROW()-1,FALSE))</f>
        <v/>
      </c>
      <c r="AR136" t="str">
        <f ca="1">IF(AND(ISNUMBER($AR$381),$B$258=1),$AR$381,HLOOKUP(INDIRECT(ADDRESS(2,COLUMN())),OFFSET($BN$2,0,0,ROW()-1,60),ROW()-1,FALSE))</f>
        <v/>
      </c>
      <c r="AS136" t="str">
        <f ca="1">IF(AND(ISNUMBER($AS$381),$B$258=1),$AS$381,HLOOKUP(INDIRECT(ADDRESS(2,COLUMN())),OFFSET($BN$2,0,0,ROW()-1,60),ROW()-1,FALSE))</f>
        <v/>
      </c>
      <c r="AT136" t="str">
        <f ca="1">IF(AND(ISNUMBER($AT$381),$B$258=1),$AT$381,HLOOKUP(INDIRECT(ADDRESS(2,COLUMN())),OFFSET($BN$2,0,0,ROW()-1,60),ROW()-1,FALSE))</f>
        <v/>
      </c>
      <c r="AU136" t="str">
        <f ca="1">IF(AND(ISNUMBER($AU$381),$B$258=1),$AU$381,HLOOKUP(INDIRECT(ADDRESS(2,COLUMN())),OFFSET($BN$2,0,0,ROW()-1,60),ROW()-1,FALSE))</f>
        <v/>
      </c>
      <c r="AV136" t="str">
        <f ca="1">IF(AND(ISNUMBER($AV$381),$B$258=1),$AV$381,HLOOKUP(INDIRECT(ADDRESS(2,COLUMN())),OFFSET($BN$2,0,0,ROW()-1,60),ROW()-1,FALSE))</f>
        <v/>
      </c>
      <c r="AW136" t="str">
        <f ca="1">IF(AND(ISNUMBER($AW$381),$B$258=1),$AW$381,HLOOKUP(INDIRECT(ADDRESS(2,COLUMN())),OFFSET($BN$2,0,0,ROW()-1,60),ROW()-1,FALSE))</f>
        <v/>
      </c>
      <c r="AX136" t="str">
        <f ca="1">IF(AND(ISNUMBER($AX$381),$B$258=1),$AX$381,HLOOKUP(INDIRECT(ADDRESS(2,COLUMN())),OFFSET($BN$2,0,0,ROW()-1,60),ROW()-1,FALSE))</f>
        <v/>
      </c>
      <c r="AY136" t="str">
        <f ca="1">IF(AND(ISNUMBER($AY$381),$B$258=1),$AY$381,HLOOKUP(INDIRECT(ADDRESS(2,COLUMN())),OFFSET($BN$2,0,0,ROW()-1,60),ROW()-1,FALSE))</f>
        <v/>
      </c>
      <c r="AZ136" t="str">
        <f ca="1">IF(AND(ISNUMBER($AZ$381),$B$258=1),$AZ$381,HLOOKUP(INDIRECT(ADDRESS(2,COLUMN())),OFFSET($BN$2,0,0,ROW()-1,60),ROW()-1,FALSE))</f>
        <v/>
      </c>
      <c r="BA136" t="str">
        <f ca="1">IF(AND(ISNUMBER($BA$381),$B$258=1),$BA$381,HLOOKUP(INDIRECT(ADDRESS(2,COLUMN())),OFFSET($BN$2,0,0,ROW()-1,60),ROW()-1,FALSE))</f>
        <v/>
      </c>
      <c r="BB136" t="str">
        <f ca="1">IF(AND(ISNUMBER($BB$381),$B$258=1),$BB$381,HLOOKUP(INDIRECT(ADDRESS(2,COLUMN())),OFFSET($BN$2,0,0,ROW()-1,60),ROW()-1,FALSE))</f>
        <v/>
      </c>
      <c r="BC136" t="str">
        <f ca="1">IF(AND(ISNUMBER($BC$381),$B$258=1),$BC$381,HLOOKUP(INDIRECT(ADDRESS(2,COLUMN())),OFFSET($BN$2,0,0,ROW()-1,60),ROW()-1,FALSE))</f>
        <v/>
      </c>
      <c r="BD136" t="str">
        <f ca="1">IF(AND(ISNUMBER($BD$381),$B$258=1),$BD$381,HLOOKUP(INDIRECT(ADDRESS(2,COLUMN())),OFFSET($BN$2,0,0,ROW()-1,60),ROW()-1,FALSE))</f>
        <v/>
      </c>
      <c r="BE136" t="str">
        <f ca="1">IF(AND(ISNUMBER($BE$381),$B$258=1),$BE$381,HLOOKUP(INDIRECT(ADDRESS(2,COLUMN())),OFFSET($BN$2,0,0,ROW()-1,60),ROW()-1,FALSE))</f>
        <v/>
      </c>
      <c r="BF136" t="str">
        <f ca="1">IF(AND(ISNUMBER($BF$381),$B$258=1),$BF$381,HLOOKUP(INDIRECT(ADDRESS(2,COLUMN())),OFFSET($BN$2,0,0,ROW()-1,60),ROW()-1,FALSE))</f>
        <v/>
      </c>
      <c r="BG136" t="str">
        <f ca="1">IF(AND(ISNUMBER($BG$381),$B$258=1),$BG$381,HLOOKUP(INDIRECT(ADDRESS(2,COLUMN())),OFFSET($BN$2,0,0,ROW()-1,60),ROW()-1,FALSE))</f>
        <v/>
      </c>
      <c r="BH136" t="str">
        <f ca="1">IF(AND(ISNUMBER($BH$381),$B$258=1),$BH$381,HLOOKUP(INDIRECT(ADDRESS(2,COLUMN())),OFFSET($BN$2,0,0,ROW()-1,60),ROW()-1,FALSE))</f>
        <v/>
      </c>
      <c r="BI136" t="str">
        <f ca="1">IF(AND(ISNUMBER($BI$381),$B$258=1),$BI$381,HLOOKUP(INDIRECT(ADDRESS(2,COLUMN())),OFFSET($BN$2,0,0,ROW()-1,60),ROW()-1,FALSE))</f>
        <v/>
      </c>
      <c r="BJ136" t="str">
        <f ca="1">IF(AND(ISNUMBER($BJ$381),$B$258=1),$BJ$381,HLOOKUP(INDIRECT(ADDRESS(2,COLUMN())),OFFSET($BN$2,0,0,ROW()-1,60),ROW()-1,FALSE))</f>
        <v/>
      </c>
      <c r="BK136" t="str">
        <f ca="1">IF(AND(ISNUMBER($BK$381),$B$258=1),$BK$381,HLOOKUP(INDIRECT(ADDRESS(2,COLUMN())),OFFSET($BN$2,0,0,ROW()-1,60),ROW()-1,FALSE))</f>
        <v/>
      </c>
      <c r="BL136" t="str">
        <f ca="1">IF(AND(ISNUMBER($BL$381),$B$258=1),$BL$381,HLOOKUP(INDIRECT(ADDRESS(2,COLUMN())),OFFSET($BN$2,0,0,ROW()-1,60),ROW()-1,FALSE))</f>
        <v/>
      </c>
      <c r="BM136" t="str">
        <f ca="1">IF(AND(ISNUMBER($BM$381),$B$258=1),$BM$381,HLOOKUP(INDIRECT(ADDRESS(2,COLUMN())),OFFSET($BN$2,0,0,ROW()-1,60),ROW()-1,FALSE))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>
      <c r="A137" t="str">
        <f>"    Care Capital Properties Inc"</f>
        <v xml:space="preserve">    Care Capital Properties Inc</v>
      </c>
      <c r="B137" t="str">
        <f>"CCP US Equity"</f>
        <v>CCP US Equity</v>
      </c>
      <c r="C137" t="str">
        <f t="shared" si="33"/>
        <v>BE592</v>
      </c>
      <c r="D137" t="str">
        <f t="shared" si="34"/>
        <v>BEST_FFOPS_YOY_GTH</v>
      </c>
      <c r="E137" t="str">
        <f t="shared" si="35"/>
        <v>动态</v>
      </c>
      <c r="F137" t="str">
        <f ca="1">IF(AND(ISNUMBER($F$382),$B$258=1),$F$382,HLOOKUP(INDIRECT(ADDRESS(2,COLUMN())),OFFSET($BN$2,0,0,ROW()-1,60),ROW()-1,FALSE))</f>
        <v/>
      </c>
      <c r="G137" t="str">
        <f ca="1">IF(AND(ISNUMBER($G$382),$B$258=1),$G$382,HLOOKUP(INDIRECT(ADDRESS(2,COLUMN())),OFFSET($BN$2,0,0,ROW()-1,60),ROW()-1,FALSE))</f>
        <v/>
      </c>
      <c r="H137" t="str">
        <f ca="1">IF(AND(ISNUMBER($H$382),$B$258=1),$H$382,HLOOKUP(INDIRECT(ADDRESS(2,COLUMN())),OFFSET($BN$2,0,0,ROW()-1,60),ROW()-1,FALSE))</f>
        <v/>
      </c>
      <c r="I137" t="str">
        <f ca="1">IF(AND(ISNUMBER($I$382),$B$258=1),$I$382,HLOOKUP(INDIRECT(ADDRESS(2,COLUMN())),OFFSET($BN$2,0,0,ROW()-1,60),ROW()-1,FALSE))</f>
        <v/>
      </c>
      <c r="J137" t="str">
        <f ca="1">IF(AND(ISNUMBER($J$382),$B$258=1),$J$382,HLOOKUP(INDIRECT(ADDRESS(2,COLUMN())),OFFSET($BN$2,0,0,ROW()-1,60),ROW()-1,FALSE))</f>
        <v/>
      </c>
      <c r="K137" t="str">
        <f ca="1">IF(AND(ISNUMBER($K$382),$B$258=1),$K$382,HLOOKUP(INDIRECT(ADDRESS(2,COLUMN())),OFFSET($BN$2,0,0,ROW()-1,60),ROW()-1,FALSE))</f>
        <v/>
      </c>
      <c r="L137" t="str">
        <f ca="1">IF(AND(ISNUMBER($L$382),$B$258=1),$L$382,HLOOKUP(INDIRECT(ADDRESS(2,COLUMN())),OFFSET($BN$2,0,0,ROW()-1,60),ROW()-1,FALSE))</f>
        <v/>
      </c>
      <c r="M137" t="str">
        <f ca="1">IF(AND(ISNUMBER($M$382),$B$258=1),$M$382,HLOOKUP(INDIRECT(ADDRESS(2,COLUMN())),OFFSET($BN$2,0,0,ROW()-1,60),ROW()-1,FALSE))</f>
        <v/>
      </c>
      <c r="N137" t="str">
        <f ca="1">IF(AND(ISNUMBER($N$382),$B$258=1),$N$382,HLOOKUP(INDIRECT(ADDRESS(2,COLUMN())),OFFSET($BN$2,0,0,ROW()-1,60),ROW()-1,FALSE))</f>
        <v/>
      </c>
      <c r="O137" t="str">
        <f ca="1">IF(AND(ISNUMBER($O$382),$B$258=1),$O$382,HLOOKUP(INDIRECT(ADDRESS(2,COLUMN())),OFFSET($BN$2,0,0,ROW()-1,60),ROW()-1,FALSE))</f>
        <v/>
      </c>
      <c r="P137" t="str">
        <f ca="1">IF(AND(ISNUMBER($P$382),$B$258=1),$P$382,HLOOKUP(INDIRECT(ADDRESS(2,COLUMN())),OFFSET($BN$2,0,0,ROW()-1,60),ROW()-1,FALSE))</f>
        <v/>
      </c>
      <c r="Q137" t="str">
        <f ca="1">IF(AND(ISNUMBER($Q$382),$B$258=1),$Q$382,HLOOKUP(INDIRECT(ADDRESS(2,COLUMN())),OFFSET($BN$2,0,0,ROW()-1,60),ROW()-1,FALSE))</f>
        <v/>
      </c>
      <c r="R137" t="str">
        <f ca="1">IF(AND(ISNUMBER($R$382),$B$258=1),$R$382,HLOOKUP(INDIRECT(ADDRESS(2,COLUMN())),OFFSET($BN$2,0,0,ROW()-1,60),ROW()-1,FALSE))</f>
        <v/>
      </c>
      <c r="S137" t="str">
        <f ca="1">IF(AND(ISNUMBER($S$382),$B$258=1),$S$382,HLOOKUP(INDIRECT(ADDRESS(2,COLUMN())),OFFSET($BN$2,0,0,ROW()-1,60),ROW()-1,FALSE))</f>
        <v/>
      </c>
      <c r="T137" t="str">
        <f ca="1">IF(AND(ISNUMBER($T$382),$B$258=1),$T$382,HLOOKUP(INDIRECT(ADDRESS(2,COLUMN())),OFFSET($BN$2,0,0,ROW()-1,60),ROW()-1,FALSE))</f>
        <v/>
      </c>
      <c r="U137" t="str">
        <f ca="1">IF(AND(ISNUMBER($U$382),$B$258=1),$U$382,HLOOKUP(INDIRECT(ADDRESS(2,COLUMN())),OFFSET($BN$2,0,0,ROW()-1,60),ROW()-1,FALSE))</f>
        <v/>
      </c>
      <c r="V137" t="str">
        <f ca="1">IF(AND(ISNUMBER($V$382),$B$258=1),$V$382,HLOOKUP(INDIRECT(ADDRESS(2,COLUMN())),OFFSET($BN$2,0,0,ROW()-1,60),ROW()-1,FALSE))</f>
        <v/>
      </c>
      <c r="W137" t="str">
        <f ca="1">IF(AND(ISNUMBER($W$382),$B$258=1),$W$382,HLOOKUP(INDIRECT(ADDRESS(2,COLUMN())),OFFSET($BN$2,0,0,ROW()-1,60),ROW()-1,FALSE))</f>
        <v/>
      </c>
      <c r="X137" t="str">
        <f ca="1">IF(AND(ISNUMBER($X$382),$B$258=1),$X$382,HLOOKUP(INDIRECT(ADDRESS(2,COLUMN())),OFFSET($BN$2,0,0,ROW()-1,60),ROW()-1,FALSE))</f>
        <v/>
      </c>
      <c r="Y137" t="str">
        <f ca="1">IF(AND(ISNUMBER($Y$382),$B$258=1),$Y$382,HLOOKUP(INDIRECT(ADDRESS(2,COLUMN())),OFFSET($BN$2,0,0,ROW()-1,60),ROW()-1,FALSE))</f>
        <v/>
      </c>
      <c r="Z137" t="str">
        <f ca="1">IF(AND(ISNUMBER($Z$382),$B$258=1),$Z$382,HLOOKUP(INDIRECT(ADDRESS(2,COLUMN())),OFFSET($BN$2,0,0,ROW()-1,60),ROW()-1,FALSE))</f>
        <v/>
      </c>
      <c r="AA137" t="str">
        <f ca="1">IF(AND(ISNUMBER($AA$382),$B$258=1),$AA$382,HLOOKUP(INDIRECT(ADDRESS(2,COLUMN())),OFFSET($BN$2,0,0,ROW()-1,60),ROW()-1,FALSE))</f>
        <v/>
      </c>
      <c r="AB137" t="str">
        <f ca="1">IF(AND(ISNUMBER($AB$382),$B$258=1),$AB$382,HLOOKUP(INDIRECT(ADDRESS(2,COLUMN())),OFFSET($BN$2,0,0,ROW()-1,60),ROW()-1,FALSE))</f>
        <v/>
      </c>
      <c r="AC137" t="str">
        <f ca="1">IF(AND(ISNUMBER($AC$382),$B$258=1),$AC$382,HLOOKUP(INDIRECT(ADDRESS(2,COLUMN())),OFFSET($BN$2,0,0,ROW()-1,60),ROW()-1,FALSE))</f>
        <v/>
      </c>
      <c r="AD137" t="str">
        <f ca="1">IF(AND(ISNUMBER($AD$382),$B$258=1),$AD$382,HLOOKUP(INDIRECT(ADDRESS(2,COLUMN())),OFFSET($BN$2,0,0,ROW()-1,60),ROW()-1,FALSE))</f>
        <v/>
      </c>
      <c r="AE137" t="str">
        <f ca="1">IF(AND(ISNUMBER($AE$382),$B$258=1),$AE$382,HLOOKUP(INDIRECT(ADDRESS(2,COLUMN())),OFFSET($BN$2,0,0,ROW()-1,60),ROW()-1,FALSE))</f>
        <v/>
      </c>
      <c r="AF137" t="str">
        <f ca="1">IF(AND(ISNUMBER($AF$382),$B$258=1),$AF$382,HLOOKUP(INDIRECT(ADDRESS(2,COLUMN())),OFFSET($BN$2,0,0,ROW()-1,60),ROW()-1,FALSE))</f>
        <v/>
      </c>
      <c r="AG137" t="str">
        <f ca="1">IF(AND(ISNUMBER($AG$382),$B$258=1),$AG$382,HLOOKUP(INDIRECT(ADDRESS(2,COLUMN())),OFFSET($BN$2,0,0,ROW()-1,60),ROW()-1,FALSE))</f>
        <v/>
      </c>
      <c r="AH137" t="str">
        <f ca="1">IF(AND(ISNUMBER($AH$382),$B$258=1),$AH$382,HLOOKUP(INDIRECT(ADDRESS(2,COLUMN())),OFFSET($BN$2,0,0,ROW()-1,60),ROW()-1,FALSE))</f>
        <v/>
      </c>
      <c r="AI137" t="str">
        <f ca="1">IF(AND(ISNUMBER($AI$382),$B$258=1),$AI$382,HLOOKUP(INDIRECT(ADDRESS(2,COLUMN())),OFFSET($BN$2,0,0,ROW()-1,60),ROW()-1,FALSE))</f>
        <v/>
      </c>
      <c r="AJ137" t="str">
        <f ca="1">IF(AND(ISNUMBER($AJ$382),$B$258=1),$AJ$382,HLOOKUP(INDIRECT(ADDRESS(2,COLUMN())),OFFSET($BN$2,0,0,ROW()-1,60),ROW()-1,FALSE))</f>
        <v/>
      </c>
      <c r="AK137" t="str">
        <f ca="1">IF(AND(ISNUMBER($AK$382),$B$258=1),$AK$382,HLOOKUP(INDIRECT(ADDRESS(2,COLUMN())),OFFSET($BN$2,0,0,ROW()-1,60),ROW()-1,FALSE))</f>
        <v/>
      </c>
      <c r="AL137" t="str">
        <f ca="1">IF(AND(ISNUMBER($AL$382),$B$258=1),$AL$382,HLOOKUP(INDIRECT(ADDRESS(2,COLUMN())),OFFSET($BN$2,0,0,ROW()-1,60),ROW()-1,FALSE))</f>
        <v/>
      </c>
      <c r="AM137" t="str">
        <f ca="1">IF(AND(ISNUMBER($AM$382),$B$258=1),$AM$382,HLOOKUP(INDIRECT(ADDRESS(2,COLUMN())),OFFSET($BN$2,0,0,ROW()-1,60),ROW()-1,FALSE))</f>
        <v/>
      </c>
      <c r="AN137" t="str">
        <f ca="1">IF(AND(ISNUMBER($AN$382),$B$258=1),$AN$382,HLOOKUP(INDIRECT(ADDRESS(2,COLUMN())),OFFSET($BN$2,0,0,ROW()-1,60),ROW()-1,FALSE))</f>
        <v/>
      </c>
      <c r="AO137" t="str">
        <f ca="1">IF(AND(ISNUMBER($AO$382),$B$258=1),$AO$382,HLOOKUP(INDIRECT(ADDRESS(2,COLUMN())),OFFSET($BN$2,0,0,ROW()-1,60),ROW()-1,FALSE))</f>
        <v/>
      </c>
      <c r="AP137" t="str">
        <f ca="1">IF(AND(ISNUMBER($AP$382),$B$258=1),$AP$382,HLOOKUP(INDIRECT(ADDRESS(2,COLUMN())),OFFSET($BN$2,0,0,ROW()-1,60),ROW()-1,FALSE))</f>
        <v/>
      </c>
      <c r="AQ137" t="str">
        <f ca="1">IF(AND(ISNUMBER($AQ$382),$B$258=1),$AQ$382,HLOOKUP(INDIRECT(ADDRESS(2,COLUMN())),OFFSET($BN$2,0,0,ROW()-1,60),ROW()-1,FALSE))</f>
        <v/>
      </c>
      <c r="AR137" t="str">
        <f ca="1">IF(AND(ISNUMBER($AR$382),$B$258=1),$AR$382,HLOOKUP(INDIRECT(ADDRESS(2,COLUMN())),OFFSET($BN$2,0,0,ROW()-1,60),ROW()-1,FALSE))</f>
        <v/>
      </c>
      <c r="AS137" t="str">
        <f ca="1">IF(AND(ISNUMBER($AS$382),$B$258=1),$AS$382,HLOOKUP(INDIRECT(ADDRESS(2,COLUMN())),OFFSET($BN$2,0,0,ROW()-1,60),ROW()-1,FALSE))</f>
        <v/>
      </c>
      <c r="AT137" t="str">
        <f ca="1">IF(AND(ISNUMBER($AT$382),$B$258=1),$AT$382,HLOOKUP(INDIRECT(ADDRESS(2,COLUMN())),OFFSET($BN$2,0,0,ROW()-1,60),ROW()-1,FALSE))</f>
        <v/>
      </c>
      <c r="AU137" t="str">
        <f ca="1">IF(AND(ISNUMBER($AU$382),$B$258=1),$AU$382,HLOOKUP(INDIRECT(ADDRESS(2,COLUMN())),OFFSET($BN$2,0,0,ROW()-1,60),ROW()-1,FALSE))</f>
        <v/>
      </c>
      <c r="AV137" t="str">
        <f ca="1">IF(AND(ISNUMBER($AV$382),$B$258=1),$AV$382,HLOOKUP(INDIRECT(ADDRESS(2,COLUMN())),OFFSET($BN$2,0,0,ROW()-1,60),ROW()-1,FALSE))</f>
        <v/>
      </c>
      <c r="AW137" t="str">
        <f ca="1">IF(AND(ISNUMBER($AW$382),$B$258=1),$AW$382,HLOOKUP(INDIRECT(ADDRESS(2,COLUMN())),OFFSET($BN$2,0,0,ROW()-1,60),ROW()-1,FALSE))</f>
        <v/>
      </c>
      <c r="AX137" t="str">
        <f ca="1">IF(AND(ISNUMBER($AX$382),$B$258=1),$AX$382,HLOOKUP(INDIRECT(ADDRESS(2,COLUMN())),OFFSET($BN$2,0,0,ROW()-1,60),ROW()-1,FALSE))</f>
        <v/>
      </c>
      <c r="AY137" t="str">
        <f ca="1">IF(AND(ISNUMBER($AY$382),$B$258=1),$AY$382,HLOOKUP(INDIRECT(ADDRESS(2,COLUMN())),OFFSET($BN$2,0,0,ROW()-1,60),ROW()-1,FALSE))</f>
        <v/>
      </c>
      <c r="AZ137" t="str">
        <f ca="1">IF(AND(ISNUMBER($AZ$382),$B$258=1),$AZ$382,HLOOKUP(INDIRECT(ADDRESS(2,COLUMN())),OFFSET($BN$2,0,0,ROW()-1,60),ROW()-1,FALSE))</f>
        <v/>
      </c>
      <c r="BA137" t="str">
        <f ca="1">IF(AND(ISNUMBER($BA$382),$B$258=1),$BA$382,HLOOKUP(INDIRECT(ADDRESS(2,COLUMN())),OFFSET($BN$2,0,0,ROW()-1,60),ROW()-1,FALSE))</f>
        <v/>
      </c>
      <c r="BB137" t="str">
        <f ca="1">IF(AND(ISNUMBER($BB$382),$B$258=1),$BB$382,HLOOKUP(INDIRECT(ADDRESS(2,COLUMN())),OFFSET($BN$2,0,0,ROW()-1,60),ROW()-1,FALSE))</f>
        <v/>
      </c>
      <c r="BC137" t="str">
        <f ca="1">IF(AND(ISNUMBER($BC$382),$B$258=1),$BC$382,HLOOKUP(INDIRECT(ADDRESS(2,COLUMN())),OFFSET($BN$2,0,0,ROW()-1,60),ROW()-1,FALSE))</f>
        <v/>
      </c>
      <c r="BD137" t="str">
        <f ca="1">IF(AND(ISNUMBER($BD$382),$B$258=1),$BD$382,HLOOKUP(INDIRECT(ADDRESS(2,COLUMN())),OFFSET($BN$2,0,0,ROW()-1,60),ROW()-1,FALSE))</f>
        <v/>
      </c>
      <c r="BE137" t="str">
        <f ca="1">IF(AND(ISNUMBER($BE$382),$B$258=1),$BE$382,HLOOKUP(INDIRECT(ADDRESS(2,COLUMN())),OFFSET($BN$2,0,0,ROW()-1,60),ROW()-1,FALSE))</f>
        <v/>
      </c>
      <c r="BF137" t="str">
        <f ca="1">IF(AND(ISNUMBER($BF$382),$B$258=1),$BF$382,HLOOKUP(INDIRECT(ADDRESS(2,COLUMN())),OFFSET($BN$2,0,0,ROW()-1,60),ROW()-1,FALSE))</f>
        <v/>
      </c>
      <c r="BG137" t="str">
        <f ca="1">IF(AND(ISNUMBER($BG$382),$B$258=1),$BG$382,HLOOKUP(INDIRECT(ADDRESS(2,COLUMN())),OFFSET($BN$2,0,0,ROW()-1,60),ROW()-1,FALSE))</f>
        <v/>
      </c>
      <c r="BH137" t="str">
        <f ca="1">IF(AND(ISNUMBER($BH$382),$B$258=1),$BH$382,HLOOKUP(INDIRECT(ADDRESS(2,COLUMN())),OFFSET($BN$2,0,0,ROW()-1,60),ROW()-1,FALSE))</f>
        <v/>
      </c>
      <c r="BI137" t="str">
        <f ca="1">IF(AND(ISNUMBER($BI$382),$B$258=1),$BI$382,HLOOKUP(INDIRECT(ADDRESS(2,COLUMN())),OFFSET($BN$2,0,0,ROW()-1,60),ROW()-1,FALSE))</f>
        <v/>
      </c>
      <c r="BJ137" t="str">
        <f ca="1">IF(AND(ISNUMBER($BJ$382),$B$258=1),$BJ$382,HLOOKUP(INDIRECT(ADDRESS(2,COLUMN())),OFFSET($BN$2,0,0,ROW()-1,60),ROW()-1,FALSE))</f>
        <v/>
      </c>
      <c r="BK137" t="str">
        <f ca="1">IF(AND(ISNUMBER($BK$382),$B$258=1),$BK$382,HLOOKUP(INDIRECT(ADDRESS(2,COLUMN())),OFFSET($BN$2,0,0,ROW()-1,60),ROW()-1,FALSE))</f>
        <v/>
      </c>
      <c r="BL137" t="str">
        <f ca="1">IF(AND(ISNUMBER($BL$382),$B$258=1),$BL$382,HLOOKUP(INDIRECT(ADDRESS(2,COLUMN())),OFFSET($BN$2,0,0,ROW()-1,60),ROW()-1,FALSE))</f>
        <v/>
      </c>
      <c r="BM137" t="str">
        <f ca="1">IF(AND(ISNUMBER($BM$382),$B$258=1),$BM$382,HLOOKUP(INDIRECT(ADDRESS(2,COLUMN())),OFFSET($BN$2,0,0,ROW()-1,60),ROW()-1,FALSE))</f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  <c r="CH137" t="str">
        <f>""</f>
        <v/>
      </c>
      <c r="CI137" t="str">
        <f>""</f>
        <v/>
      </c>
      <c r="CJ137" t="str">
        <f>""</f>
        <v/>
      </c>
      <c r="CK137" t="str">
        <f>""</f>
        <v/>
      </c>
      <c r="CL137" t="str">
        <f>""</f>
        <v/>
      </c>
      <c r="CM137" t="str">
        <f>""</f>
        <v/>
      </c>
      <c r="CN137" t="str">
        <f>""</f>
        <v/>
      </c>
      <c r="CO137" t="str">
        <f>""</f>
        <v/>
      </c>
      <c r="CP137" t="str">
        <f>""</f>
        <v/>
      </c>
      <c r="CQ137" t="str">
        <f>""</f>
        <v/>
      </c>
      <c r="CR137" t="str">
        <f>""</f>
        <v/>
      </c>
      <c r="CS137" t="str">
        <f>""</f>
        <v/>
      </c>
      <c r="CT137" t="str">
        <f>""</f>
        <v/>
      </c>
      <c r="CU137" t="str">
        <f>""</f>
        <v/>
      </c>
      <c r="CV137" t="str">
        <f>""</f>
        <v/>
      </c>
      <c r="CW137" t="str">
        <f>""</f>
        <v/>
      </c>
      <c r="CX137" t="str">
        <f>""</f>
        <v/>
      </c>
      <c r="CY137" t="str">
        <f>""</f>
        <v/>
      </c>
      <c r="CZ137" t="str">
        <f>""</f>
        <v/>
      </c>
      <c r="DA137" t="str">
        <f>""</f>
        <v/>
      </c>
      <c r="DB137" t="str">
        <f>""</f>
        <v/>
      </c>
      <c r="DC137" t="str">
        <f>""</f>
        <v/>
      </c>
      <c r="DD137" t="str">
        <f>""</f>
        <v/>
      </c>
      <c r="DE137" t="str">
        <f>""</f>
        <v/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>
      <c r="A138" t="str">
        <f>"    HCP Inc"</f>
        <v xml:space="preserve">    HCP Inc</v>
      </c>
      <c r="B138" t="str">
        <f>"HCP US Equity"</f>
        <v>HCP US Equity</v>
      </c>
      <c r="C138" t="str">
        <f t="shared" si="33"/>
        <v>BE592</v>
      </c>
      <c r="D138" t="str">
        <f t="shared" si="34"/>
        <v>BEST_FFOPS_YOY_GTH</v>
      </c>
      <c r="E138" t="str">
        <f t="shared" si="35"/>
        <v>动态</v>
      </c>
      <c r="F138" t="str">
        <f ca="1">IF(AND(ISNUMBER($F$383),$B$258=1),$F$383,HLOOKUP(INDIRECT(ADDRESS(2,COLUMN())),OFFSET($BN$2,0,0,ROW()-1,60),ROW()-1,FALSE))</f>
        <v/>
      </c>
      <c r="G138" t="str">
        <f ca="1">IF(AND(ISNUMBER($G$383),$B$258=1),$G$383,HLOOKUP(INDIRECT(ADDRESS(2,COLUMN())),OFFSET($BN$2,0,0,ROW()-1,60),ROW()-1,FALSE))</f>
        <v/>
      </c>
      <c r="H138" t="str">
        <f ca="1">IF(AND(ISNUMBER($H$383),$B$258=1),$H$383,HLOOKUP(INDIRECT(ADDRESS(2,COLUMN())),OFFSET($BN$2,0,0,ROW()-1,60),ROW()-1,FALSE))</f>
        <v/>
      </c>
      <c r="I138" t="str">
        <f ca="1">IF(AND(ISNUMBER($I$383),$B$258=1),$I$383,HLOOKUP(INDIRECT(ADDRESS(2,COLUMN())),OFFSET($BN$2,0,0,ROW()-1,60),ROW()-1,FALSE))</f>
        <v/>
      </c>
      <c r="J138" t="str">
        <f ca="1">IF(AND(ISNUMBER($J$383),$B$258=1),$J$383,HLOOKUP(INDIRECT(ADDRESS(2,COLUMN())),OFFSET($BN$2,0,0,ROW()-1,60),ROW()-1,FALSE))</f>
        <v/>
      </c>
      <c r="K138" t="str">
        <f ca="1">IF(AND(ISNUMBER($K$383),$B$258=1),$K$383,HLOOKUP(INDIRECT(ADDRESS(2,COLUMN())),OFFSET($BN$2,0,0,ROW()-1,60),ROW()-1,FALSE))</f>
        <v/>
      </c>
      <c r="L138" t="str">
        <f ca="1">IF(AND(ISNUMBER($L$383),$B$258=1),$L$383,HLOOKUP(INDIRECT(ADDRESS(2,COLUMN())),OFFSET($BN$2,0,0,ROW()-1,60),ROW()-1,FALSE))</f>
        <v/>
      </c>
      <c r="M138" t="str">
        <f ca="1">IF(AND(ISNUMBER($M$383),$B$258=1),$M$383,HLOOKUP(INDIRECT(ADDRESS(2,COLUMN())),OFFSET($BN$2,0,0,ROW()-1,60),ROW()-1,FALSE))</f>
        <v/>
      </c>
      <c r="N138" t="str">
        <f ca="1">IF(AND(ISNUMBER($N$383),$B$258=1),$N$383,HLOOKUP(INDIRECT(ADDRESS(2,COLUMN())),OFFSET($BN$2,0,0,ROW()-1,60),ROW()-1,FALSE))</f>
        <v/>
      </c>
      <c r="O138" t="str">
        <f ca="1">IF(AND(ISNUMBER($O$383),$B$258=1),$O$383,HLOOKUP(INDIRECT(ADDRESS(2,COLUMN())),OFFSET($BN$2,0,0,ROW()-1,60),ROW()-1,FALSE))</f>
        <v/>
      </c>
      <c r="P138" t="str">
        <f ca="1">IF(AND(ISNUMBER($P$383),$B$258=1),$P$383,HLOOKUP(INDIRECT(ADDRESS(2,COLUMN())),OFFSET($BN$2,0,0,ROW()-1,60),ROW()-1,FALSE))</f>
        <v/>
      </c>
      <c r="Q138" t="str">
        <f ca="1">IF(AND(ISNUMBER($Q$383),$B$258=1),$Q$383,HLOOKUP(INDIRECT(ADDRESS(2,COLUMN())),OFFSET($BN$2,0,0,ROW()-1,60),ROW()-1,FALSE))</f>
        <v/>
      </c>
      <c r="R138" t="str">
        <f ca="1">IF(AND(ISNUMBER($R$383),$B$258=1),$R$383,HLOOKUP(INDIRECT(ADDRESS(2,COLUMN())),OFFSET($BN$2,0,0,ROW()-1,60),ROW()-1,FALSE))</f>
        <v/>
      </c>
      <c r="S138" t="str">
        <f ca="1">IF(AND(ISNUMBER($S$383),$B$258=1),$S$383,HLOOKUP(INDIRECT(ADDRESS(2,COLUMN())),OFFSET($BN$2,0,0,ROW()-1,60),ROW()-1,FALSE))</f>
        <v/>
      </c>
      <c r="T138" t="str">
        <f ca="1">IF(AND(ISNUMBER($T$383),$B$258=1),$T$383,HLOOKUP(INDIRECT(ADDRESS(2,COLUMN())),OFFSET($BN$2,0,0,ROW()-1,60),ROW()-1,FALSE))</f>
        <v/>
      </c>
      <c r="U138" t="str">
        <f ca="1">IF(AND(ISNUMBER($U$383),$B$258=1),$U$383,HLOOKUP(INDIRECT(ADDRESS(2,COLUMN())),OFFSET($BN$2,0,0,ROW()-1,60),ROW()-1,FALSE))</f>
        <v/>
      </c>
      <c r="V138" t="str">
        <f ca="1">IF(AND(ISNUMBER($V$383),$B$258=1),$V$383,HLOOKUP(INDIRECT(ADDRESS(2,COLUMN())),OFFSET($BN$2,0,0,ROW()-1,60),ROW()-1,FALSE))</f>
        <v/>
      </c>
      <c r="W138" t="str">
        <f ca="1">IF(AND(ISNUMBER($W$383),$B$258=1),$W$383,HLOOKUP(INDIRECT(ADDRESS(2,COLUMN())),OFFSET($BN$2,0,0,ROW()-1,60),ROW()-1,FALSE))</f>
        <v/>
      </c>
      <c r="X138" t="str">
        <f ca="1">IF(AND(ISNUMBER($X$383),$B$258=1),$X$383,HLOOKUP(INDIRECT(ADDRESS(2,COLUMN())),OFFSET($BN$2,0,0,ROW()-1,60),ROW()-1,FALSE))</f>
        <v/>
      </c>
      <c r="Y138" t="str">
        <f ca="1">IF(AND(ISNUMBER($Y$383),$B$258=1),$Y$383,HLOOKUP(INDIRECT(ADDRESS(2,COLUMN())),OFFSET($BN$2,0,0,ROW()-1,60),ROW()-1,FALSE))</f>
        <v/>
      </c>
      <c r="Z138" t="str">
        <f ca="1">IF(AND(ISNUMBER($Z$383),$B$258=1),$Z$383,HLOOKUP(INDIRECT(ADDRESS(2,COLUMN())),OFFSET($BN$2,0,0,ROW()-1,60),ROW()-1,FALSE))</f>
        <v/>
      </c>
      <c r="AA138" t="str">
        <f ca="1">IF(AND(ISNUMBER($AA$383),$B$258=1),$AA$383,HLOOKUP(INDIRECT(ADDRESS(2,COLUMN())),OFFSET($BN$2,0,0,ROW()-1,60),ROW()-1,FALSE))</f>
        <v/>
      </c>
      <c r="AB138" t="str">
        <f ca="1">IF(AND(ISNUMBER($AB$383),$B$258=1),$AB$383,HLOOKUP(INDIRECT(ADDRESS(2,COLUMN())),OFFSET($BN$2,0,0,ROW()-1,60),ROW()-1,FALSE))</f>
        <v/>
      </c>
      <c r="AC138" t="str">
        <f ca="1">IF(AND(ISNUMBER($AC$383),$B$258=1),$AC$383,HLOOKUP(INDIRECT(ADDRESS(2,COLUMN())),OFFSET($BN$2,0,0,ROW()-1,60),ROW()-1,FALSE))</f>
        <v/>
      </c>
      <c r="AD138" t="str">
        <f ca="1">IF(AND(ISNUMBER($AD$383),$B$258=1),$AD$383,HLOOKUP(INDIRECT(ADDRESS(2,COLUMN())),OFFSET($BN$2,0,0,ROW()-1,60),ROW()-1,FALSE))</f>
        <v/>
      </c>
      <c r="AE138" t="str">
        <f ca="1">IF(AND(ISNUMBER($AE$383),$B$258=1),$AE$383,HLOOKUP(INDIRECT(ADDRESS(2,COLUMN())),OFFSET($BN$2,0,0,ROW()-1,60),ROW()-1,FALSE))</f>
        <v/>
      </c>
      <c r="AF138" t="str">
        <f ca="1">IF(AND(ISNUMBER($AF$383),$B$258=1),$AF$383,HLOOKUP(INDIRECT(ADDRESS(2,COLUMN())),OFFSET($BN$2,0,0,ROW()-1,60),ROW()-1,FALSE))</f>
        <v/>
      </c>
      <c r="AG138" t="str">
        <f ca="1">IF(AND(ISNUMBER($AG$383),$B$258=1),$AG$383,HLOOKUP(INDIRECT(ADDRESS(2,COLUMN())),OFFSET($BN$2,0,0,ROW()-1,60),ROW()-1,FALSE))</f>
        <v/>
      </c>
      <c r="AH138" t="str">
        <f ca="1">IF(AND(ISNUMBER($AH$383),$B$258=1),$AH$383,HLOOKUP(INDIRECT(ADDRESS(2,COLUMN())),OFFSET($BN$2,0,0,ROW()-1,60),ROW()-1,FALSE))</f>
        <v/>
      </c>
      <c r="AI138" t="str">
        <f ca="1">IF(AND(ISNUMBER($AI$383),$B$258=1),$AI$383,HLOOKUP(INDIRECT(ADDRESS(2,COLUMN())),OFFSET($BN$2,0,0,ROW()-1,60),ROW()-1,FALSE))</f>
        <v/>
      </c>
      <c r="AJ138" t="str">
        <f ca="1">IF(AND(ISNUMBER($AJ$383),$B$258=1),$AJ$383,HLOOKUP(INDIRECT(ADDRESS(2,COLUMN())),OFFSET($BN$2,0,0,ROW()-1,60),ROW()-1,FALSE))</f>
        <v/>
      </c>
      <c r="AK138" t="str">
        <f ca="1">IF(AND(ISNUMBER($AK$383),$B$258=1),$AK$383,HLOOKUP(INDIRECT(ADDRESS(2,COLUMN())),OFFSET($BN$2,0,0,ROW()-1,60),ROW()-1,FALSE))</f>
        <v/>
      </c>
      <c r="AL138" t="str">
        <f ca="1">IF(AND(ISNUMBER($AL$383),$B$258=1),$AL$383,HLOOKUP(INDIRECT(ADDRESS(2,COLUMN())),OFFSET($BN$2,0,0,ROW()-1,60),ROW()-1,FALSE))</f>
        <v/>
      </c>
      <c r="AM138" t="str">
        <f ca="1">IF(AND(ISNUMBER($AM$383),$B$258=1),$AM$383,HLOOKUP(INDIRECT(ADDRESS(2,COLUMN())),OFFSET($BN$2,0,0,ROW()-1,60),ROW()-1,FALSE))</f>
        <v/>
      </c>
      <c r="AN138" t="str">
        <f ca="1">IF(AND(ISNUMBER($AN$383),$B$258=1),$AN$383,HLOOKUP(INDIRECT(ADDRESS(2,COLUMN())),OFFSET($BN$2,0,0,ROW()-1,60),ROW()-1,FALSE))</f>
        <v/>
      </c>
      <c r="AO138" t="str">
        <f ca="1">IF(AND(ISNUMBER($AO$383),$B$258=1),$AO$383,HLOOKUP(INDIRECT(ADDRESS(2,COLUMN())),OFFSET($BN$2,0,0,ROW()-1,60),ROW()-1,FALSE))</f>
        <v/>
      </c>
      <c r="AP138" t="str">
        <f ca="1">IF(AND(ISNUMBER($AP$383),$B$258=1),$AP$383,HLOOKUP(INDIRECT(ADDRESS(2,COLUMN())),OFFSET($BN$2,0,0,ROW()-1,60),ROW()-1,FALSE))</f>
        <v/>
      </c>
      <c r="AQ138" t="str">
        <f ca="1">IF(AND(ISNUMBER($AQ$383),$B$258=1),$AQ$383,HLOOKUP(INDIRECT(ADDRESS(2,COLUMN())),OFFSET($BN$2,0,0,ROW()-1,60),ROW()-1,FALSE))</f>
        <v/>
      </c>
      <c r="AR138" t="str">
        <f ca="1">IF(AND(ISNUMBER($AR$383),$B$258=1),$AR$383,HLOOKUP(INDIRECT(ADDRESS(2,COLUMN())),OFFSET($BN$2,0,0,ROW()-1,60),ROW()-1,FALSE))</f>
        <v/>
      </c>
      <c r="AS138" t="str">
        <f ca="1">IF(AND(ISNUMBER($AS$383),$B$258=1),$AS$383,HLOOKUP(INDIRECT(ADDRESS(2,COLUMN())),OFFSET($BN$2,0,0,ROW()-1,60),ROW()-1,FALSE))</f>
        <v/>
      </c>
      <c r="AT138" t="str">
        <f ca="1">IF(AND(ISNUMBER($AT$383),$B$258=1),$AT$383,HLOOKUP(INDIRECT(ADDRESS(2,COLUMN())),OFFSET($BN$2,0,0,ROW()-1,60),ROW()-1,FALSE))</f>
        <v/>
      </c>
      <c r="AU138" t="str">
        <f ca="1">IF(AND(ISNUMBER($AU$383),$B$258=1),$AU$383,HLOOKUP(INDIRECT(ADDRESS(2,COLUMN())),OFFSET($BN$2,0,0,ROW()-1,60),ROW()-1,FALSE))</f>
        <v/>
      </c>
      <c r="AV138" t="str">
        <f ca="1">IF(AND(ISNUMBER($AV$383),$B$258=1),$AV$383,HLOOKUP(INDIRECT(ADDRESS(2,COLUMN())),OFFSET($BN$2,0,0,ROW()-1,60),ROW()-1,FALSE))</f>
        <v/>
      </c>
      <c r="AW138" t="str">
        <f ca="1">IF(AND(ISNUMBER($AW$383),$B$258=1),$AW$383,HLOOKUP(INDIRECT(ADDRESS(2,COLUMN())),OFFSET($BN$2,0,0,ROW()-1,60),ROW()-1,FALSE))</f>
        <v/>
      </c>
      <c r="AX138" t="str">
        <f ca="1">IF(AND(ISNUMBER($AX$383),$B$258=1),$AX$383,HLOOKUP(INDIRECT(ADDRESS(2,COLUMN())),OFFSET($BN$2,0,0,ROW()-1,60),ROW()-1,FALSE))</f>
        <v/>
      </c>
      <c r="AY138" t="str">
        <f ca="1">IF(AND(ISNUMBER($AY$383),$B$258=1),$AY$383,HLOOKUP(INDIRECT(ADDRESS(2,COLUMN())),OFFSET($BN$2,0,0,ROW()-1,60),ROW()-1,FALSE))</f>
        <v/>
      </c>
      <c r="AZ138" t="str">
        <f ca="1">IF(AND(ISNUMBER($AZ$383),$B$258=1),$AZ$383,HLOOKUP(INDIRECT(ADDRESS(2,COLUMN())),OFFSET($BN$2,0,0,ROW()-1,60),ROW()-1,FALSE))</f>
        <v/>
      </c>
      <c r="BA138" t="str">
        <f ca="1">IF(AND(ISNUMBER($BA$383),$B$258=1),$BA$383,HLOOKUP(INDIRECT(ADDRESS(2,COLUMN())),OFFSET($BN$2,0,0,ROW()-1,60),ROW()-1,FALSE))</f>
        <v/>
      </c>
      <c r="BB138" t="str">
        <f ca="1">IF(AND(ISNUMBER($BB$383),$B$258=1),$BB$383,HLOOKUP(INDIRECT(ADDRESS(2,COLUMN())),OFFSET($BN$2,0,0,ROW()-1,60),ROW()-1,FALSE))</f>
        <v/>
      </c>
      <c r="BC138" t="str">
        <f ca="1">IF(AND(ISNUMBER($BC$383),$B$258=1),$BC$383,HLOOKUP(INDIRECT(ADDRESS(2,COLUMN())),OFFSET($BN$2,0,0,ROW()-1,60),ROW()-1,FALSE))</f>
        <v/>
      </c>
      <c r="BD138" t="str">
        <f ca="1">IF(AND(ISNUMBER($BD$383),$B$258=1),$BD$383,HLOOKUP(INDIRECT(ADDRESS(2,COLUMN())),OFFSET($BN$2,0,0,ROW()-1,60),ROW()-1,FALSE))</f>
        <v/>
      </c>
      <c r="BE138" t="str">
        <f ca="1">IF(AND(ISNUMBER($BE$383),$B$258=1),$BE$383,HLOOKUP(INDIRECT(ADDRESS(2,COLUMN())),OFFSET($BN$2,0,0,ROW()-1,60),ROW()-1,FALSE))</f>
        <v/>
      </c>
      <c r="BF138" t="str">
        <f ca="1">IF(AND(ISNUMBER($BF$383),$B$258=1),$BF$383,HLOOKUP(INDIRECT(ADDRESS(2,COLUMN())),OFFSET($BN$2,0,0,ROW()-1,60),ROW()-1,FALSE))</f>
        <v/>
      </c>
      <c r="BG138" t="str">
        <f ca="1">IF(AND(ISNUMBER($BG$383),$B$258=1),$BG$383,HLOOKUP(INDIRECT(ADDRESS(2,COLUMN())),OFFSET($BN$2,0,0,ROW()-1,60),ROW()-1,FALSE))</f>
        <v/>
      </c>
      <c r="BH138" t="str">
        <f ca="1">IF(AND(ISNUMBER($BH$383),$B$258=1),$BH$383,HLOOKUP(INDIRECT(ADDRESS(2,COLUMN())),OFFSET($BN$2,0,0,ROW()-1,60),ROW()-1,FALSE))</f>
        <v/>
      </c>
      <c r="BI138" t="str">
        <f ca="1">IF(AND(ISNUMBER($BI$383),$B$258=1),$BI$383,HLOOKUP(INDIRECT(ADDRESS(2,COLUMN())),OFFSET($BN$2,0,0,ROW()-1,60),ROW()-1,FALSE))</f>
        <v/>
      </c>
      <c r="BJ138" t="str">
        <f ca="1">IF(AND(ISNUMBER($BJ$383),$B$258=1),$BJ$383,HLOOKUP(INDIRECT(ADDRESS(2,COLUMN())),OFFSET($BN$2,0,0,ROW()-1,60),ROW()-1,FALSE))</f>
        <v/>
      </c>
      <c r="BK138" t="str">
        <f ca="1">IF(AND(ISNUMBER($BK$383),$B$258=1),$BK$383,HLOOKUP(INDIRECT(ADDRESS(2,COLUMN())),OFFSET($BN$2,0,0,ROW()-1,60),ROW()-1,FALSE))</f>
        <v/>
      </c>
      <c r="BL138" t="str">
        <f ca="1">IF(AND(ISNUMBER($BL$383),$B$258=1),$BL$383,HLOOKUP(INDIRECT(ADDRESS(2,COLUMN())),OFFSET($BN$2,0,0,ROW()-1,60),ROW()-1,FALSE))</f>
        <v/>
      </c>
      <c r="BM138" t="str">
        <f ca="1">IF(AND(ISNUMBER($BM$383),$B$258=1),$BM$383,HLOOKUP(INDIRECT(ADDRESS(2,COLUMN())),OFFSET($BN$2,0,0,ROW()-1,60),ROW()-1,FALSE))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  <c r="CH138" t="str">
        <f>""</f>
        <v/>
      </c>
      <c r="CI138" t="str">
        <f>""</f>
        <v/>
      </c>
      <c r="CJ138" t="str">
        <f>""</f>
        <v/>
      </c>
      <c r="CK138" t="str">
        <f>""</f>
        <v/>
      </c>
      <c r="CL138" t="str">
        <f>""</f>
        <v/>
      </c>
      <c r="CM138" t="str">
        <f>""</f>
        <v/>
      </c>
      <c r="CN138" t="str">
        <f>""</f>
        <v/>
      </c>
      <c r="CO138" t="str">
        <f>""</f>
        <v/>
      </c>
      <c r="CP138" t="str">
        <f>""</f>
        <v/>
      </c>
      <c r="CQ138" t="str">
        <f>""</f>
        <v/>
      </c>
      <c r="CR138" t="str">
        <f>""</f>
        <v/>
      </c>
      <c r="CS138" t="str">
        <f>""</f>
        <v/>
      </c>
      <c r="CT138" t="str">
        <f>""</f>
        <v/>
      </c>
      <c r="CU138" t="str">
        <f>""</f>
        <v/>
      </c>
      <c r="CV138" t="str">
        <f>""</f>
        <v/>
      </c>
      <c r="CW138" t="str">
        <f>""</f>
        <v/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>
      <c r="A139" t="str">
        <f>"    Healthcare Realty Trust Inc"</f>
        <v xml:space="preserve">    Healthcare Realty Trust Inc</v>
      </c>
      <c r="B139" t="str">
        <f>"HR US Equity"</f>
        <v>HR US Equity</v>
      </c>
      <c r="C139" t="str">
        <f t="shared" si="33"/>
        <v>BE592</v>
      </c>
      <c r="D139" t="str">
        <f t="shared" si="34"/>
        <v>BEST_FFOPS_YOY_GTH</v>
      </c>
      <c r="E139" t="str">
        <f t="shared" si="35"/>
        <v>动态</v>
      </c>
      <c r="F139" t="str">
        <f ca="1">IF(AND(ISNUMBER($F$384),$B$258=1),$F$384,HLOOKUP(INDIRECT(ADDRESS(2,COLUMN())),OFFSET($BN$2,0,0,ROW()-1,60),ROW()-1,FALSE))</f>
        <v/>
      </c>
      <c r="G139" t="str">
        <f ca="1">IF(AND(ISNUMBER($G$384),$B$258=1),$G$384,HLOOKUP(INDIRECT(ADDRESS(2,COLUMN())),OFFSET($BN$2,0,0,ROW()-1,60),ROW()-1,FALSE))</f>
        <v/>
      </c>
      <c r="H139" t="str">
        <f ca="1">IF(AND(ISNUMBER($H$384),$B$258=1),$H$384,HLOOKUP(INDIRECT(ADDRESS(2,COLUMN())),OFFSET($BN$2,0,0,ROW()-1,60),ROW()-1,FALSE))</f>
        <v/>
      </c>
      <c r="I139" t="str">
        <f ca="1">IF(AND(ISNUMBER($I$384),$B$258=1),$I$384,HLOOKUP(INDIRECT(ADDRESS(2,COLUMN())),OFFSET($BN$2,0,0,ROW()-1,60),ROW()-1,FALSE))</f>
        <v/>
      </c>
      <c r="J139" t="str">
        <f ca="1">IF(AND(ISNUMBER($J$384),$B$258=1),$J$384,HLOOKUP(INDIRECT(ADDRESS(2,COLUMN())),OFFSET($BN$2,0,0,ROW()-1,60),ROW()-1,FALSE))</f>
        <v/>
      </c>
      <c r="K139" t="str">
        <f ca="1">IF(AND(ISNUMBER($K$384),$B$258=1),$K$384,HLOOKUP(INDIRECT(ADDRESS(2,COLUMN())),OFFSET($BN$2,0,0,ROW()-1,60),ROW()-1,FALSE))</f>
        <v/>
      </c>
      <c r="L139" t="str">
        <f ca="1">IF(AND(ISNUMBER($L$384),$B$258=1),$L$384,HLOOKUP(INDIRECT(ADDRESS(2,COLUMN())),OFFSET($BN$2,0,0,ROW()-1,60),ROW()-1,FALSE))</f>
        <v/>
      </c>
      <c r="M139" t="str">
        <f ca="1">IF(AND(ISNUMBER($M$384),$B$258=1),$M$384,HLOOKUP(INDIRECT(ADDRESS(2,COLUMN())),OFFSET($BN$2,0,0,ROW()-1,60),ROW()-1,FALSE))</f>
        <v/>
      </c>
      <c r="N139" t="str">
        <f ca="1">IF(AND(ISNUMBER($N$384),$B$258=1),$N$384,HLOOKUP(INDIRECT(ADDRESS(2,COLUMN())),OFFSET($BN$2,0,0,ROW()-1,60),ROW()-1,FALSE))</f>
        <v/>
      </c>
      <c r="O139" t="str">
        <f ca="1">IF(AND(ISNUMBER($O$384),$B$258=1),$O$384,HLOOKUP(INDIRECT(ADDRESS(2,COLUMN())),OFFSET($BN$2,0,0,ROW()-1,60),ROW()-1,FALSE))</f>
        <v/>
      </c>
      <c r="P139" t="str">
        <f ca="1">IF(AND(ISNUMBER($P$384),$B$258=1),$P$384,HLOOKUP(INDIRECT(ADDRESS(2,COLUMN())),OFFSET($BN$2,0,0,ROW()-1,60),ROW()-1,FALSE))</f>
        <v/>
      </c>
      <c r="Q139" t="str">
        <f ca="1">IF(AND(ISNUMBER($Q$384),$B$258=1),$Q$384,HLOOKUP(INDIRECT(ADDRESS(2,COLUMN())),OFFSET($BN$2,0,0,ROW()-1,60),ROW()-1,FALSE))</f>
        <v/>
      </c>
      <c r="R139" t="str">
        <f ca="1">IF(AND(ISNUMBER($R$384),$B$258=1),$R$384,HLOOKUP(INDIRECT(ADDRESS(2,COLUMN())),OFFSET($BN$2,0,0,ROW()-1,60),ROW()-1,FALSE))</f>
        <v/>
      </c>
      <c r="S139" t="str">
        <f ca="1">IF(AND(ISNUMBER($S$384),$B$258=1),$S$384,HLOOKUP(INDIRECT(ADDRESS(2,COLUMN())),OFFSET($BN$2,0,0,ROW()-1,60),ROW()-1,FALSE))</f>
        <v/>
      </c>
      <c r="T139" t="str">
        <f ca="1">IF(AND(ISNUMBER($T$384),$B$258=1),$T$384,HLOOKUP(INDIRECT(ADDRESS(2,COLUMN())),OFFSET($BN$2,0,0,ROW()-1,60),ROW()-1,FALSE))</f>
        <v/>
      </c>
      <c r="U139" t="str">
        <f ca="1">IF(AND(ISNUMBER($U$384),$B$258=1),$U$384,HLOOKUP(INDIRECT(ADDRESS(2,COLUMN())),OFFSET($BN$2,0,0,ROW()-1,60),ROW()-1,FALSE))</f>
        <v/>
      </c>
      <c r="V139" t="str">
        <f ca="1">IF(AND(ISNUMBER($V$384),$B$258=1),$V$384,HLOOKUP(INDIRECT(ADDRESS(2,COLUMN())),OFFSET($BN$2,0,0,ROW()-1,60),ROW()-1,FALSE))</f>
        <v/>
      </c>
      <c r="W139" t="str">
        <f ca="1">IF(AND(ISNUMBER($W$384),$B$258=1),$W$384,HLOOKUP(INDIRECT(ADDRESS(2,COLUMN())),OFFSET($BN$2,0,0,ROW()-1,60),ROW()-1,FALSE))</f>
        <v/>
      </c>
      <c r="X139" t="str">
        <f ca="1">IF(AND(ISNUMBER($X$384),$B$258=1),$X$384,HLOOKUP(INDIRECT(ADDRESS(2,COLUMN())),OFFSET($BN$2,0,0,ROW()-1,60),ROW()-1,FALSE))</f>
        <v/>
      </c>
      <c r="Y139" t="str">
        <f ca="1">IF(AND(ISNUMBER($Y$384),$B$258=1),$Y$384,HLOOKUP(INDIRECT(ADDRESS(2,COLUMN())),OFFSET($BN$2,0,0,ROW()-1,60),ROW()-1,FALSE))</f>
        <v/>
      </c>
      <c r="Z139" t="str">
        <f ca="1">IF(AND(ISNUMBER($Z$384),$B$258=1),$Z$384,HLOOKUP(INDIRECT(ADDRESS(2,COLUMN())),OFFSET($BN$2,0,0,ROW()-1,60),ROW()-1,FALSE))</f>
        <v/>
      </c>
      <c r="AA139" t="str">
        <f ca="1">IF(AND(ISNUMBER($AA$384),$B$258=1),$AA$384,HLOOKUP(INDIRECT(ADDRESS(2,COLUMN())),OFFSET($BN$2,0,0,ROW()-1,60),ROW()-1,FALSE))</f>
        <v/>
      </c>
      <c r="AB139" t="str">
        <f ca="1">IF(AND(ISNUMBER($AB$384),$B$258=1),$AB$384,HLOOKUP(INDIRECT(ADDRESS(2,COLUMN())),OFFSET($BN$2,0,0,ROW()-1,60),ROW()-1,FALSE))</f>
        <v/>
      </c>
      <c r="AC139" t="str">
        <f ca="1">IF(AND(ISNUMBER($AC$384),$B$258=1),$AC$384,HLOOKUP(INDIRECT(ADDRESS(2,COLUMN())),OFFSET($BN$2,0,0,ROW()-1,60),ROW()-1,FALSE))</f>
        <v/>
      </c>
      <c r="AD139" t="str">
        <f ca="1">IF(AND(ISNUMBER($AD$384),$B$258=1),$AD$384,HLOOKUP(INDIRECT(ADDRESS(2,COLUMN())),OFFSET($BN$2,0,0,ROW()-1,60),ROW()-1,FALSE))</f>
        <v/>
      </c>
      <c r="AE139" t="str">
        <f ca="1">IF(AND(ISNUMBER($AE$384),$B$258=1),$AE$384,HLOOKUP(INDIRECT(ADDRESS(2,COLUMN())),OFFSET($BN$2,0,0,ROW()-1,60),ROW()-1,FALSE))</f>
        <v/>
      </c>
      <c r="AF139" t="str">
        <f ca="1">IF(AND(ISNUMBER($AF$384),$B$258=1),$AF$384,HLOOKUP(INDIRECT(ADDRESS(2,COLUMN())),OFFSET($BN$2,0,0,ROW()-1,60),ROW()-1,FALSE))</f>
        <v/>
      </c>
      <c r="AG139" t="str">
        <f ca="1">IF(AND(ISNUMBER($AG$384),$B$258=1),$AG$384,HLOOKUP(INDIRECT(ADDRESS(2,COLUMN())),OFFSET($BN$2,0,0,ROW()-1,60),ROW()-1,FALSE))</f>
        <v/>
      </c>
      <c r="AH139" t="str">
        <f ca="1">IF(AND(ISNUMBER($AH$384),$B$258=1),$AH$384,HLOOKUP(INDIRECT(ADDRESS(2,COLUMN())),OFFSET($BN$2,0,0,ROW()-1,60),ROW()-1,FALSE))</f>
        <v/>
      </c>
      <c r="AI139" t="str">
        <f ca="1">IF(AND(ISNUMBER($AI$384),$B$258=1),$AI$384,HLOOKUP(INDIRECT(ADDRESS(2,COLUMN())),OFFSET($BN$2,0,0,ROW()-1,60),ROW()-1,FALSE))</f>
        <v/>
      </c>
      <c r="AJ139" t="str">
        <f ca="1">IF(AND(ISNUMBER($AJ$384),$B$258=1),$AJ$384,HLOOKUP(INDIRECT(ADDRESS(2,COLUMN())),OFFSET($BN$2,0,0,ROW()-1,60),ROW()-1,FALSE))</f>
        <v/>
      </c>
      <c r="AK139" t="str">
        <f ca="1">IF(AND(ISNUMBER($AK$384),$B$258=1),$AK$384,HLOOKUP(INDIRECT(ADDRESS(2,COLUMN())),OFFSET($BN$2,0,0,ROW()-1,60),ROW()-1,FALSE))</f>
        <v/>
      </c>
      <c r="AL139" t="str">
        <f ca="1">IF(AND(ISNUMBER($AL$384),$B$258=1),$AL$384,HLOOKUP(INDIRECT(ADDRESS(2,COLUMN())),OFFSET($BN$2,0,0,ROW()-1,60),ROW()-1,FALSE))</f>
        <v/>
      </c>
      <c r="AM139" t="str">
        <f ca="1">IF(AND(ISNUMBER($AM$384),$B$258=1),$AM$384,HLOOKUP(INDIRECT(ADDRESS(2,COLUMN())),OFFSET($BN$2,0,0,ROW()-1,60),ROW()-1,FALSE))</f>
        <v/>
      </c>
      <c r="AN139" t="str">
        <f ca="1">IF(AND(ISNUMBER($AN$384),$B$258=1),$AN$384,HLOOKUP(INDIRECT(ADDRESS(2,COLUMN())),OFFSET($BN$2,0,0,ROW()-1,60),ROW()-1,FALSE))</f>
        <v/>
      </c>
      <c r="AO139" t="str">
        <f ca="1">IF(AND(ISNUMBER($AO$384),$B$258=1),$AO$384,HLOOKUP(INDIRECT(ADDRESS(2,COLUMN())),OFFSET($BN$2,0,0,ROW()-1,60),ROW()-1,FALSE))</f>
        <v/>
      </c>
      <c r="AP139" t="str">
        <f ca="1">IF(AND(ISNUMBER($AP$384),$B$258=1),$AP$384,HLOOKUP(INDIRECT(ADDRESS(2,COLUMN())),OFFSET($BN$2,0,0,ROW()-1,60),ROW()-1,FALSE))</f>
        <v/>
      </c>
      <c r="AQ139" t="str">
        <f ca="1">IF(AND(ISNUMBER($AQ$384),$B$258=1),$AQ$384,HLOOKUP(INDIRECT(ADDRESS(2,COLUMN())),OFFSET($BN$2,0,0,ROW()-1,60),ROW()-1,FALSE))</f>
        <v/>
      </c>
      <c r="AR139" t="str">
        <f ca="1">IF(AND(ISNUMBER($AR$384),$B$258=1),$AR$384,HLOOKUP(INDIRECT(ADDRESS(2,COLUMN())),OFFSET($BN$2,0,0,ROW()-1,60),ROW()-1,FALSE))</f>
        <v/>
      </c>
      <c r="AS139" t="str">
        <f ca="1">IF(AND(ISNUMBER($AS$384),$B$258=1),$AS$384,HLOOKUP(INDIRECT(ADDRESS(2,COLUMN())),OFFSET($BN$2,0,0,ROW()-1,60),ROW()-1,FALSE))</f>
        <v/>
      </c>
      <c r="AT139" t="str">
        <f ca="1">IF(AND(ISNUMBER($AT$384),$B$258=1),$AT$384,HLOOKUP(INDIRECT(ADDRESS(2,COLUMN())),OFFSET($BN$2,0,0,ROW()-1,60),ROW()-1,FALSE))</f>
        <v/>
      </c>
      <c r="AU139" t="str">
        <f ca="1">IF(AND(ISNUMBER($AU$384),$B$258=1),$AU$384,HLOOKUP(INDIRECT(ADDRESS(2,COLUMN())),OFFSET($BN$2,0,0,ROW()-1,60),ROW()-1,FALSE))</f>
        <v/>
      </c>
      <c r="AV139" t="str">
        <f ca="1">IF(AND(ISNUMBER($AV$384),$B$258=1),$AV$384,HLOOKUP(INDIRECT(ADDRESS(2,COLUMN())),OFFSET($BN$2,0,0,ROW()-1,60),ROW()-1,FALSE))</f>
        <v/>
      </c>
      <c r="AW139" t="str">
        <f ca="1">IF(AND(ISNUMBER($AW$384),$B$258=1),$AW$384,HLOOKUP(INDIRECT(ADDRESS(2,COLUMN())),OFFSET($BN$2,0,0,ROW()-1,60),ROW()-1,FALSE))</f>
        <v/>
      </c>
      <c r="AX139" t="str">
        <f ca="1">IF(AND(ISNUMBER($AX$384),$B$258=1),$AX$384,HLOOKUP(INDIRECT(ADDRESS(2,COLUMN())),OFFSET($BN$2,0,0,ROW()-1,60),ROW()-1,FALSE))</f>
        <v/>
      </c>
      <c r="AY139" t="str">
        <f ca="1">IF(AND(ISNUMBER($AY$384),$B$258=1),$AY$384,HLOOKUP(INDIRECT(ADDRESS(2,COLUMN())),OFFSET($BN$2,0,0,ROW()-1,60),ROW()-1,FALSE))</f>
        <v/>
      </c>
      <c r="AZ139" t="str">
        <f ca="1">IF(AND(ISNUMBER($AZ$384),$B$258=1),$AZ$384,HLOOKUP(INDIRECT(ADDRESS(2,COLUMN())),OFFSET($BN$2,0,0,ROW()-1,60),ROW()-1,FALSE))</f>
        <v/>
      </c>
      <c r="BA139" t="str">
        <f ca="1">IF(AND(ISNUMBER($BA$384),$B$258=1),$BA$384,HLOOKUP(INDIRECT(ADDRESS(2,COLUMN())),OFFSET($BN$2,0,0,ROW()-1,60),ROW()-1,FALSE))</f>
        <v/>
      </c>
      <c r="BB139" t="str">
        <f ca="1">IF(AND(ISNUMBER($BB$384),$B$258=1),$BB$384,HLOOKUP(INDIRECT(ADDRESS(2,COLUMN())),OFFSET($BN$2,0,0,ROW()-1,60),ROW()-1,FALSE))</f>
        <v/>
      </c>
      <c r="BC139" t="str">
        <f ca="1">IF(AND(ISNUMBER($BC$384),$B$258=1),$BC$384,HLOOKUP(INDIRECT(ADDRESS(2,COLUMN())),OFFSET($BN$2,0,0,ROW()-1,60),ROW()-1,FALSE))</f>
        <v/>
      </c>
      <c r="BD139" t="str">
        <f ca="1">IF(AND(ISNUMBER($BD$384),$B$258=1),$BD$384,HLOOKUP(INDIRECT(ADDRESS(2,COLUMN())),OFFSET($BN$2,0,0,ROW()-1,60),ROW()-1,FALSE))</f>
        <v/>
      </c>
      <c r="BE139" t="str">
        <f ca="1">IF(AND(ISNUMBER($BE$384),$B$258=1),$BE$384,HLOOKUP(INDIRECT(ADDRESS(2,COLUMN())),OFFSET($BN$2,0,0,ROW()-1,60),ROW()-1,FALSE))</f>
        <v/>
      </c>
      <c r="BF139" t="str">
        <f ca="1">IF(AND(ISNUMBER($BF$384),$B$258=1),$BF$384,HLOOKUP(INDIRECT(ADDRESS(2,COLUMN())),OFFSET($BN$2,0,0,ROW()-1,60),ROW()-1,FALSE))</f>
        <v/>
      </c>
      <c r="BG139" t="str">
        <f ca="1">IF(AND(ISNUMBER($BG$384),$B$258=1),$BG$384,HLOOKUP(INDIRECT(ADDRESS(2,COLUMN())),OFFSET($BN$2,0,0,ROW()-1,60),ROW()-1,FALSE))</f>
        <v/>
      </c>
      <c r="BH139" t="str">
        <f ca="1">IF(AND(ISNUMBER($BH$384),$B$258=1),$BH$384,HLOOKUP(INDIRECT(ADDRESS(2,COLUMN())),OFFSET($BN$2,0,0,ROW()-1,60),ROW()-1,FALSE))</f>
        <v/>
      </c>
      <c r="BI139" t="str">
        <f ca="1">IF(AND(ISNUMBER($BI$384),$B$258=1),$BI$384,HLOOKUP(INDIRECT(ADDRESS(2,COLUMN())),OFFSET($BN$2,0,0,ROW()-1,60),ROW()-1,FALSE))</f>
        <v/>
      </c>
      <c r="BJ139" t="str">
        <f ca="1">IF(AND(ISNUMBER($BJ$384),$B$258=1),$BJ$384,HLOOKUP(INDIRECT(ADDRESS(2,COLUMN())),OFFSET($BN$2,0,0,ROW()-1,60),ROW()-1,FALSE))</f>
        <v/>
      </c>
      <c r="BK139" t="str">
        <f ca="1">IF(AND(ISNUMBER($BK$384),$B$258=1),$BK$384,HLOOKUP(INDIRECT(ADDRESS(2,COLUMN())),OFFSET($BN$2,0,0,ROW()-1,60),ROW()-1,FALSE))</f>
        <v/>
      </c>
      <c r="BL139" t="str">
        <f ca="1">IF(AND(ISNUMBER($BL$384),$B$258=1),$BL$384,HLOOKUP(INDIRECT(ADDRESS(2,COLUMN())),OFFSET($BN$2,0,0,ROW()-1,60),ROW()-1,FALSE))</f>
        <v/>
      </c>
      <c r="BM139" t="str">
        <f ca="1">IF(AND(ISNUMBER($BM$384),$B$258=1),$BM$384,HLOOKUP(INDIRECT(ADDRESS(2,COLUMN())),OFFSET($BN$2,0,0,ROW()-1,60),ROW()-1,FALSE))</f>
        <v/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 t="str">
        <f>""</f>
        <v/>
      </c>
      <c r="CR139" t="str">
        <f>""</f>
        <v/>
      </c>
      <c r="CS139" t="str">
        <f>""</f>
        <v/>
      </c>
      <c r="CT139" t="str">
        <f>""</f>
        <v/>
      </c>
      <c r="CU139" t="str">
        <f>""</f>
        <v/>
      </c>
      <c r="CV139" t="str">
        <f>""</f>
        <v/>
      </c>
      <c r="CW139" t="str">
        <f>""</f>
        <v/>
      </c>
      <c r="CX139" t="str">
        <f>""</f>
        <v/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>
      <c r="A140" t="str">
        <f>"    Healthcare Trust of America In"</f>
        <v xml:space="preserve">    Healthcare Trust of America In</v>
      </c>
      <c r="B140" t="str">
        <f>"HTA US Equity"</f>
        <v>HTA US Equity</v>
      </c>
      <c r="C140" t="str">
        <f t="shared" si="33"/>
        <v>BE592</v>
      </c>
      <c r="D140" t="str">
        <f t="shared" si="34"/>
        <v>BEST_FFOPS_YOY_GTH</v>
      </c>
      <c r="E140" t="str">
        <f t="shared" si="35"/>
        <v>动态</v>
      </c>
      <c r="F140" t="str">
        <f ca="1">IF(AND(ISNUMBER($F$385),$B$258=1),$F$385,HLOOKUP(INDIRECT(ADDRESS(2,COLUMN())),OFFSET($BN$2,0,0,ROW()-1,60),ROW()-1,FALSE))</f>
        <v/>
      </c>
      <c r="G140" t="str">
        <f ca="1">IF(AND(ISNUMBER($G$385),$B$258=1),$G$385,HLOOKUP(INDIRECT(ADDRESS(2,COLUMN())),OFFSET($BN$2,0,0,ROW()-1,60),ROW()-1,FALSE))</f>
        <v/>
      </c>
      <c r="H140" t="str">
        <f ca="1">IF(AND(ISNUMBER($H$385),$B$258=1),$H$385,HLOOKUP(INDIRECT(ADDRESS(2,COLUMN())),OFFSET($BN$2,0,0,ROW()-1,60),ROW()-1,FALSE))</f>
        <v/>
      </c>
      <c r="I140" t="str">
        <f ca="1">IF(AND(ISNUMBER($I$385),$B$258=1),$I$385,HLOOKUP(INDIRECT(ADDRESS(2,COLUMN())),OFFSET($BN$2,0,0,ROW()-1,60),ROW()-1,FALSE))</f>
        <v/>
      </c>
      <c r="J140" t="str">
        <f ca="1">IF(AND(ISNUMBER($J$385),$B$258=1),$J$385,HLOOKUP(INDIRECT(ADDRESS(2,COLUMN())),OFFSET($BN$2,0,0,ROW()-1,60),ROW()-1,FALSE))</f>
        <v/>
      </c>
      <c r="K140" t="str">
        <f ca="1">IF(AND(ISNUMBER($K$385),$B$258=1),$K$385,HLOOKUP(INDIRECT(ADDRESS(2,COLUMN())),OFFSET($BN$2,0,0,ROW()-1,60),ROW()-1,FALSE))</f>
        <v/>
      </c>
      <c r="L140" t="str">
        <f ca="1">IF(AND(ISNUMBER($L$385),$B$258=1),$L$385,HLOOKUP(INDIRECT(ADDRESS(2,COLUMN())),OFFSET($BN$2,0,0,ROW()-1,60),ROW()-1,FALSE))</f>
        <v/>
      </c>
      <c r="M140" t="str">
        <f ca="1">IF(AND(ISNUMBER($M$385),$B$258=1),$M$385,HLOOKUP(INDIRECT(ADDRESS(2,COLUMN())),OFFSET($BN$2,0,0,ROW()-1,60),ROW()-1,FALSE))</f>
        <v/>
      </c>
      <c r="N140" t="str">
        <f ca="1">IF(AND(ISNUMBER($N$385),$B$258=1),$N$385,HLOOKUP(INDIRECT(ADDRESS(2,COLUMN())),OFFSET($BN$2,0,0,ROW()-1,60),ROW()-1,FALSE))</f>
        <v/>
      </c>
      <c r="O140" t="str">
        <f ca="1">IF(AND(ISNUMBER($O$385),$B$258=1),$O$385,HLOOKUP(INDIRECT(ADDRESS(2,COLUMN())),OFFSET($BN$2,0,0,ROW()-1,60),ROW()-1,FALSE))</f>
        <v/>
      </c>
      <c r="P140" t="str">
        <f ca="1">IF(AND(ISNUMBER($P$385),$B$258=1),$P$385,HLOOKUP(INDIRECT(ADDRESS(2,COLUMN())),OFFSET($BN$2,0,0,ROW()-1,60),ROW()-1,FALSE))</f>
        <v/>
      </c>
      <c r="Q140" t="str">
        <f ca="1">IF(AND(ISNUMBER($Q$385),$B$258=1),$Q$385,HLOOKUP(INDIRECT(ADDRESS(2,COLUMN())),OFFSET($BN$2,0,0,ROW()-1,60),ROW()-1,FALSE))</f>
        <v/>
      </c>
      <c r="R140" t="str">
        <f ca="1">IF(AND(ISNUMBER($R$385),$B$258=1),$R$385,HLOOKUP(INDIRECT(ADDRESS(2,COLUMN())),OFFSET($BN$2,0,0,ROW()-1,60),ROW()-1,FALSE))</f>
        <v/>
      </c>
      <c r="S140" t="str">
        <f ca="1">IF(AND(ISNUMBER($S$385),$B$258=1),$S$385,HLOOKUP(INDIRECT(ADDRESS(2,COLUMN())),OFFSET($BN$2,0,0,ROW()-1,60),ROW()-1,FALSE))</f>
        <v/>
      </c>
      <c r="T140" t="str">
        <f ca="1">IF(AND(ISNUMBER($T$385),$B$258=1),$T$385,HLOOKUP(INDIRECT(ADDRESS(2,COLUMN())),OFFSET($BN$2,0,0,ROW()-1,60),ROW()-1,FALSE))</f>
        <v/>
      </c>
      <c r="U140" t="str">
        <f ca="1">IF(AND(ISNUMBER($U$385),$B$258=1),$U$385,HLOOKUP(INDIRECT(ADDRESS(2,COLUMN())),OFFSET($BN$2,0,0,ROW()-1,60),ROW()-1,FALSE))</f>
        <v/>
      </c>
      <c r="V140" t="str">
        <f ca="1">IF(AND(ISNUMBER($V$385),$B$258=1),$V$385,HLOOKUP(INDIRECT(ADDRESS(2,COLUMN())),OFFSET($BN$2,0,0,ROW()-1,60),ROW()-1,FALSE))</f>
        <v/>
      </c>
      <c r="W140" t="str">
        <f ca="1">IF(AND(ISNUMBER($W$385),$B$258=1),$W$385,HLOOKUP(INDIRECT(ADDRESS(2,COLUMN())),OFFSET($BN$2,0,0,ROW()-1,60),ROW()-1,FALSE))</f>
        <v/>
      </c>
      <c r="X140" t="str">
        <f ca="1">IF(AND(ISNUMBER($X$385),$B$258=1),$X$385,HLOOKUP(INDIRECT(ADDRESS(2,COLUMN())),OFFSET($BN$2,0,0,ROW()-1,60),ROW()-1,FALSE))</f>
        <v/>
      </c>
      <c r="Y140" t="str">
        <f ca="1">IF(AND(ISNUMBER($Y$385),$B$258=1),$Y$385,HLOOKUP(INDIRECT(ADDRESS(2,COLUMN())),OFFSET($BN$2,0,0,ROW()-1,60),ROW()-1,FALSE))</f>
        <v/>
      </c>
      <c r="Z140" t="str">
        <f ca="1">IF(AND(ISNUMBER($Z$385),$B$258=1),$Z$385,HLOOKUP(INDIRECT(ADDRESS(2,COLUMN())),OFFSET($BN$2,0,0,ROW()-1,60),ROW()-1,FALSE))</f>
        <v/>
      </c>
      <c r="AA140" t="str">
        <f ca="1">IF(AND(ISNUMBER($AA$385),$B$258=1),$AA$385,HLOOKUP(INDIRECT(ADDRESS(2,COLUMN())),OFFSET($BN$2,0,0,ROW()-1,60),ROW()-1,FALSE))</f>
        <v/>
      </c>
      <c r="AB140" t="str">
        <f ca="1">IF(AND(ISNUMBER($AB$385),$B$258=1),$AB$385,HLOOKUP(INDIRECT(ADDRESS(2,COLUMN())),OFFSET($BN$2,0,0,ROW()-1,60),ROW()-1,FALSE))</f>
        <v/>
      </c>
      <c r="AC140" t="str">
        <f ca="1">IF(AND(ISNUMBER($AC$385),$B$258=1),$AC$385,HLOOKUP(INDIRECT(ADDRESS(2,COLUMN())),OFFSET($BN$2,0,0,ROW()-1,60),ROW()-1,FALSE))</f>
        <v/>
      </c>
      <c r="AD140" t="str">
        <f ca="1">IF(AND(ISNUMBER($AD$385),$B$258=1),$AD$385,HLOOKUP(INDIRECT(ADDRESS(2,COLUMN())),OFFSET($BN$2,0,0,ROW()-1,60),ROW()-1,FALSE))</f>
        <v/>
      </c>
      <c r="AE140" t="str">
        <f ca="1">IF(AND(ISNUMBER($AE$385),$B$258=1),$AE$385,HLOOKUP(INDIRECT(ADDRESS(2,COLUMN())),OFFSET($BN$2,0,0,ROW()-1,60),ROW()-1,FALSE))</f>
        <v/>
      </c>
      <c r="AF140" t="str">
        <f ca="1">IF(AND(ISNUMBER($AF$385),$B$258=1),$AF$385,HLOOKUP(INDIRECT(ADDRESS(2,COLUMN())),OFFSET($BN$2,0,0,ROW()-1,60),ROW()-1,FALSE))</f>
        <v/>
      </c>
      <c r="AG140" t="str">
        <f ca="1">IF(AND(ISNUMBER($AG$385),$B$258=1),$AG$385,HLOOKUP(INDIRECT(ADDRESS(2,COLUMN())),OFFSET($BN$2,0,0,ROW()-1,60),ROW()-1,FALSE))</f>
        <v/>
      </c>
      <c r="AH140" t="str">
        <f ca="1">IF(AND(ISNUMBER($AH$385),$B$258=1),$AH$385,HLOOKUP(INDIRECT(ADDRESS(2,COLUMN())),OFFSET($BN$2,0,0,ROW()-1,60),ROW()-1,FALSE))</f>
        <v/>
      </c>
      <c r="AI140" t="str">
        <f ca="1">IF(AND(ISNUMBER($AI$385),$B$258=1),$AI$385,HLOOKUP(INDIRECT(ADDRESS(2,COLUMN())),OFFSET($BN$2,0,0,ROW()-1,60),ROW()-1,FALSE))</f>
        <v/>
      </c>
      <c r="AJ140" t="str">
        <f ca="1">IF(AND(ISNUMBER($AJ$385),$B$258=1),$AJ$385,HLOOKUP(INDIRECT(ADDRESS(2,COLUMN())),OFFSET($BN$2,0,0,ROW()-1,60),ROW()-1,FALSE))</f>
        <v/>
      </c>
      <c r="AK140" t="str">
        <f ca="1">IF(AND(ISNUMBER($AK$385),$B$258=1),$AK$385,HLOOKUP(INDIRECT(ADDRESS(2,COLUMN())),OFFSET($BN$2,0,0,ROW()-1,60),ROW()-1,FALSE))</f>
        <v/>
      </c>
      <c r="AL140" t="str">
        <f ca="1">IF(AND(ISNUMBER($AL$385),$B$258=1),$AL$385,HLOOKUP(INDIRECT(ADDRESS(2,COLUMN())),OFFSET($BN$2,0,0,ROW()-1,60),ROW()-1,FALSE))</f>
        <v/>
      </c>
      <c r="AM140" t="str">
        <f ca="1">IF(AND(ISNUMBER($AM$385),$B$258=1),$AM$385,HLOOKUP(INDIRECT(ADDRESS(2,COLUMN())),OFFSET($BN$2,0,0,ROW()-1,60),ROW()-1,FALSE))</f>
        <v/>
      </c>
      <c r="AN140" t="str">
        <f ca="1">IF(AND(ISNUMBER($AN$385),$B$258=1),$AN$385,HLOOKUP(INDIRECT(ADDRESS(2,COLUMN())),OFFSET($BN$2,0,0,ROW()-1,60),ROW()-1,FALSE))</f>
        <v/>
      </c>
      <c r="AO140" t="str">
        <f ca="1">IF(AND(ISNUMBER($AO$385),$B$258=1),$AO$385,HLOOKUP(INDIRECT(ADDRESS(2,COLUMN())),OFFSET($BN$2,0,0,ROW()-1,60),ROW()-1,FALSE))</f>
        <v/>
      </c>
      <c r="AP140" t="str">
        <f ca="1">IF(AND(ISNUMBER($AP$385),$B$258=1),$AP$385,HLOOKUP(INDIRECT(ADDRESS(2,COLUMN())),OFFSET($BN$2,0,0,ROW()-1,60),ROW()-1,FALSE))</f>
        <v/>
      </c>
      <c r="AQ140" t="str">
        <f ca="1">IF(AND(ISNUMBER($AQ$385),$B$258=1),$AQ$385,HLOOKUP(INDIRECT(ADDRESS(2,COLUMN())),OFFSET($BN$2,0,0,ROW()-1,60),ROW()-1,FALSE))</f>
        <v/>
      </c>
      <c r="AR140" t="str">
        <f ca="1">IF(AND(ISNUMBER($AR$385),$B$258=1),$AR$385,HLOOKUP(INDIRECT(ADDRESS(2,COLUMN())),OFFSET($BN$2,0,0,ROW()-1,60),ROW()-1,FALSE))</f>
        <v/>
      </c>
      <c r="AS140" t="str">
        <f ca="1">IF(AND(ISNUMBER($AS$385),$B$258=1),$AS$385,HLOOKUP(INDIRECT(ADDRESS(2,COLUMN())),OFFSET($BN$2,0,0,ROW()-1,60),ROW()-1,FALSE))</f>
        <v/>
      </c>
      <c r="AT140" t="str">
        <f ca="1">IF(AND(ISNUMBER($AT$385),$B$258=1),$AT$385,HLOOKUP(INDIRECT(ADDRESS(2,COLUMN())),OFFSET($BN$2,0,0,ROW()-1,60),ROW()-1,FALSE))</f>
        <v/>
      </c>
      <c r="AU140" t="str">
        <f ca="1">IF(AND(ISNUMBER($AU$385),$B$258=1),$AU$385,HLOOKUP(INDIRECT(ADDRESS(2,COLUMN())),OFFSET($BN$2,0,0,ROW()-1,60),ROW()-1,FALSE))</f>
        <v/>
      </c>
      <c r="AV140" t="str">
        <f ca="1">IF(AND(ISNUMBER($AV$385),$B$258=1),$AV$385,HLOOKUP(INDIRECT(ADDRESS(2,COLUMN())),OFFSET($BN$2,0,0,ROW()-1,60),ROW()-1,FALSE))</f>
        <v/>
      </c>
      <c r="AW140" t="str">
        <f ca="1">IF(AND(ISNUMBER($AW$385),$B$258=1),$AW$385,HLOOKUP(INDIRECT(ADDRESS(2,COLUMN())),OFFSET($BN$2,0,0,ROW()-1,60),ROW()-1,FALSE))</f>
        <v/>
      </c>
      <c r="AX140" t="str">
        <f ca="1">IF(AND(ISNUMBER($AX$385),$B$258=1),$AX$385,HLOOKUP(INDIRECT(ADDRESS(2,COLUMN())),OFFSET($BN$2,0,0,ROW()-1,60),ROW()-1,FALSE))</f>
        <v/>
      </c>
      <c r="AY140" t="str">
        <f ca="1">IF(AND(ISNUMBER($AY$385),$B$258=1),$AY$385,HLOOKUP(INDIRECT(ADDRESS(2,COLUMN())),OFFSET($BN$2,0,0,ROW()-1,60),ROW()-1,FALSE))</f>
        <v/>
      </c>
      <c r="AZ140" t="str">
        <f ca="1">IF(AND(ISNUMBER($AZ$385),$B$258=1),$AZ$385,HLOOKUP(INDIRECT(ADDRESS(2,COLUMN())),OFFSET($BN$2,0,0,ROW()-1,60),ROW()-1,FALSE))</f>
        <v/>
      </c>
      <c r="BA140" t="str">
        <f ca="1">IF(AND(ISNUMBER($BA$385),$B$258=1),$BA$385,HLOOKUP(INDIRECT(ADDRESS(2,COLUMN())),OFFSET($BN$2,0,0,ROW()-1,60),ROW()-1,FALSE))</f>
        <v/>
      </c>
      <c r="BB140" t="str">
        <f ca="1">IF(AND(ISNUMBER($BB$385),$B$258=1),$BB$385,HLOOKUP(INDIRECT(ADDRESS(2,COLUMN())),OFFSET($BN$2,0,0,ROW()-1,60),ROW()-1,FALSE))</f>
        <v/>
      </c>
      <c r="BC140" t="str">
        <f ca="1">IF(AND(ISNUMBER($BC$385),$B$258=1),$BC$385,HLOOKUP(INDIRECT(ADDRESS(2,COLUMN())),OFFSET($BN$2,0,0,ROW()-1,60),ROW()-1,FALSE))</f>
        <v/>
      </c>
      <c r="BD140" t="str">
        <f ca="1">IF(AND(ISNUMBER($BD$385),$B$258=1),$BD$385,HLOOKUP(INDIRECT(ADDRESS(2,COLUMN())),OFFSET($BN$2,0,0,ROW()-1,60),ROW()-1,FALSE))</f>
        <v/>
      </c>
      <c r="BE140" t="str">
        <f ca="1">IF(AND(ISNUMBER($BE$385),$B$258=1),$BE$385,HLOOKUP(INDIRECT(ADDRESS(2,COLUMN())),OFFSET($BN$2,0,0,ROW()-1,60),ROW()-1,FALSE))</f>
        <v/>
      </c>
      <c r="BF140" t="str">
        <f ca="1">IF(AND(ISNUMBER($BF$385),$B$258=1),$BF$385,HLOOKUP(INDIRECT(ADDRESS(2,COLUMN())),OFFSET($BN$2,0,0,ROW()-1,60),ROW()-1,FALSE))</f>
        <v/>
      </c>
      <c r="BG140" t="str">
        <f ca="1">IF(AND(ISNUMBER($BG$385),$B$258=1),$BG$385,HLOOKUP(INDIRECT(ADDRESS(2,COLUMN())),OFFSET($BN$2,0,0,ROW()-1,60),ROW()-1,FALSE))</f>
        <v/>
      </c>
      <c r="BH140" t="str">
        <f ca="1">IF(AND(ISNUMBER($BH$385),$B$258=1),$BH$385,HLOOKUP(INDIRECT(ADDRESS(2,COLUMN())),OFFSET($BN$2,0,0,ROW()-1,60),ROW()-1,FALSE))</f>
        <v/>
      </c>
      <c r="BI140" t="str">
        <f ca="1">IF(AND(ISNUMBER($BI$385),$B$258=1),$BI$385,HLOOKUP(INDIRECT(ADDRESS(2,COLUMN())),OFFSET($BN$2,0,0,ROW()-1,60),ROW()-1,FALSE))</f>
        <v/>
      </c>
      <c r="BJ140" t="str">
        <f ca="1">IF(AND(ISNUMBER($BJ$385),$B$258=1),$BJ$385,HLOOKUP(INDIRECT(ADDRESS(2,COLUMN())),OFFSET($BN$2,0,0,ROW()-1,60),ROW()-1,FALSE))</f>
        <v/>
      </c>
      <c r="BK140" t="str">
        <f ca="1">IF(AND(ISNUMBER($BK$385),$B$258=1),$BK$385,HLOOKUP(INDIRECT(ADDRESS(2,COLUMN())),OFFSET($BN$2,0,0,ROW()-1,60),ROW()-1,FALSE))</f>
        <v/>
      </c>
      <c r="BL140" t="str">
        <f ca="1">IF(AND(ISNUMBER($BL$385),$B$258=1),$BL$385,HLOOKUP(INDIRECT(ADDRESS(2,COLUMN())),OFFSET($BN$2,0,0,ROW()-1,60),ROW()-1,FALSE))</f>
        <v/>
      </c>
      <c r="BM140" t="str">
        <f ca="1">IF(AND(ISNUMBER($BM$385),$B$258=1),$BM$385,HLOOKUP(INDIRECT(ADDRESS(2,COLUMN())),OFFSET($BN$2,0,0,ROW()-1,60),ROW()-1,FALSE))</f>
        <v/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>
      <c r="A141" t="str">
        <f>"    Medical Properties Trust Inc"</f>
        <v xml:space="preserve">    Medical Properties Trust Inc</v>
      </c>
      <c r="B141" t="str">
        <f>"MPW US Equity"</f>
        <v>MPW US Equity</v>
      </c>
      <c r="C141" t="str">
        <f t="shared" si="33"/>
        <v>BE592</v>
      </c>
      <c r="D141" t="str">
        <f t="shared" si="34"/>
        <v>BEST_FFOPS_YOY_GTH</v>
      </c>
      <c r="E141" t="str">
        <f t="shared" si="35"/>
        <v>动态</v>
      </c>
      <c r="F141" t="str">
        <f ca="1">IF(AND(ISNUMBER($F$386),$B$258=1),$F$386,HLOOKUP(INDIRECT(ADDRESS(2,COLUMN())),OFFSET($BN$2,0,0,ROW()-1,60),ROW()-1,FALSE))</f>
        <v/>
      </c>
      <c r="G141" t="str">
        <f ca="1">IF(AND(ISNUMBER($G$386),$B$258=1),$G$386,HLOOKUP(INDIRECT(ADDRESS(2,COLUMN())),OFFSET($BN$2,0,0,ROW()-1,60),ROW()-1,FALSE))</f>
        <v/>
      </c>
      <c r="H141" t="str">
        <f ca="1">IF(AND(ISNUMBER($H$386),$B$258=1),$H$386,HLOOKUP(INDIRECT(ADDRESS(2,COLUMN())),OFFSET($BN$2,0,0,ROW()-1,60),ROW()-1,FALSE))</f>
        <v/>
      </c>
      <c r="I141" t="str">
        <f ca="1">IF(AND(ISNUMBER($I$386),$B$258=1),$I$386,HLOOKUP(INDIRECT(ADDRESS(2,COLUMN())),OFFSET($BN$2,0,0,ROW()-1,60),ROW()-1,FALSE))</f>
        <v/>
      </c>
      <c r="J141" t="str">
        <f ca="1">IF(AND(ISNUMBER($J$386),$B$258=1),$J$386,HLOOKUP(INDIRECT(ADDRESS(2,COLUMN())),OFFSET($BN$2,0,0,ROW()-1,60),ROW()-1,FALSE))</f>
        <v/>
      </c>
      <c r="K141" t="str">
        <f ca="1">IF(AND(ISNUMBER($K$386),$B$258=1),$K$386,HLOOKUP(INDIRECT(ADDRESS(2,COLUMN())),OFFSET($BN$2,0,0,ROW()-1,60),ROW()-1,FALSE))</f>
        <v/>
      </c>
      <c r="L141" t="str">
        <f ca="1">IF(AND(ISNUMBER($L$386),$B$258=1),$L$386,HLOOKUP(INDIRECT(ADDRESS(2,COLUMN())),OFFSET($BN$2,0,0,ROW()-1,60),ROW()-1,FALSE))</f>
        <v/>
      </c>
      <c r="M141" t="str">
        <f ca="1">IF(AND(ISNUMBER($M$386),$B$258=1),$M$386,HLOOKUP(INDIRECT(ADDRESS(2,COLUMN())),OFFSET($BN$2,0,0,ROW()-1,60),ROW()-1,FALSE))</f>
        <v/>
      </c>
      <c r="N141" t="str">
        <f ca="1">IF(AND(ISNUMBER($N$386),$B$258=1),$N$386,HLOOKUP(INDIRECT(ADDRESS(2,COLUMN())),OFFSET($BN$2,0,0,ROW()-1,60),ROW()-1,FALSE))</f>
        <v/>
      </c>
      <c r="O141" t="str">
        <f ca="1">IF(AND(ISNUMBER($O$386),$B$258=1),$O$386,HLOOKUP(INDIRECT(ADDRESS(2,COLUMN())),OFFSET($BN$2,0,0,ROW()-1,60),ROW()-1,FALSE))</f>
        <v/>
      </c>
      <c r="P141" t="str">
        <f ca="1">IF(AND(ISNUMBER($P$386),$B$258=1),$P$386,HLOOKUP(INDIRECT(ADDRESS(2,COLUMN())),OFFSET($BN$2,0,0,ROW()-1,60),ROW()-1,FALSE))</f>
        <v/>
      </c>
      <c r="Q141" t="str">
        <f ca="1">IF(AND(ISNUMBER($Q$386),$B$258=1),$Q$386,HLOOKUP(INDIRECT(ADDRESS(2,COLUMN())),OFFSET($BN$2,0,0,ROW()-1,60),ROW()-1,FALSE))</f>
        <v/>
      </c>
      <c r="R141" t="str">
        <f ca="1">IF(AND(ISNUMBER($R$386),$B$258=1),$R$386,HLOOKUP(INDIRECT(ADDRESS(2,COLUMN())),OFFSET($BN$2,0,0,ROW()-1,60),ROW()-1,FALSE))</f>
        <v/>
      </c>
      <c r="S141" t="str">
        <f ca="1">IF(AND(ISNUMBER($S$386),$B$258=1),$S$386,HLOOKUP(INDIRECT(ADDRESS(2,COLUMN())),OFFSET($BN$2,0,0,ROW()-1,60),ROW()-1,FALSE))</f>
        <v/>
      </c>
      <c r="T141" t="str">
        <f ca="1">IF(AND(ISNUMBER($T$386),$B$258=1),$T$386,HLOOKUP(INDIRECT(ADDRESS(2,COLUMN())),OFFSET($BN$2,0,0,ROW()-1,60),ROW()-1,FALSE))</f>
        <v/>
      </c>
      <c r="U141" t="str">
        <f ca="1">IF(AND(ISNUMBER($U$386),$B$258=1),$U$386,HLOOKUP(INDIRECT(ADDRESS(2,COLUMN())),OFFSET($BN$2,0,0,ROW()-1,60),ROW()-1,FALSE))</f>
        <v/>
      </c>
      <c r="V141" t="str">
        <f ca="1">IF(AND(ISNUMBER($V$386),$B$258=1),$V$386,HLOOKUP(INDIRECT(ADDRESS(2,COLUMN())),OFFSET($BN$2,0,0,ROW()-1,60),ROW()-1,FALSE))</f>
        <v/>
      </c>
      <c r="W141" t="str">
        <f ca="1">IF(AND(ISNUMBER($W$386),$B$258=1),$W$386,HLOOKUP(INDIRECT(ADDRESS(2,COLUMN())),OFFSET($BN$2,0,0,ROW()-1,60),ROW()-1,FALSE))</f>
        <v/>
      </c>
      <c r="X141" t="str">
        <f ca="1">IF(AND(ISNUMBER($X$386),$B$258=1),$X$386,HLOOKUP(INDIRECT(ADDRESS(2,COLUMN())),OFFSET($BN$2,0,0,ROW()-1,60),ROW()-1,FALSE))</f>
        <v/>
      </c>
      <c r="Y141" t="str">
        <f ca="1">IF(AND(ISNUMBER($Y$386),$B$258=1),$Y$386,HLOOKUP(INDIRECT(ADDRESS(2,COLUMN())),OFFSET($BN$2,0,0,ROW()-1,60),ROW()-1,FALSE))</f>
        <v/>
      </c>
      <c r="Z141" t="str">
        <f ca="1">IF(AND(ISNUMBER($Z$386),$B$258=1),$Z$386,HLOOKUP(INDIRECT(ADDRESS(2,COLUMN())),OFFSET($BN$2,0,0,ROW()-1,60),ROW()-1,FALSE))</f>
        <v/>
      </c>
      <c r="AA141" t="str">
        <f ca="1">IF(AND(ISNUMBER($AA$386),$B$258=1),$AA$386,HLOOKUP(INDIRECT(ADDRESS(2,COLUMN())),OFFSET($BN$2,0,0,ROW()-1,60),ROW()-1,FALSE))</f>
        <v/>
      </c>
      <c r="AB141" t="str">
        <f ca="1">IF(AND(ISNUMBER($AB$386),$B$258=1),$AB$386,HLOOKUP(INDIRECT(ADDRESS(2,COLUMN())),OFFSET($BN$2,0,0,ROW()-1,60),ROW()-1,FALSE))</f>
        <v/>
      </c>
      <c r="AC141" t="str">
        <f ca="1">IF(AND(ISNUMBER($AC$386),$B$258=1),$AC$386,HLOOKUP(INDIRECT(ADDRESS(2,COLUMN())),OFFSET($BN$2,0,0,ROW()-1,60),ROW()-1,FALSE))</f>
        <v/>
      </c>
      <c r="AD141" t="str">
        <f ca="1">IF(AND(ISNUMBER($AD$386),$B$258=1),$AD$386,HLOOKUP(INDIRECT(ADDRESS(2,COLUMN())),OFFSET($BN$2,0,0,ROW()-1,60),ROW()-1,FALSE))</f>
        <v/>
      </c>
      <c r="AE141" t="str">
        <f ca="1">IF(AND(ISNUMBER($AE$386),$B$258=1),$AE$386,HLOOKUP(INDIRECT(ADDRESS(2,COLUMN())),OFFSET($BN$2,0,0,ROW()-1,60),ROW()-1,FALSE))</f>
        <v/>
      </c>
      <c r="AF141" t="str">
        <f ca="1">IF(AND(ISNUMBER($AF$386),$B$258=1),$AF$386,HLOOKUP(INDIRECT(ADDRESS(2,COLUMN())),OFFSET($BN$2,0,0,ROW()-1,60),ROW()-1,FALSE))</f>
        <v/>
      </c>
      <c r="AG141" t="str">
        <f ca="1">IF(AND(ISNUMBER($AG$386),$B$258=1),$AG$386,HLOOKUP(INDIRECT(ADDRESS(2,COLUMN())),OFFSET($BN$2,0,0,ROW()-1,60),ROW()-1,FALSE))</f>
        <v/>
      </c>
      <c r="AH141" t="str">
        <f ca="1">IF(AND(ISNUMBER($AH$386),$B$258=1),$AH$386,HLOOKUP(INDIRECT(ADDRESS(2,COLUMN())),OFFSET($BN$2,0,0,ROW()-1,60),ROW()-1,FALSE))</f>
        <v/>
      </c>
      <c r="AI141" t="str">
        <f ca="1">IF(AND(ISNUMBER($AI$386),$B$258=1),$AI$386,HLOOKUP(INDIRECT(ADDRESS(2,COLUMN())),OFFSET($BN$2,0,0,ROW()-1,60),ROW()-1,FALSE))</f>
        <v/>
      </c>
      <c r="AJ141" t="str">
        <f ca="1">IF(AND(ISNUMBER($AJ$386),$B$258=1),$AJ$386,HLOOKUP(INDIRECT(ADDRESS(2,COLUMN())),OFFSET($BN$2,0,0,ROW()-1,60),ROW()-1,FALSE))</f>
        <v/>
      </c>
      <c r="AK141" t="str">
        <f ca="1">IF(AND(ISNUMBER($AK$386),$B$258=1),$AK$386,HLOOKUP(INDIRECT(ADDRESS(2,COLUMN())),OFFSET($BN$2,0,0,ROW()-1,60),ROW()-1,FALSE))</f>
        <v/>
      </c>
      <c r="AL141" t="str">
        <f ca="1">IF(AND(ISNUMBER($AL$386),$B$258=1),$AL$386,HLOOKUP(INDIRECT(ADDRESS(2,COLUMN())),OFFSET($BN$2,0,0,ROW()-1,60),ROW()-1,FALSE))</f>
        <v/>
      </c>
      <c r="AM141" t="str">
        <f ca="1">IF(AND(ISNUMBER($AM$386),$B$258=1),$AM$386,HLOOKUP(INDIRECT(ADDRESS(2,COLUMN())),OFFSET($BN$2,0,0,ROW()-1,60),ROW()-1,FALSE))</f>
        <v/>
      </c>
      <c r="AN141" t="str">
        <f ca="1">IF(AND(ISNUMBER($AN$386),$B$258=1),$AN$386,HLOOKUP(INDIRECT(ADDRESS(2,COLUMN())),OFFSET($BN$2,0,0,ROW()-1,60),ROW()-1,FALSE))</f>
        <v/>
      </c>
      <c r="AO141" t="str">
        <f ca="1">IF(AND(ISNUMBER($AO$386),$B$258=1),$AO$386,HLOOKUP(INDIRECT(ADDRESS(2,COLUMN())),OFFSET($BN$2,0,0,ROW()-1,60),ROW()-1,FALSE))</f>
        <v/>
      </c>
      <c r="AP141" t="str">
        <f ca="1">IF(AND(ISNUMBER($AP$386),$B$258=1),$AP$386,HLOOKUP(INDIRECT(ADDRESS(2,COLUMN())),OFFSET($BN$2,0,0,ROW()-1,60),ROW()-1,FALSE))</f>
        <v/>
      </c>
      <c r="AQ141" t="str">
        <f ca="1">IF(AND(ISNUMBER($AQ$386),$B$258=1),$AQ$386,HLOOKUP(INDIRECT(ADDRESS(2,COLUMN())),OFFSET($BN$2,0,0,ROW()-1,60),ROW()-1,FALSE))</f>
        <v/>
      </c>
      <c r="AR141" t="str">
        <f ca="1">IF(AND(ISNUMBER($AR$386),$B$258=1),$AR$386,HLOOKUP(INDIRECT(ADDRESS(2,COLUMN())),OFFSET($BN$2,0,0,ROW()-1,60),ROW()-1,FALSE))</f>
        <v/>
      </c>
      <c r="AS141" t="str">
        <f ca="1">IF(AND(ISNUMBER($AS$386),$B$258=1),$AS$386,HLOOKUP(INDIRECT(ADDRESS(2,COLUMN())),OFFSET($BN$2,0,0,ROW()-1,60),ROW()-1,FALSE))</f>
        <v/>
      </c>
      <c r="AT141" t="str">
        <f ca="1">IF(AND(ISNUMBER($AT$386),$B$258=1),$AT$386,HLOOKUP(INDIRECT(ADDRESS(2,COLUMN())),OFFSET($BN$2,0,0,ROW()-1,60),ROW()-1,FALSE))</f>
        <v/>
      </c>
      <c r="AU141" t="str">
        <f ca="1">IF(AND(ISNUMBER($AU$386),$B$258=1),$AU$386,HLOOKUP(INDIRECT(ADDRESS(2,COLUMN())),OFFSET($BN$2,0,0,ROW()-1,60),ROW()-1,FALSE))</f>
        <v/>
      </c>
      <c r="AV141" t="str">
        <f ca="1">IF(AND(ISNUMBER($AV$386),$B$258=1),$AV$386,HLOOKUP(INDIRECT(ADDRESS(2,COLUMN())),OFFSET($BN$2,0,0,ROW()-1,60),ROW()-1,FALSE))</f>
        <v/>
      </c>
      <c r="AW141" t="str">
        <f ca="1">IF(AND(ISNUMBER($AW$386),$B$258=1),$AW$386,HLOOKUP(INDIRECT(ADDRESS(2,COLUMN())),OFFSET($BN$2,0,0,ROW()-1,60),ROW()-1,FALSE))</f>
        <v/>
      </c>
      <c r="AX141" t="str">
        <f ca="1">IF(AND(ISNUMBER($AX$386),$B$258=1),$AX$386,HLOOKUP(INDIRECT(ADDRESS(2,COLUMN())),OFFSET($BN$2,0,0,ROW()-1,60),ROW()-1,FALSE))</f>
        <v/>
      </c>
      <c r="AY141" t="str">
        <f ca="1">IF(AND(ISNUMBER($AY$386),$B$258=1),$AY$386,HLOOKUP(INDIRECT(ADDRESS(2,COLUMN())),OFFSET($BN$2,0,0,ROW()-1,60),ROW()-1,FALSE))</f>
        <v/>
      </c>
      <c r="AZ141" t="str">
        <f ca="1">IF(AND(ISNUMBER($AZ$386),$B$258=1),$AZ$386,HLOOKUP(INDIRECT(ADDRESS(2,COLUMN())),OFFSET($BN$2,0,0,ROW()-1,60),ROW()-1,FALSE))</f>
        <v/>
      </c>
      <c r="BA141" t="str">
        <f ca="1">IF(AND(ISNUMBER($BA$386),$B$258=1),$BA$386,HLOOKUP(INDIRECT(ADDRESS(2,COLUMN())),OFFSET($BN$2,0,0,ROW()-1,60),ROW()-1,FALSE))</f>
        <v/>
      </c>
      <c r="BB141" t="str">
        <f ca="1">IF(AND(ISNUMBER($BB$386),$B$258=1),$BB$386,HLOOKUP(INDIRECT(ADDRESS(2,COLUMN())),OFFSET($BN$2,0,0,ROW()-1,60),ROW()-1,FALSE))</f>
        <v/>
      </c>
      <c r="BC141" t="str">
        <f ca="1">IF(AND(ISNUMBER($BC$386),$B$258=1),$BC$386,HLOOKUP(INDIRECT(ADDRESS(2,COLUMN())),OFFSET($BN$2,0,0,ROW()-1,60),ROW()-1,FALSE))</f>
        <v/>
      </c>
      <c r="BD141" t="str">
        <f ca="1">IF(AND(ISNUMBER($BD$386),$B$258=1),$BD$386,HLOOKUP(INDIRECT(ADDRESS(2,COLUMN())),OFFSET($BN$2,0,0,ROW()-1,60),ROW()-1,FALSE))</f>
        <v/>
      </c>
      <c r="BE141" t="str">
        <f ca="1">IF(AND(ISNUMBER($BE$386),$B$258=1),$BE$386,HLOOKUP(INDIRECT(ADDRESS(2,COLUMN())),OFFSET($BN$2,0,0,ROW()-1,60),ROW()-1,FALSE))</f>
        <v/>
      </c>
      <c r="BF141" t="str">
        <f ca="1">IF(AND(ISNUMBER($BF$386),$B$258=1),$BF$386,HLOOKUP(INDIRECT(ADDRESS(2,COLUMN())),OFFSET($BN$2,0,0,ROW()-1,60),ROW()-1,FALSE))</f>
        <v/>
      </c>
      <c r="BG141" t="str">
        <f ca="1">IF(AND(ISNUMBER($BG$386),$B$258=1),$BG$386,HLOOKUP(INDIRECT(ADDRESS(2,COLUMN())),OFFSET($BN$2,0,0,ROW()-1,60),ROW()-1,FALSE))</f>
        <v/>
      </c>
      <c r="BH141" t="str">
        <f ca="1">IF(AND(ISNUMBER($BH$386),$B$258=1),$BH$386,HLOOKUP(INDIRECT(ADDRESS(2,COLUMN())),OFFSET($BN$2,0,0,ROW()-1,60),ROW()-1,FALSE))</f>
        <v/>
      </c>
      <c r="BI141" t="str">
        <f ca="1">IF(AND(ISNUMBER($BI$386),$B$258=1),$BI$386,HLOOKUP(INDIRECT(ADDRESS(2,COLUMN())),OFFSET($BN$2,0,0,ROW()-1,60),ROW()-1,FALSE))</f>
        <v/>
      </c>
      <c r="BJ141" t="str">
        <f ca="1">IF(AND(ISNUMBER($BJ$386),$B$258=1),$BJ$386,HLOOKUP(INDIRECT(ADDRESS(2,COLUMN())),OFFSET($BN$2,0,0,ROW()-1,60),ROW()-1,FALSE))</f>
        <v/>
      </c>
      <c r="BK141" t="str">
        <f ca="1">IF(AND(ISNUMBER($BK$386),$B$258=1),$BK$386,HLOOKUP(INDIRECT(ADDRESS(2,COLUMN())),OFFSET($BN$2,0,0,ROW()-1,60),ROW()-1,FALSE))</f>
        <v/>
      </c>
      <c r="BL141" t="str">
        <f ca="1">IF(AND(ISNUMBER($BL$386),$B$258=1),$BL$386,HLOOKUP(INDIRECT(ADDRESS(2,COLUMN())),OFFSET($BN$2,0,0,ROW()-1,60),ROW()-1,FALSE))</f>
        <v/>
      </c>
      <c r="BM141" t="str">
        <f ca="1">IF(AND(ISNUMBER($BM$386),$B$258=1),$BM$386,HLOOKUP(INDIRECT(ADDRESS(2,COLUMN())),OFFSET($BN$2,0,0,ROW()-1,60),ROW()-1,FALSE))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>
      <c r="A142" t="str">
        <f>"    Omega Healthcare Investors Inc"</f>
        <v xml:space="preserve">    Omega Healthcare Investors Inc</v>
      </c>
      <c r="B142" t="str">
        <f>"OHI US Equity"</f>
        <v>OHI US Equity</v>
      </c>
      <c r="C142" t="str">
        <f t="shared" si="33"/>
        <v>BE592</v>
      </c>
      <c r="D142" t="str">
        <f t="shared" si="34"/>
        <v>BEST_FFOPS_YOY_GTH</v>
      </c>
      <c r="E142" t="str">
        <f t="shared" si="35"/>
        <v>动态</v>
      </c>
      <c r="F142" t="str">
        <f ca="1">IF(AND(ISNUMBER($F$387),$B$258=1),$F$387,HLOOKUP(INDIRECT(ADDRESS(2,COLUMN())),OFFSET($BN$2,0,0,ROW()-1,60),ROW()-1,FALSE))</f>
        <v/>
      </c>
      <c r="G142" t="str">
        <f ca="1">IF(AND(ISNUMBER($G$387),$B$258=1),$G$387,HLOOKUP(INDIRECT(ADDRESS(2,COLUMN())),OFFSET($BN$2,0,0,ROW()-1,60),ROW()-1,FALSE))</f>
        <v/>
      </c>
      <c r="H142" t="str">
        <f ca="1">IF(AND(ISNUMBER($H$387),$B$258=1),$H$387,HLOOKUP(INDIRECT(ADDRESS(2,COLUMN())),OFFSET($BN$2,0,0,ROW()-1,60),ROW()-1,FALSE))</f>
        <v/>
      </c>
      <c r="I142" t="str">
        <f ca="1">IF(AND(ISNUMBER($I$387),$B$258=1),$I$387,HLOOKUP(INDIRECT(ADDRESS(2,COLUMN())),OFFSET($BN$2,0,0,ROW()-1,60),ROW()-1,FALSE))</f>
        <v/>
      </c>
      <c r="J142" t="str">
        <f ca="1">IF(AND(ISNUMBER($J$387),$B$258=1),$J$387,HLOOKUP(INDIRECT(ADDRESS(2,COLUMN())),OFFSET($BN$2,0,0,ROW()-1,60),ROW()-1,FALSE))</f>
        <v/>
      </c>
      <c r="K142" t="str">
        <f ca="1">IF(AND(ISNUMBER($K$387),$B$258=1),$K$387,HLOOKUP(INDIRECT(ADDRESS(2,COLUMN())),OFFSET($BN$2,0,0,ROW()-1,60),ROW()-1,FALSE))</f>
        <v/>
      </c>
      <c r="L142" t="str">
        <f ca="1">IF(AND(ISNUMBER($L$387),$B$258=1),$L$387,HLOOKUP(INDIRECT(ADDRESS(2,COLUMN())),OFFSET($BN$2,0,0,ROW()-1,60),ROW()-1,FALSE))</f>
        <v/>
      </c>
      <c r="M142" t="str">
        <f ca="1">IF(AND(ISNUMBER($M$387),$B$258=1),$M$387,HLOOKUP(INDIRECT(ADDRESS(2,COLUMN())),OFFSET($BN$2,0,0,ROW()-1,60),ROW()-1,FALSE))</f>
        <v/>
      </c>
      <c r="N142" t="str">
        <f ca="1">IF(AND(ISNUMBER($N$387),$B$258=1),$N$387,HLOOKUP(INDIRECT(ADDRESS(2,COLUMN())),OFFSET($BN$2,0,0,ROW()-1,60),ROW()-1,FALSE))</f>
        <v/>
      </c>
      <c r="O142" t="str">
        <f ca="1">IF(AND(ISNUMBER($O$387),$B$258=1),$O$387,HLOOKUP(INDIRECT(ADDRESS(2,COLUMN())),OFFSET($BN$2,0,0,ROW()-1,60),ROW()-1,FALSE))</f>
        <v/>
      </c>
      <c r="P142" t="str">
        <f ca="1">IF(AND(ISNUMBER($P$387),$B$258=1),$P$387,HLOOKUP(INDIRECT(ADDRESS(2,COLUMN())),OFFSET($BN$2,0,0,ROW()-1,60),ROW()-1,FALSE))</f>
        <v/>
      </c>
      <c r="Q142" t="str">
        <f ca="1">IF(AND(ISNUMBER($Q$387),$B$258=1),$Q$387,HLOOKUP(INDIRECT(ADDRESS(2,COLUMN())),OFFSET($BN$2,0,0,ROW()-1,60),ROW()-1,FALSE))</f>
        <v/>
      </c>
      <c r="R142" t="str">
        <f ca="1">IF(AND(ISNUMBER($R$387),$B$258=1),$R$387,HLOOKUP(INDIRECT(ADDRESS(2,COLUMN())),OFFSET($BN$2,0,0,ROW()-1,60),ROW()-1,FALSE))</f>
        <v/>
      </c>
      <c r="S142" t="str">
        <f ca="1">IF(AND(ISNUMBER($S$387),$B$258=1),$S$387,HLOOKUP(INDIRECT(ADDRESS(2,COLUMN())),OFFSET($BN$2,0,0,ROW()-1,60),ROW()-1,FALSE))</f>
        <v/>
      </c>
      <c r="T142" t="str">
        <f ca="1">IF(AND(ISNUMBER($T$387),$B$258=1),$T$387,HLOOKUP(INDIRECT(ADDRESS(2,COLUMN())),OFFSET($BN$2,0,0,ROW()-1,60),ROW()-1,FALSE))</f>
        <v/>
      </c>
      <c r="U142" t="str">
        <f ca="1">IF(AND(ISNUMBER($U$387),$B$258=1),$U$387,HLOOKUP(INDIRECT(ADDRESS(2,COLUMN())),OFFSET($BN$2,0,0,ROW()-1,60),ROW()-1,FALSE))</f>
        <v/>
      </c>
      <c r="V142" t="str">
        <f ca="1">IF(AND(ISNUMBER($V$387),$B$258=1),$V$387,HLOOKUP(INDIRECT(ADDRESS(2,COLUMN())),OFFSET($BN$2,0,0,ROW()-1,60),ROW()-1,FALSE))</f>
        <v/>
      </c>
      <c r="W142" t="str">
        <f ca="1">IF(AND(ISNUMBER($W$387),$B$258=1),$W$387,HLOOKUP(INDIRECT(ADDRESS(2,COLUMN())),OFFSET($BN$2,0,0,ROW()-1,60),ROW()-1,FALSE))</f>
        <v/>
      </c>
      <c r="X142" t="str">
        <f ca="1">IF(AND(ISNUMBER($X$387),$B$258=1),$X$387,HLOOKUP(INDIRECT(ADDRESS(2,COLUMN())),OFFSET($BN$2,0,0,ROW()-1,60),ROW()-1,FALSE))</f>
        <v/>
      </c>
      <c r="Y142" t="str">
        <f ca="1">IF(AND(ISNUMBER($Y$387),$B$258=1),$Y$387,HLOOKUP(INDIRECT(ADDRESS(2,COLUMN())),OFFSET($BN$2,0,0,ROW()-1,60),ROW()-1,FALSE))</f>
        <v/>
      </c>
      <c r="Z142" t="str">
        <f ca="1">IF(AND(ISNUMBER($Z$387),$B$258=1),$Z$387,HLOOKUP(INDIRECT(ADDRESS(2,COLUMN())),OFFSET($BN$2,0,0,ROW()-1,60),ROW()-1,FALSE))</f>
        <v/>
      </c>
      <c r="AA142" t="str">
        <f ca="1">IF(AND(ISNUMBER($AA$387),$B$258=1),$AA$387,HLOOKUP(INDIRECT(ADDRESS(2,COLUMN())),OFFSET($BN$2,0,0,ROW()-1,60),ROW()-1,FALSE))</f>
        <v/>
      </c>
      <c r="AB142" t="str">
        <f ca="1">IF(AND(ISNUMBER($AB$387),$B$258=1),$AB$387,HLOOKUP(INDIRECT(ADDRESS(2,COLUMN())),OFFSET($BN$2,0,0,ROW()-1,60),ROW()-1,FALSE))</f>
        <v/>
      </c>
      <c r="AC142" t="str">
        <f ca="1">IF(AND(ISNUMBER($AC$387),$B$258=1),$AC$387,HLOOKUP(INDIRECT(ADDRESS(2,COLUMN())),OFFSET($BN$2,0,0,ROW()-1,60),ROW()-1,FALSE))</f>
        <v/>
      </c>
      <c r="AD142" t="str">
        <f ca="1">IF(AND(ISNUMBER($AD$387),$B$258=1),$AD$387,HLOOKUP(INDIRECT(ADDRESS(2,COLUMN())),OFFSET($BN$2,0,0,ROW()-1,60),ROW()-1,FALSE))</f>
        <v/>
      </c>
      <c r="AE142" t="str">
        <f ca="1">IF(AND(ISNUMBER($AE$387),$B$258=1),$AE$387,HLOOKUP(INDIRECT(ADDRESS(2,COLUMN())),OFFSET($BN$2,0,0,ROW()-1,60),ROW()-1,FALSE))</f>
        <v/>
      </c>
      <c r="AF142" t="str">
        <f ca="1">IF(AND(ISNUMBER($AF$387),$B$258=1),$AF$387,HLOOKUP(INDIRECT(ADDRESS(2,COLUMN())),OFFSET($BN$2,0,0,ROW()-1,60),ROW()-1,FALSE))</f>
        <v/>
      </c>
      <c r="AG142" t="str">
        <f ca="1">IF(AND(ISNUMBER($AG$387),$B$258=1),$AG$387,HLOOKUP(INDIRECT(ADDRESS(2,COLUMN())),OFFSET($BN$2,0,0,ROW()-1,60),ROW()-1,FALSE))</f>
        <v/>
      </c>
      <c r="AH142" t="str">
        <f ca="1">IF(AND(ISNUMBER($AH$387),$B$258=1),$AH$387,HLOOKUP(INDIRECT(ADDRESS(2,COLUMN())),OFFSET($BN$2,0,0,ROW()-1,60),ROW()-1,FALSE))</f>
        <v/>
      </c>
      <c r="AI142" t="str">
        <f ca="1">IF(AND(ISNUMBER($AI$387),$B$258=1),$AI$387,HLOOKUP(INDIRECT(ADDRESS(2,COLUMN())),OFFSET($BN$2,0,0,ROW()-1,60),ROW()-1,FALSE))</f>
        <v/>
      </c>
      <c r="AJ142" t="str">
        <f ca="1">IF(AND(ISNUMBER($AJ$387),$B$258=1),$AJ$387,HLOOKUP(INDIRECT(ADDRESS(2,COLUMN())),OFFSET($BN$2,0,0,ROW()-1,60),ROW()-1,FALSE))</f>
        <v/>
      </c>
      <c r="AK142" t="str">
        <f ca="1">IF(AND(ISNUMBER($AK$387),$B$258=1),$AK$387,HLOOKUP(INDIRECT(ADDRESS(2,COLUMN())),OFFSET($BN$2,0,0,ROW()-1,60),ROW()-1,FALSE))</f>
        <v/>
      </c>
      <c r="AL142" t="str">
        <f ca="1">IF(AND(ISNUMBER($AL$387),$B$258=1),$AL$387,HLOOKUP(INDIRECT(ADDRESS(2,COLUMN())),OFFSET($BN$2,0,0,ROW()-1,60),ROW()-1,FALSE))</f>
        <v/>
      </c>
      <c r="AM142" t="str">
        <f ca="1">IF(AND(ISNUMBER($AM$387),$B$258=1),$AM$387,HLOOKUP(INDIRECT(ADDRESS(2,COLUMN())),OFFSET($BN$2,0,0,ROW()-1,60),ROW()-1,FALSE))</f>
        <v/>
      </c>
      <c r="AN142" t="str">
        <f ca="1">IF(AND(ISNUMBER($AN$387),$B$258=1),$AN$387,HLOOKUP(INDIRECT(ADDRESS(2,COLUMN())),OFFSET($BN$2,0,0,ROW()-1,60),ROW()-1,FALSE))</f>
        <v/>
      </c>
      <c r="AO142" t="str">
        <f ca="1">IF(AND(ISNUMBER($AO$387),$B$258=1),$AO$387,HLOOKUP(INDIRECT(ADDRESS(2,COLUMN())),OFFSET($BN$2,0,0,ROW()-1,60),ROW()-1,FALSE))</f>
        <v/>
      </c>
      <c r="AP142" t="str">
        <f ca="1">IF(AND(ISNUMBER($AP$387),$B$258=1),$AP$387,HLOOKUP(INDIRECT(ADDRESS(2,COLUMN())),OFFSET($BN$2,0,0,ROW()-1,60),ROW()-1,FALSE))</f>
        <v/>
      </c>
      <c r="AQ142" t="str">
        <f ca="1">IF(AND(ISNUMBER($AQ$387),$B$258=1),$AQ$387,HLOOKUP(INDIRECT(ADDRESS(2,COLUMN())),OFFSET($BN$2,0,0,ROW()-1,60),ROW()-1,FALSE))</f>
        <v/>
      </c>
      <c r="AR142" t="str">
        <f ca="1">IF(AND(ISNUMBER($AR$387),$B$258=1),$AR$387,HLOOKUP(INDIRECT(ADDRESS(2,COLUMN())),OFFSET($BN$2,0,0,ROW()-1,60),ROW()-1,FALSE))</f>
        <v/>
      </c>
      <c r="AS142" t="str">
        <f ca="1">IF(AND(ISNUMBER($AS$387),$B$258=1),$AS$387,HLOOKUP(INDIRECT(ADDRESS(2,COLUMN())),OFFSET($BN$2,0,0,ROW()-1,60),ROW()-1,FALSE))</f>
        <v/>
      </c>
      <c r="AT142" t="str">
        <f ca="1">IF(AND(ISNUMBER($AT$387),$B$258=1),$AT$387,HLOOKUP(INDIRECT(ADDRESS(2,COLUMN())),OFFSET($BN$2,0,0,ROW()-1,60),ROW()-1,FALSE))</f>
        <v/>
      </c>
      <c r="AU142" t="str">
        <f ca="1">IF(AND(ISNUMBER($AU$387),$B$258=1),$AU$387,HLOOKUP(INDIRECT(ADDRESS(2,COLUMN())),OFFSET($BN$2,0,0,ROW()-1,60),ROW()-1,FALSE))</f>
        <v/>
      </c>
      <c r="AV142" t="str">
        <f ca="1">IF(AND(ISNUMBER($AV$387),$B$258=1),$AV$387,HLOOKUP(INDIRECT(ADDRESS(2,COLUMN())),OFFSET($BN$2,0,0,ROW()-1,60),ROW()-1,FALSE))</f>
        <v/>
      </c>
      <c r="AW142" t="str">
        <f ca="1">IF(AND(ISNUMBER($AW$387),$B$258=1),$AW$387,HLOOKUP(INDIRECT(ADDRESS(2,COLUMN())),OFFSET($BN$2,0,0,ROW()-1,60),ROW()-1,FALSE))</f>
        <v/>
      </c>
      <c r="AX142" t="str">
        <f ca="1">IF(AND(ISNUMBER($AX$387),$B$258=1),$AX$387,HLOOKUP(INDIRECT(ADDRESS(2,COLUMN())),OFFSET($BN$2,0,0,ROW()-1,60),ROW()-1,FALSE))</f>
        <v/>
      </c>
      <c r="AY142" t="str">
        <f ca="1">IF(AND(ISNUMBER($AY$387),$B$258=1),$AY$387,HLOOKUP(INDIRECT(ADDRESS(2,COLUMN())),OFFSET($BN$2,0,0,ROW()-1,60),ROW()-1,FALSE))</f>
        <v/>
      </c>
      <c r="AZ142" t="str">
        <f ca="1">IF(AND(ISNUMBER($AZ$387),$B$258=1),$AZ$387,HLOOKUP(INDIRECT(ADDRESS(2,COLUMN())),OFFSET($BN$2,0,0,ROW()-1,60),ROW()-1,FALSE))</f>
        <v/>
      </c>
      <c r="BA142" t="str">
        <f ca="1">IF(AND(ISNUMBER($BA$387),$B$258=1),$BA$387,HLOOKUP(INDIRECT(ADDRESS(2,COLUMN())),OFFSET($BN$2,0,0,ROW()-1,60),ROW()-1,FALSE))</f>
        <v/>
      </c>
      <c r="BB142" t="str">
        <f ca="1">IF(AND(ISNUMBER($BB$387),$B$258=1),$BB$387,HLOOKUP(INDIRECT(ADDRESS(2,COLUMN())),OFFSET($BN$2,0,0,ROW()-1,60),ROW()-1,FALSE))</f>
        <v/>
      </c>
      <c r="BC142" t="str">
        <f ca="1">IF(AND(ISNUMBER($BC$387),$B$258=1),$BC$387,HLOOKUP(INDIRECT(ADDRESS(2,COLUMN())),OFFSET($BN$2,0,0,ROW()-1,60),ROW()-1,FALSE))</f>
        <v/>
      </c>
      <c r="BD142" t="str">
        <f ca="1">IF(AND(ISNUMBER($BD$387),$B$258=1),$BD$387,HLOOKUP(INDIRECT(ADDRESS(2,COLUMN())),OFFSET($BN$2,0,0,ROW()-1,60),ROW()-1,FALSE))</f>
        <v/>
      </c>
      <c r="BE142" t="str">
        <f ca="1">IF(AND(ISNUMBER($BE$387),$B$258=1),$BE$387,HLOOKUP(INDIRECT(ADDRESS(2,COLUMN())),OFFSET($BN$2,0,0,ROW()-1,60),ROW()-1,FALSE))</f>
        <v/>
      </c>
      <c r="BF142" t="str">
        <f ca="1">IF(AND(ISNUMBER($BF$387),$B$258=1),$BF$387,HLOOKUP(INDIRECT(ADDRESS(2,COLUMN())),OFFSET($BN$2,0,0,ROW()-1,60),ROW()-1,FALSE))</f>
        <v/>
      </c>
      <c r="BG142" t="str">
        <f ca="1">IF(AND(ISNUMBER($BG$387),$B$258=1),$BG$387,HLOOKUP(INDIRECT(ADDRESS(2,COLUMN())),OFFSET($BN$2,0,0,ROW()-1,60),ROW()-1,FALSE))</f>
        <v/>
      </c>
      <c r="BH142" t="str">
        <f ca="1">IF(AND(ISNUMBER($BH$387),$B$258=1),$BH$387,HLOOKUP(INDIRECT(ADDRESS(2,COLUMN())),OFFSET($BN$2,0,0,ROW()-1,60),ROW()-1,FALSE))</f>
        <v/>
      </c>
      <c r="BI142" t="str">
        <f ca="1">IF(AND(ISNUMBER($BI$387),$B$258=1),$BI$387,HLOOKUP(INDIRECT(ADDRESS(2,COLUMN())),OFFSET($BN$2,0,0,ROW()-1,60),ROW()-1,FALSE))</f>
        <v/>
      </c>
      <c r="BJ142" t="str">
        <f ca="1">IF(AND(ISNUMBER($BJ$387),$B$258=1),$BJ$387,HLOOKUP(INDIRECT(ADDRESS(2,COLUMN())),OFFSET($BN$2,0,0,ROW()-1,60),ROW()-1,FALSE))</f>
        <v/>
      </c>
      <c r="BK142" t="str">
        <f ca="1">IF(AND(ISNUMBER($BK$387),$B$258=1),$BK$387,HLOOKUP(INDIRECT(ADDRESS(2,COLUMN())),OFFSET($BN$2,0,0,ROW()-1,60),ROW()-1,FALSE))</f>
        <v/>
      </c>
      <c r="BL142" t="str">
        <f ca="1">IF(AND(ISNUMBER($BL$387),$B$258=1),$BL$387,HLOOKUP(INDIRECT(ADDRESS(2,COLUMN())),OFFSET($BN$2,0,0,ROW()-1,60),ROW()-1,FALSE))</f>
        <v/>
      </c>
      <c r="BM142" t="str">
        <f ca="1">IF(AND(ISNUMBER($BM$387),$B$258=1),$BM$387,HLOOKUP(INDIRECT(ADDRESS(2,COLUMN())),OFFSET($BN$2,0,0,ROW()-1,60),ROW()-1,FALSE))</f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>
      <c r="A143" t="str">
        <f>"    Sabra Health Care REIT Inc"</f>
        <v xml:space="preserve">    Sabra Health Care REIT Inc</v>
      </c>
      <c r="B143" t="str">
        <f>"SBRA US Equity"</f>
        <v>SBRA US Equity</v>
      </c>
      <c r="C143" t="str">
        <f t="shared" si="33"/>
        <v>BE592</v>
      </c>
      <c r="D143" t="str">
        <f t="shared" si="34"/>
        <v>BEST_FFOPS_YOY_GTH</v>
      </c>
      <c r="E143" t="str">
        <f t="shared" si="35"/>
        <v>动态</v>
      </c>
      <c r="F143" t="str">
        <f ca="1">IF(AND(ISNUMBER($F$388),$B$258=1),$F$388,HLOOKUP(INDIRECT(ADDRESS(2,COLUMN())),OFFSET($BN$2,0,0,ROW()-1,60),ROW()-1,FALSE))</f>
        <v/>
      </c>
      <c r="G143" t="str">
        <f ca="1">IF(AND(ISNUMBER($G$388),$B$258=1),$G$388,HLOOKUP(INDIRECT(ADDRESS(2,COLUMN())),OFFSET($BN$2,0,0,ROW()-1,60),ROW()-1,FALSE))</f>
        <v/>
      </c>
      <c r="H143" t="str">
        <f ca="1">IF(AND(ISNUMBER($H$388),$B$258=1),$H$388,HLOOKUP(INDIRECT(ADDRESS(2,COLUMN())),OFFSET($BN$2,0,0,ROW()-1,60),ROW()-1,FALSE))</f>
        <v/>
      </c>
      <c r="I143" t="str">
        <f ca="1">IF(AND(ISNUMBER($I$388),$B$258=1),$I$388,HLOOKUP(INDIRECT(ADDRESS(2,COLUMN())),OFFSET($BN$2,0,0,ROW()-1,60),ROW()-1,FALSE))</f>
        <v/>
      </c>
      <c r="J143" t="str">
        <f ca="1">IF(AND(ISNUMBER($J$388),$B$258=1),$J$388,HLOOKUP(INDIRECT(ADDRESS(2,COLUMN())),OFFSET($BN$2,0,0,ROW()-1,60),ROW()-1,FALSE))</f>
        <v/>
      </c>
      <c r="K143" t="str">
        <f ca="1">IF(AND(ISNUMBER($K$388),$B$258=1),$K$388,HLOOKUP(INDIRECT(ADDRESS(2,COLUMN())),OFFSET($BN$2,0,0,ROW()-1,60),ROW()-1,FALSE))</f>
        <v/>
      </c>
      <c r="L143" t="str">
        <f ca="1">IF(AND(ISNUMBER($L$388),$B$258=1),$L$388,HLOOKUP(INDIRECT(ADDRESS(2,COLUMN())),OFFSET($BN$2,0,0,ROW()-1,60),ROW()-1,FALSE))</f>
        <v/>
      </c>
      <c r="M143" t="str">
        <f ca="1">IF(AND(ISNUMBER($M$388),$B$258=1),$M$388,HLOOKUP(INDIRECT(ADDRESS(2,COLUMN())),OFFSET($BN$2,0,0,ROW()-1,60),ROW()-1,FALSE))</f>
        <v/>
      </c>
      <c r="N143" t="str">
        <f ca="1">IF(AND(ISNUMBER($N$388),$B$258=1),$N$388,HLOOKUP(INDIRECT(ADDRESS(2,COLUMN())),OFFSET($BN$2,0,0,ROW()-1,60),ROW()-1,FALSE))</f>
        <v/>
      </c>
      <c r="O143" t="str">
        <f ca="1">IF(AND(ISNUMBER($O$388),$B$258=1),$O$388,HLOOKUP(INDIRECT(ADDRESS(2,COLUMN())),OFFSET($BN$2,0,0,ROW()-1,60),ROW()-1,FALSE))</f>
        <v/>
      </c>
      <c r="P143" t="str">
        <f ca="1">IF(AND(ISNUMBER($P$388),$B$258=1),$P$388,HLOOKUP(INDIRECT(ADDRESS(2,COLUMN())),OFFSET($BN$2,0,0,ROW()-1,60),ROW()-1,FALSE))</f>
        <v/>
      </c>
      <c r="Q143" t="str">
        <f ca="1">IF(AND(ISNUMBER($Q$388),$B$258=1),$Q$388,HLOOKUP(INDIRECT(ADDRESS(2,COLUMN())),OFFSET($BN$2,0,0,ROW()-1,60),ROW()-1,FALSE))</f>
        <v/>
      </c>
      <c r="R143" t="str">
        <f ca="1">IF(AND(ISNUMBER($R$388),$B$258=1),$R$388,HLOOKUP(INDIRECT(ADDRESS(2,COLUMN())),OFFSET($BN$2,0,0,ROW()-1,60),ROW()-1,FALSE))</f>
        <v/>
      </c>
      <c r="S143" t="str">
        <f ca="1">IF(AND(ISNUMBER($S$388),$B$258=1),$S$388,HLOOKUP(INDIRECT(ADDRESS(2,COLUMN())),OFFSET($BN$2,0,0,ROW()-1,60),ROW()-1,FALSE))</f>
        <v/>
      </c>
      <c r="T143" t="str">
        <f ca="1">IF(AND(ISNUMBER($T$388),$B$258=1),$T$388,HLOOKUP(INDIRECT(ADDRESS(2,COLUMN())),OFFSET($BN$2,0,0,ROW()-1,60),ROW()-1,FALSE))</f>
        <v/>
      </c>
      <c r="U143" t="str">
        <f ca="1">IF(AND(ISNUMBER($U$388),$B$258=1),$U$388,HLOOKUP(INDIRECT(ADDRESS(2,COLUMN())),OFFSET($BN$2,0,0,ROW()-1,60),ROW()-1,FALSE))</f>
        <v/>
      </c>
      <c r="V143" t="str">
        <f ca="1">IF(AND(ISNUMBER($V$388),$B$258=1),$V$388,HLOOKUP(INDIRECT(ADDRESS(2,COLUMN())),OFFSET($BN$2,0,0,ROW()-1,60),ROW()-1,FALSE))</f>
        <v/>
      </c>
      <c r="W143" t="str">
        <f ca="1">IF(AND(ISNUMBER($W$388),$B$258=1),$W$388,HLOOKUP(INDIRECT(ADDRESS(2,COLUMN())),OFFSET($BN$2,0,0,ROW()-1,60),ROW()-1,FALSE))</f>
        <v/>
      </c>
      <c r="X143" t="str">
        <f ca="1">IF(AND(ISNUMBER($X$388),$B$258=1),$X$388,HLOOKUP(INDIRECT(ADDRESS(2,COLUMN())),OFFSET($BN$2,0,0,ROW()-1,60),ROW()-1,FALSE))</f>
        <v/>
      </c>
      <c r="Y143" t="str">
        <f ca="1">IF(AND(ISNUMBER($Y$388),$B$258=1),$Y$388,HLOOKUP(INDIRECT(ADDRESS(2,COLUMN())),OFFSET($BN$2,0,0,ROW()-1,60),ROW()-1,FALSE))</f>
        <v/>
      </c>
      <c r="Z143" t="str">
        <f ca="1">IF(AND(ISNUMBER($Z$388),$B$258=1),$Z$388,HLOOKUP(INDIRECT(ADDRESS(2,COLUMN())),OFFSET($BN$2,0,0,ROW()-1,60),ROW()-1,FALSE))</f>
        <v/>
      </c>
      <c r="AA143" t="str">
        <f ca="1">IF(AND(ISNUMBER($AA$388),$B$258=1),$AA$388,HLOOKUP(INDIRECT(ADDRESS(2,COLUMN())),OFFSET($BN$2,0,0,ROW()-1,60),ROW()-1,FALSE))</f>
        <v/>
      </c>
      <c r="AB143" t="str">
        <f ca="1">IF(AND(ISNUMBER($AB$388),$B$258=1),$AB$388,HLOOKUP(INDIRECT(ADDRESS(2,COLUMN())),OFFSET($BN$2,0,0,ROW()-1,60),ROW()-1,FALSE))</f>
        <v/>
      </c>
      <c r="AC143" t="str">
        <f ca="1">IF(AND(ISNUMBER($AC$388),$B$258=1),$AC$388,HLOOKUP(INDIRECT(ADDRESS(2,COLUMN())),OFFSET($BN$2,0,0,ROW()-1,60),ROW()-1,FALSE))</f>
        <v/>
      </c>
      <c r="AD143" t="str">
        <f ca="1">IF(AND(ISNUMBER($AD$388),$B$258=1),$AD$388,HLOOKUP(INDIRECT(ADDRESS(2,COLUMN())),OFFSET($BN$2,0,0,ROW()-1,60),ROW()-1,FALSE))</f>
        <v/>
      </c>
      <c r="AE143" t="str">
        <f ca="1">IF(AND(ISNUMBER($AE$388),$B$258=1),$AE$388,HLOOKUP(INDIRECT(ADDRESS(2,COLUMN())),OFFSET($BN$2,0,0,ROW()-1,60),ROW()-1,FALSE))</f>
        <v/>
      </c>
      <c r="AF143" t="str">
        <f ca="1">IF(AND(ISNUMBER($AF$388),$B$258=1),$AF$388,HLOOKUP(INDIRECT(ADDRESS(2,COLUMN())),OFFSET($BN$2,0,0,ROW()-1,60),ROW()-1,FALSE))</f>
        <v/>
      </c>
      <c r="AG143" t="str">
        <f ca="1">IF(AND(ISNUMBER($AG$388),$B$258=1),$AG$388,HLOOKUP(INDIRECT(ADDRESS(2,COLUMN())),OFFSET($BN$2,0,0,ROW()-1,60),ROW()-1,FALSE))</f>
        <v/>
      </c>
      <c r="AH143" t="str">
        <f ca="1">IF(AND(ISNUMBER($AH$388),$B$258=1),$AH$388,HLOOKUP(INDIRECT(ADDRESS(2,COLUMN())),OFFSET($BN$2,0,0,ROW()-1,60),ROW()-1,FALSE))</f>
        <v/>
      </c>
      <c r="AI143" t="str">
        <f ca="1">IF(AND(ISNUMBER($AI$388),$B$258=1),$AI$388,HLOOKUP(INDIRECT(ADDRESS(2,COLUMN())),OFFSET($BN$2,0,0,ROW()-1,60),ROW()-1,FALSE))</f>
        <v/>
      </c>
      <c r="AJ143" t="str">
        <f ca="1">IF(AND(ISNUMBER($AJ$388),$B$258=1),$AJ$388,HLOOKUP(INDIRECT(ADDRESS(2,COLUMN())),OFFSET($BN$2,0,0,ROW()-1,60),ROW()-1,FALSE))</f>
        <v/>
      </c>
      <c r="AK143" t="str">
        <f ca="1">IF(AND(ISNUMBER($AK$388),$B$258=1),$AK$388,HLOOKUP(INDIRECT(ADDRESS(2,COLUMN())),OFFSET($BN$2,0,0,ROW()-1,60),ROW()-1,FALSE))</f>
        <v/>
      </c>
      <c r="AL143" t="str">
        <f ca="1">IF(AND(ISNUMBER($AL$388),$B$258=1),$AL$388,HLOOKUP(INDIRECT(ADDRESS(2,COLUMN())),OFFSET($BN$2,0,0,ROW()-1,60),ROW()-1,FALSE))</f>
        <v/>
      </c>
      <c r="AM143" t="str">
        <f ca="1">IF(AND(ISNUMBER($AM$388),$B$258=1),$AM$388,HLOOKUP(INDIRECT(ADDRESS(2,COLUMN())),OFFSET($BN$2,0,0,ROW()-1,60),ROW()-1,FALSE))</f>
        <v/>
      </c>
      <c r="AN143" t="str">
        <f ca="1">IF(AND(ISNUMBER($AN$388),$B$258=1),$AN$388,HLOOKUP(INDIRECT(ADDRESS(2,COLUMN())),OFFSET($BN$2,0,0,ROW()-1,60),ROW()-1,FALSE))</f>
        <v/>
      </c>
      <c r="AO143" t="str">
        <f ca="1">IF(AND(ISNUMBER($AO$388),$B$258=1),$AO$388,HLOOKUP(INDIRECT(ADDRESS(2,COLUMN())),OFFSET($BN$2,0,0,ROW()-1,60),ROW()-1,FALSE))</f>
        <v/>
      </c>
      <c r="AP143" t="str">
        <f ca="1">IF(AND(ISNUMBER($AP$388),$B$258=1),$AP$388,HLOOKUP(INDIRECT(ADDRESS(2,COLUMN())),OFFSET($BN$2,0,0,ROW()-1,60),ROW()-1,FALSE))</f>
        <v/>
      </c>
      <c r="AQ143" t="str">
        <f ca="1">IF(AND(ISNUMBER($AQ$388),$B$258=1),$AQ$388,HLOOKUP(INDIRECT(ADDRESS(2,COLUMN())),OFFSET($BN$2,0,0,ROW()-1,60),ROW()-1,FALSE))</f>
        <v/>
      </c>
      <c r="AR143" t="str">
        <f ca="1">IF(AND(ISNUMBER($AR$388),$B$258=1),$AR$388,HLOOKUP(INDIRECT(ADDRESS(2,COLUMN())),OFFSET($BN$2,0,0,ROW()-1,60),ROW()-1,FALSE))</f>
        <v/>
      </c>
      <c r="AS143" t="str">
        <f ca="1">IF(AND(ISNUMBER($AS$388),$B$258=1),$AS$388,HLOOKUP(INDIRECT(ADDRESS(2,COLUMN())),OFFSET($BN$2,0,0,ROW()-1,60),ROW()-1,FALSE))</f>
        <v/>
      </c>
      <c r="AT143" t="str">
        <f ca="1">IF(AND(ISNUMBER($AT$388),$B$258=1),$AT$388,HLOOKUP(INDIRECT(ADDRESS(2,COLUMN())),OFFSET($BN$2,0,0,ROW()-1,60),ROW()-1,FALSE))</f>
        <v/>
      </c>
      <c r="AU143" t="str">
        <f ca="1">IF(AND(ISNUMBER($AU$388),$B$258=1),$AU$388,HLOOKUP(INDIRECT(ADDRESS(2,COLUMN())),OFFSET($BN$2,0,0,ROW()-1,60),ROW()-1,FALSE))</f>
        <v/>
      </c>
      <c r="AV143" t="str">
        <f ca="1">IF(AND(ISNUMBER($AV$388),$B$258=1),$AV$388,HLOOKUP(INDIRECT(ADDRESS(2,COLUMN())),OFFSET($BN$2,0,0,ROW()-1,60),ROW()-1,FALSE))</f>
        <v/>
      </c>
      <c r="AW143" t="str">
        <f ca="1">IF(AND(ISNUMBER($AW$388),$B$258=1),$AW$388,HLOOKUP(INDIRECT(ADDRESS(2,COLUMN())),OFFSET($BN$2,0,0,ROW()-1,60),ROW()-1,FALSE))</f>
        <v/>
      </c>
      <c r="AX143" t="str">
        <f ca="1">IF(AND(ISNUMBER($AX$388),$B$258=1),$AX$388,HLOOKUP(INDIRECT(ADDRESS(2,COLUMN())),OFFSET($BN$2,0,0,ROW()-1,60),ROW()-1,FALSE))</f>
        <v/>
      </c>
      <c r="AY143" t="str">
        <f ca="1">IF(AND(ISNUMBER($AY$388),$B$258=1),$AY$388,HLOOKUP(INDIRECT(ADDRESS(2,COLUMN())),OFFSET($BN$2,0,0,ROW()-1,60),ROW()-1,FALSE))</f>
        <v/>
      </c>
      <c r="AZ143" t="str">
        <f ca="1">IF(AND(ISNUMBER($AZ$388),$B$258=1),$AZ$388,HLOOKUP(INDIRECT(ADDRESS(2,COLUMN())),OFFSET($BN$2,0,0,ROW()-1,60),ROW()-1,FALSE))</f>
        <v/>
      </c>
      <c r="BA143" t="str">
        <f ca="1">IF(AND(ISNUMBER($BA$388),$B$258=1),$BA$388,HLOOKUP(INDIRECT(ADDRESS(2,COLUMN())),OFFSET($BN$2,0,0,ROW()-1,60),ROW()-1,FALSE))</f>
        <v/>
      </c>
      <c r="BB143" t="str">
        <f ca="1">IF(AND(ISNUMBER($BB$388),$B$258=1),$BB$388,HLOOKUP(INDIRECT(ADDRESS(2,COLUMN())),OFFSET($BN$2,0,0,ROW()-1,60),ROW()-1,FALSE))</f>
        <v/>
      </c>
      <c r="BC143" t="str">
        <f ca="1">IF(AND(ISNUMBER($BC$388),$B$258=1),$BC$388,HLOOKUP(INDIRECT(ADDRESS(2,COLUMN())),OFFSET($BN$2,0,0,ROW()-1,60),ROW()-1,FALSE))</f>
        <v/>
      </c>
      <c r="BD143" t="str">
        <f ca="1">IF(AND(ISNUMBER($BD$388),$B$258=1),$BD$388,HLOOKUP(INDIRECT(ADDRESS(2,COLUMN())),OFFSET($BN$2,0,0,ROW()-1,60),ROW()-1,FALSE))</f>
        <v/>
      </c>
      <c r="BE143" t="str">
        <f ca="1">IF(AND(ISNUMBER($BE$388),$B$258=1),$BE$388,HLOOKUP(INDIRECT(ADDRESS(2,COLUMN())),OFFSET($BN$2,0,0,ROW()-1,60),ROW()-1,FALSE))</f>
        <v/>
      </c>
      <c r="BF143" t="str">
        <f ca="1">IF(AND(ISNUMBER($BF$388),$B$258=1),$BF$388,HLOOKUP(INDIRECT(ADDRESS(2,COLUMN())),OFFSET($BN$2,0,0,ROW()-1,60),ROW()-1,FALSE))</f>
        <v/>
      </c>
      <c r="BG143" t="str">
        <f ca="1">IF(AND(ISNUMBER($BG$388),$B$258=1),$BG$388,HLOOKUP(INDIRECT(ADDRESS(2,COLUMN())),OFFSET($BN$2,0,0,ROW()-1,60),ROW()-1,FALSE))</f>
        <v/>
      </c>
      <c r="BH143" t="str">
        <f ca="1">IF(AND(ISNUMBER($BH$388),$B$258=1),$BH$388,HLOOKUP(INDIRECT(ADDRESS(2,COLUMN())),OFFSET($BN$2,0,0,ROW()-1,60),ROW()-1,FALSE))</f>
        <v/>
      </c>
      <c r="BI143" t="str">
        <f ca="1">IF(AND(ISNUMBER($BI$388),$B$258=1),$BI$388,HLOOKUP(INDIRECT(ADDRESS(2,COLUMN())),OFFSET($BN$2,0,0,ROW()-1,60),ROW()-1,FALSE))</f>
        <v/>
      </c>
      <c r="BJ143" t="str">
        <f ca="1">IF(AND(ISNUMBER($BJ$388),$B$258=1),$BJ$388,HLOOKUP(INDIRECT(ADDRESS(2,COLUMN())),OFFSET($BN$2,0,0,ROW()-1,60),ROW()-1,FALSE))</f>
        <v/>
      </c>
      <c r="BK143" t="str">
        <f ca="1">IF(AND(ISNUMBER($BK$388),$B$258=1),$BK$388,HLOOKUP(INDIRECT(ADDRESS(2,COLUMN())),OFFSET($BN$2,0,0,ROW()-1,60),ROW()-1,FALSE))</f>
        <v/>
      </c>
      <c r="BL143" t="str">
        <f ca="1">IF(AND(ISNUMBER($BL$388),$B$258=1),$BL$388,HLOOKUP(INDIRECT(ADDRESS(2,COLUMN())),OFFSET($BN$2,0,0,ROW()-1,60),ROW()-1,FALSE))</f>
        <v/>
      </c>
      <c r="BM143" t="str">
        <f ca="1">IF(AND(ISNUMBER($BM$388),$B$258=1),$BM$388,HLOOKUP(INDIRECT(ADDRESS(2,COLUMN())),OFFSET($BN$2,0,0,ROW()-1,60),ROW()-1,FALSE))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>
      <c r="A144" t="str">
        <f>"    Senior Housing Properties Trus"</f>
        <v xml:space="preserve">    Senior Housing Properties Trus</v>
      </c>
      <c r="B144" t="str">
        <f>"SNH US Equity"</f>
        <v>SNH US Equity</v>
      </c>
      <c r="C144" t="str">
        <f t="shared" si="33"/>
        <v>BE592</v>
      </c>
      <c r="D144" t="str">
        <f t="shared" si="34"/>
        <v>BEST_FFOPS_YOY_GTH</v>
      </c>
      <c r="E144" t="str">
        <f t="shared" si="35"/>
        <v>动态</v>
      </c>
      <c r="F144" t="str">
        <f ca="1">IF(AND(ISNUMBER($F$389),$B$258=1),$F$389,HLOOKUP(INDIRECT(ADDRESS(2,COLUMN())),OFFSET($BN$2,0,0,ROW()-1,60),ROW()-1,FALSE))</f>
        <v/>
      </c>
      <c r="G144" t="str">
        <f ca="1">IF(AND(ISNUMBER($G$389),$B$258=1),$G$389,HLOOKUP(INDIRECT(ADDRESS(2,COLUMN())),OFFSET($BN$2,0,0,ROW()-1,60),ROW()-1,FALSE))</f>
        <v/>
      </c>
      <c r="H144" t="str">
        <f ca="1">IF(AND(ISNUMBER($H$389),$B$258=1),$H$389,HLOOKUP(INDIRECT(ADDRESS(2,COLUMN())),OFFSET($BN$2,0,0,ROW()-1,60),ROW()-1,FALSE))</f>
        <v/>
      </c>
      <c r="I144" t="str">
        <f ca="1">IF(AND(ISNUMBER($I$389),$B$258=1),$I$389,HLOOKUP(INDIRECT(ADDRESS(2,COLUMN())),OFFSET($BN$2,0,0,ROW()-1,60),ROW()-1,FALSE))</f>
        <v/>
      </c>
      <c r="J144" t="str">
        <f ca="1">IF(AND(ISNUMBER($J$389),$B$258=1),$J$389,HLOOKUP(INDIRECT(ADDRESS(2,COLUMN())),OFFSET($BN$2,0,0,ROW()-1,60),ROW()-1,FALSE))</f>
        <v/>
      </c>
      <c r="K144" t="str">
        <f ca="1">IF(AND(ISNUMBER($K$389),$B$258=1),$K$389,HLOOKUP(INDIRECT(ADDRESS(2,COLUMN())),OFFSET($BN$2,0,0,ROW()-1,60),ROW()-1,FALSE))</f>
        <v/>
      </c>
      <c r="L144" t="str">
        <f ca="1">IF(AND(ISNUMBER($L$389),$B$258=1),$L$389,HLOOKUP(INDIRECT(ADDRESS(2,COLUMN())),OFFSET($BN$2,0,0,ROW()-1,60),ROW()-1,FALSE))</f>
        <v/>
      </c>
      <c r="M144" t="str">
        <f ca="1">IF(AND(ISNUMBER($M$389),$B$258=1),$M$389,HLOOKUP(INDIRECT(ADDRESS(2,COLUMN())),OFFSET($BN$2,0,0,ROW()-1,60),ROW()-1,FALSE))</f>
        <v/>
      </c>
      <c r="N144" t="str">
        <f ca="1">IF(AND(ISNUMBER($N$389),$B$258=1),$N$389,HLOOKUP(INDIRECT(ADDRESS(2,COLUMN())),OFFSET($BN$2,0,0,ROW()-1,60),ROW()-1,FALSE))</f>
        <v/>
      </c>
      <c r="O144" t="str">
        <f ca="1">IF(AND(ISNUMBER($O$389),$B$258=1),$O$389,HLOOKUP(INDIRECT(ADDRESS(2,COLUMN())),OFFSET($BN$2,0,0,ROW()-1,60),ROW()-1,FALSE))</f>
        <v/>
      </c>
      <c r="P144" t="str">
        <f ca="1">IF(AND(ISNUMBER($P$389),$B$258=1),$P$389,HLOOKUP(INDIRECT(ADDRESS(2,COLUMN())),OFFSET($BN$2,0,0,ROW()-1,60),ROW()-1,FALSE))</f>
        <v/>
      </c>
      <c r="Q144" t="str">
        <f ca="1">IF(AND(ISNUMBER($Q$389),$B$258=1),$Q$389,HLOOKUP(INDIRECT(ADDRESS(2,COLUMN())),OFFSET($BN$2,0,0,ROW()-1,60),ROW()-1,FALSE))</f>
        <v/>
      </c>
      <c r="R144" t="str">
        <f ca="1">IF(AND(ISNUMBER($R$389),$B$258=1),$R$389,HLOOKUP(INDIRECT(ADDRESS(2,COLUMN())),OFFSET($BN$2,0,0,ROW()-1,60),ROW()-1,FALSE))</f>
        <v/>
      </c>
      <c r="S144" t="str">
        <f ca="1">IF(AND(ISNUMBER($S$389),$B$258=1),$S$389,HLOOKUP(INDIRECT(ADDRESS(2,COLUMN())),OFFSET($BN$2,0,0,ROW()-1,60),ROW()-1,FALSE))</f>
        <v/>
      </c>
      <c r="T144" t="str">
        <f ca="1">IF(AND(ISNUMBER($T$389),$B$258=1),$T$389,HLOOKUP(INDIRECT(ADDRESS(2,COLUMN())),OFFSET($BN$2,0,0,ROW()-1,60),ROW()-1,FALSE))</f>
        <v/>
      </c>
      <c r="U144" t="str">
        <f ca="1">IF(AND(ISNUMBER($U$389),$B$258=1),$U$389,HLOOKUP(INDIRECT(ADDRESS(2,COLUMN())),OFFSET($BN$2,0,0,ROW()-1,60),ROW()-1,FALSE))</f>
        <v/>
      </c>
      <c r="V144" t="str">
        <f ca="1">IF(AND(ISNUMBER($V$389),$B$258=1),$V$389,HLOOKUP(INDIRECT(ADDRESS(2,COLUMN())),OFFSET($BN$2,0,0,ROW()-1,60),ROW()-1,FALSE))</f>
        <v/>
      </c>
      <c r="W144" t="str">
        <f ca="1">IF(AND(ISNUMBER($W$389),$B$258=1),$W$389,HLOOKUP(INDIRECT(ADDRESS(2,COLUMN())),OFFSET($BN$2,0,0,ROW()-1,60),ROW()-1,FALSE))</f>
        <v/>
      </c>
      <c r="X144" t="str">
        <f ca="1">IF(AND(ISNUMBER($X$389),$B$258=1),$X$389,HLOOKUP(INDIRECT(ADDRESS(2,COLUMN())),OFFSET($BN$2,0,0,ROW()-1,60),ROW()-1,FALSE))</f>
        <v/>
      </c>
      <c r="Y144" t="str">
        <f ca="1">IF(AND(ISNUMBER($Y$389),$B$258=1),$Y$389,HLOOKUP(INDIRECT(ADDRESS(2,COLUMN())),OFFSET($BN$2,0,0,ROW()-1,60),ROW()-1,FALSE))</f>
        <v/>
      </c>
      <c r="Z144" t="str">
        <f ca="1">IF(AND(ISNUMBER($Z$389),$B$258=1),$Z$389,HLOOKUP(INDIRECT(ADDRESS(2,COLUMN())),OFFSET($BN$2,0,0,ROW()-1,60),ROW()-1,FALSE))</f>
        <v/>
      </c>
      <c r="AA144" t="str">
        <f ca="1">IF(AND(ISNUMBER($AA$389),$B$258=1),$AA$389,HLOOKUP(INDIRECT(ADDRESS(2,COLUMN())),OFFSET($BN$2,0,0,ROW()-1,60),ROW()-1,FALSE))</f>
        <v/>
      </c>
      <c r="AB144" t="str">
        <f ca="1">IF(AND(ISNUMBER($AB$389),$B$258=1),$AB$389,HLOOKUP(INDIRECT(ADDRESS(2,COLUMN())),OFFSET($BN$2,0,0,ROW()-1,60),ROW()-1,FALSE))</f>
        <v/>
      </c>
      <c r="AC144" t="str">
        <f ca="1">IF(AND(ISNUMBER($AC$389),$B$258=1),$AC$389,HLOOKUP(INDIRECT(ADDRESS(2,COLUMN())),OFFSET($BN$2,0,0,ROW()-1,60),ROW()-1,FALSE))</f>
        <v/>
      </c>
      <c r="AD144" t="str">
        <f ca="1">IF(AND(ISNUMBER($AD$389),$B$258=1),$AD$389,HLOOKUP(INDIRECT(ADDRESS(2,COLUMN())),OFFSET($BN$2,0,0,ROW()-1,60),ROW()-1,FALSE))</f>
        <v/>
      </c>
      <c r="AE144" t="str">
        <f ca="1">IF(AND(ISNUMBER($AE$389),$B$258=1),$AE$389,HLOOKUP(INDIRECT(ADDRESS(2,COLUMN())),OFFSET($BN$2,0,0,ROW()-1,60),ROW()-1,FALSE))</f>
        <v/>
      </c>
      <c r="AF144" t="str">
        <f ca="1">IF(AND(ISNUMBER($AF$389),$B$258=1),$AF$389,HLOOKUP(INDIRECT(ADDRESS(2,COLUMN())),OFFSET($BN$2,0,0,ROW()-1,60),ROW()-1,FALSE))</f>
        <v/>
      </c>
      <c r="AG144" t="str">
        <f ca="1">IF(AND(ISNUMBER($AG$389),$B$258=1),$AG$389,HLOOKUP(INDIRECT(ADDRESS(2,COLUMN())),OFFSET($BN$2,0,0,ROW()-1,60),ROW()-1,FALSE))</f>
        <v/>
      </c>
      <c r="AH144" t="str">
        <f ca="1">IF(AND(ISNUMBER($AH$389),$B$258=1),$AH$389,HLOOKUP(INDIRECT(ADDRESS(2,COLUMN())),OFFSET($BN$2,0,0,ROW()-1,60),ROW()-1,FALSE))</f>
        <v/>
      </c>
      <c r="AI144" t="str">
        <f ca="1">IF(AND(ISNUMBER($AI$389),$B$258=1),$AI$389,HLOOKUP(INDIRECT(ADDRESS(2,COLUMN())),OFFSET($BN$2,0,0,ROW()-1,60),ROW()-1,FALSE))</f>
        <v/>
      </c>
      <c r="AJ144" t="str">
        <f ca="1">IF(AND(ISNUMBER($AJ$389),$B$258=1),$AJ$389,HLOOKUP(INDIRECT(ADDRESS(2,COLUMN())),OFFSET($BN$2,0,0,ROW()-1,60),ROW()-1,FALSE))</f>
        <v/>
      </c>
      <c r="AK144" t="str">
        <f ca="1">IF(AND(ISNUMBER($AK$389),$B$258=1),$AK$389,HLOOKUP(INDIRECT(ADDRESS(2,COLUMN())),OFFSET($BN$2,0,0,ROW()-1,60),ROW()-1,FALSE))</f>
        <v/>
      </c>
      <c r="AL144" t="str">
        <f ca="1">IF(AND(ISNUMBER($AL$389),$B$258=1),$AL$389,HLOOKUP(INDIRECT(ADDRESS(2,COLUMN())),OFFSET($BN$2,0,0,ROW()-1,60),ROW()-1,FALSE))</f>
        <v/>
      </c>
      <c r="AM144" t="str">
        <f ca="1">IF(AND(ISNUMBER($AM$389),$B$258=1),$AM$389,HLOOKUP(INDIRECT(ADDRESS(2,COLUMN())),OFFSET($BN$2,0,0,ROW()-1,60),ROW()-1,FALSE))</f>
        <v/>
      </c>
      <c r="AN144" t="str">
        <f ca="1">IF(AND(ISNUMBER($AN$389),$B$258=1),$AN$389,HLOOKUP(INDIRECT(ADDRESS(2,COLUMN())),OFFSET($BN$2,0,0,ROW()-1,60),ROW()-1,FALSE))</f>
        <v/>
      </c>
      <c r="AO144" t="str">
        <f ca="1">IF(AND(ISNUMBER($AO$389),$B$258=1),$AO$389,HLOOKUP(INDIRECT(ADDRESS(2,COLUMN())),OFFSET($BN$2,0,0,ROW()-1,60),ROW()-1,FALSE))</f>
        <v/>
      </c>
      <c r="AP144" t="str">
        <f ca="1">IF(AND(ISNUMBER($AP$389),$B$258=1),$AP$389,HLOOKUP(INDIRECT(ADDRESS(2,COLUMN())),OFFSET($BN$2,0,0,ROW()-1,60),ROW()-1,FALSE))</f>
        <v/>
      </c>
      <c r="AQ144" t="str">
        <f ca="1">IF(AND(ISNUMBER($AQ$389),$B$258=1),$AQ$389,HLOOKUP(INDIRECT(ADDRESS(2,COLUMN())),OFFSET($BN$2,0,0,ROW()-1,60),ROW()-1,FALSE))</f>
        <v/>
      </c>
      <c r="AR144" t="str">
        <f ca="1">IF(AND(ISNUMBER($AR$389),$B$258=1),$AR$389,HLOOKUP(INDIRECT(ADDRESS(2,COLUMN())),OFFSET($BN$2,0,0,ROW()-1,60),ROW()-1,FALSE))</f>
        <v/>
      </c>
      <c r="AS144" t="str">
        <f ca="1">IF(AND(ISNUMBER($AS$389),$B$258=1),$AS$389,HLOOKUP(INDIRECT(ADDRESS(2,COLUMN())),OFFSET($BN$2,0,0,ROW()-1,60),ROW()-1,FALSE))</f>
        <v/>
      </c>
      <c r="AT144" t="str">
        <f ca="1">IF(AND(ISNUMBER($AT$389),$B$258=1),$AT$389,HLOOKUP(INDIRECT(ADDRESS(2,COLUMN())),OFFSET($BN$2,0,0,ROW()-1,60),ROW()-1,FALSE))</f>
        <v/>
      </c>
      <c r="AU144" t="str">
        <f ca="1">IF(AND(ISNUMBER($AU$389),$B$258=1),$AU$389,HLOOKUP(INDIRECT(ADDRESS(2,COLUMN())),OFFSET($BN$2,0,0,ROW()-1,60),ROW()-1,FALSE))</f>
        <v/>
      </c>
      <c r="AV144" t="str">
        <f ca="1">IF(AND(ISNUMBER($AV$389),$B$258=1),$AV$389,HLOOKUP(INDIRECT(ADDRESS(2,COLUMN())),OFFSET($BN$2,0,0,ROW()-1,60),ROW()-1,FALSE))</f>
        <v/>
      </c>
      <c r="AW144" t="str">
        <f ca="1">IF(AND(ISNUMBER($AW$389),$B$258=1),$AW$389,HLOOKUP(INDIRECT(ADDRESS(2,COLUMN())),OFFSET($BN$2,0,0,ROW()-1,60),ROW()-1,FALSE))</f>
        <v/>
      </c>
      <c r="AX144" t="str">
        <f ca="1">IF(AND(ISNUMBER($AX$389),$B$258=1),$AX$389,HLOOKUP(INDIRECT(ADDRESS(2,COLUMN())),OFFSET($BN$2,0,0,ROW()-1,60),ROW()-1,FALSE))</f>
        <v/>
      </c>
      <c r="AY144" t="str">
        <f ca="1">IF(AND(ISNUMBER($AY$389),$B$258=1),$AY$389,HLOOKUP(INDIRECT(ADDRESS(2,COLUMN())),OFFSET($BN$2,0,0,ROW()-1,60),ROW()-1,FALSE))</f>
        <v/>
      </c>
      <c r="AZ144" t="str">
        <f ca="1">IF(AND(ISNUMBER($AZ$389),$B$258=1),$AZ$389,HLOOKUP(INDIRECT(ADDRESS(2,COLUMN())),OFFSET($BN$2,0,0,ROW()-1,60),ROW()-1,FALSE))</f>
        <v/>
      </c>
      <c r="BA144" t="str">
        <f ca="1">IF(AND(ISNUMBER($BA$389),$B$258=1),$BA$389,HLOOKUP(INDIRECT(ADDRESS(2,COLUMN())),OFFSET($BN$2,0,0,ROW()-1,60),ROW()-1,FALSE))</f>
        <v/>
      </c>
      <c r="BB144" t="str">
        <f ca="1">IF(AND(ISNUMBER($BB$389),$B$258=1),$BB$389,HLOOKUP(INDIRECT(ADDRESS(2,COLUMN())),OFFSET($BN$2,0,0,ROW()-1,60),ROW()-1,FALSE))</f>
        <v/>
      </c>
      <c r="BC144" t="str">
        <f ca="1">IF(AND(ISNUMBER($BC$389),$B$258=1),$BC$389,HLOOKUP(INDIRECT(ADDRESS(2,COLUMN())),OFFSET($BN$2,0,0,ROW()-1,60),ROW()-1,FALSE))</f>
        <v/>
      </c>
      <c r="BD144" t="str">
        <f ca="1">IF(AND(ISNUMBER($BD$389),$B$258=1),$BD$389,HLOOKUP(INDIRECT(ADDRESS(2,COLUMN())),OFFSET($BN$2,0,0,ROW()-1,60),ROW()-1,FALSE))</f>
        <v/>
      </c>
      <c r="BE144" t="str">
        <f ca="1">IF(AND(ISNUMBER($BE$389),$B$258=1),$BE$389,HLOOKUP(INDIRECT(ADDRESS(2,COLUMN())),OFFSET($BN$2,0,0,ROW()-1,60),ROW()-1,FALSE))</f>
        <v/>
      </c>
      <c r="BF144" t="str">
        <f ca="1">IF(AND(ISNUMBER($BF$389),$B$258=1),$BF$389,HLOOKUP(INDIRECT(ADDRESS(2,COLUMN())),OFFSET($BN$2,0,0,ROW()-1,60),ROW()-1,FALSE))</f>
        <v/>
      </c>
      <c r="BG144" t="str">
        <f ca="1">IF(AND(ISNUMBER($BG$389),$B$258=1),$BG$389,HLOOKUP(INDIRECT(ADDRESS(2,COLUMN())),OFFSET($BN$2,0,0,ROW()-1,60),ROW()-1,FALSE))</f>
        <v/>
      </c>
      <c r="BH144" t="str">
        <f ca="1">IF(AND(ISNUMBER($BH$389),$B$258=1),$BH$389,HLOOKUP(INDIRECT(ADDRESS(2,COLUMN())),OFFSET($BN$2,0,0,ROW()-1,60),ROW()-1,FALSE))</f>
        <v/>
      </c>
      <c r="BI144" t="str">
        <f ca="1">IF(AND(ISNUMBER($BI$389),$B$258=1),$BI$389,HLOOKUP(INDIRECT(ADDRESS(2,COLUMN())),OFFSET($BN$2,0,0,ROW()-1,60),ROW()-1,FALSE))</f>
        <v/>
      </c>
      <c r="BJ144" t="str">
        <f ca="1">IF(AND(ISNUMBER($BJ$389),$B$258=1),$BJ$389,HLOOKUP(INDIRECT(ADDRESS(2,COLUMN())),OFFSET($BN$2,0,0,ROW()-1,60),ROW()-1,FALSE))</f>
        <v/>
      </c>
      <c r="BK144" t="str">
        <f ca="1">IF(AND(ISNUMBER($BK$389),$B$258=1),$BK$389,HLOOKUP(INDIRECT(ADDRESS(2,COLUMN())),OFFSET($BN$2,0,0,ROW()-1,60),ROW()-1,FALSE))</f>
        <v/>
      </c>
      <c r="BL144" t="str">
        <f ca="1">IF(AND(ISNUMBER($BL$389),$B$258=1),$BL$389,HLOOKUP(INDIRECT(ADDRESS(2,COLUMN())),OFFSET($BN$2,0,0,ROW()-1,60),ROW()-1,FALSE))</f>
        <v/>
      </c>
      <c r="BM144" t="str">
        <f ca="1">IF(AND(ISNUMBER($BM$389),$B$258=1),$BM$389,HLOOKUP(INDIRECT(ADDRESS(2,COLUMN())),OFFSET($BN$2,0,0,ROW()-1,60),ROW()-1,FALSE))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>
      <c r="A145" t="str">
        <f>"    Ventas Inc"</f>
        <v xml:space="preserve">    Ventas Inc</v>
      </c>
      <c r="B145" t="str">
        <f>"VTR US Equity"</f>
        <v>VTR US Equity</v>
      </c>
      <c r="C145" t="str">
        <f t="shared" si="33"/>
        <v>BE592</v>
      </c>
      <c r="D145" t="str">
        <f t="shared" si="34"/>
        <v>BEST_FFOPS_YOY_GTH</v>
      </c>
      <c r="E145" t="str">
        <f t="shared" si="35"/>
        <v>动态</v>
      </c>
      <c r="F145" t="str">
        <f ca="1">IF(AND(ISNUMBER($F$390),$B$258=1),$F$390,HLOOKUP(INDIRECT(ADDRESS(2,COLUMN())),OFFSET($BN$2,0,0,ROW()-1,60),ROW()-1,FALSE))</f>
        <v/>
      </c>
      <c r="G145" t="str">
        <f ca="1">IF(AND(ISNUMBER($G$390),$B$258=1),$G$390,HLOOKUP(INDIRECT(ADDRESS(2,COLUMN())),OFFSET($BN$2,0,0,ROW()-1,60),ROW()-1,FALSE))</f>
        <v/>
      </c>
      <c r="H145" t="str">
        <f ca="1">IF(AND(ISNUMBER($H$390),$B$258=1),$H$390,HLOOKUP(INDIRECT(ADDRESS(2,COLUMN())),OFFSET($BN$2,0,0,ROW()-1,60),ROW()-1,FALSE))</f>
        <v/>
      </c>
      <c r="I145" t="str">
        <f ca="1">IF(AND(ISNUMBER($I$390),$B$258=1),$I$390,HLOOKUP(INDIRECT(ADDRESS(2,COLUMN())),OFFSET($BN$2,0,0,ROW()-1,60),ROW()-1,FALSE))</f>
        <v/>
      </c>
      <c r="J145" t="str">
        <f ca="1">IF(AND(ISNUMBER($J$390),$B$258=1),$J$390,HLOOKUP(INDIRECT(ADDRESS(2,COLUMN())),OFFSET($BN$2,0,0,ROW()-1,60),ROW()-1,FALSE))</f>
        <v/>
      </c>
      <c r="K145" t="str">
        <f ca="1">IF(AND(ISNUMBER($K$390),$B$258=1),$K$390,HLOOKUP(INDIRECT(ADDRESS(2,COLUMN())),OFFSET($BN$2,0,0,ROW()-1,60),ROW()-1,FALSE))</f>
        <v/>
      </c>
      <c r="L145" t="str">
        <f ca="1">IF(AND(ISNUMBER($L$390),$B$258=1),$L$390,HLOOKUP(INDIRECT(ADDRESS(2,COLUMN())),OFFSET($BN$2,0,0,ROW()-1,60),ROW()-1,FALSE))</f>
        <v/>
      </c>
      <c r="M145" t="str">
        <f ca="1">IF(AND(ISNUMBER($M$390),$B$258=1),$M$390,HLOOKUP(INDIRECT(ADDRESS(2,COLUMN())),OFFSET($BN$2,0,0,ROW()-1,60),ROW()-1,FALSE))</f>
        <v/>
      </c>
      <c r="N145" t="str">
        <f ca="1">IF(AND(ISNUMBER($N$390),$B$258=1),$N$390,HLOOKUP(INDIRECT(ADDRESS(2,COLUMN())),OFFSET($BN$2,0,0,ROW()-1,60),ROW()-1,FALSE))</f>
        <v/>
      </c>
      <c r="O145" t="str">
        <f ca="1">IF(AND(ISNUMBER($O$390),$B$258=1),$O$390,HLOOKUP(INDIRECT(ADDRESS(2,COLUMN())),OFFSET($BN$2,0,0,ROW()-1,60),ROW()-1,FALSE))</f>
        <v/>
      </c>
      <c r="P145" t="str">
        <f ca="1">IF(AND(ISNUMBER($P$390),$B$258=1),$P$390,HLOOKUP(INDIRECT(ADDRESS(2,COLUMN())),OFFSET($BN$2,0,0,ROW()-1,60),ROW()-1,FALSE))</f>
        <v/>
      </c>
      <c r="Q145" t="str">
        <f ca="1">IF(AND(ISNUMBER($Q$390),$B$258=1),$Q$390,HLOOKUP(INDIRECT(ADDRESS(2,COLUMN())),OFFSET($BN$2,0,0,ROW()-1,60),ROW()-1,FALSE))</f>
        <v/>
      </c>
      <c r="R145" t="str">
        <f ca="1">IF(AND(ISNUMBER($R$390),$B$258=1),$R$390,HLOOKUP(INDIRECT(ADDRESS(2,COLUMN())),OFFSET($BN$2,0,0,ROW()-1,60),ROW()-1,FALSE))</f>
        <v/>
      </c>
      <c r="S145" t="str">
        <f ca="1">IF(AND(ISNUMBER($S$390),$B$258=1),$S$390,HLOOKUP(INDIRECT(ADDRESS(2,COLUMN())),OFFSET($BN$2,0,0,ROW()-1,60),ROW()-1,FALSE))</f>
        <v/>
      </c>
      <c r="T145" t="str">
        <f ca="1">IF(AND(ISNUMBER($T$390),$B$258=1),$T$390,HLOOKUP(INDIRECT(ADDRESS(2,COLUMN())),OFFSET($BN$2,0,0,ROW()-1,60),ROW()-1,FALSE))</f>
        <v/>
      </c>
      <c r="U145" t="str">
        <f ca="1">IF(AND(ISNUMBER($U$390),$B$258=1),$U$390,HLOOKUP(INDIRECT(ADDRESS(2,COLUMN())),OFFSET($BN$2,0,0,ROW()-1,60),ROW()-1,FALSE))</f>
        <v/>
      </c>
      <c r="V145" t="str">
        <f ca="1">IF(AND(ISNUMBER($V$390),$B$258=1),$V$390,HLOOKUP(INDIRECT(ADDRESS(2,COLUMN())),OFFSET($BN$2,0,0,ROW()-1,60),ROW()-1,FALSE))</f>
        <v/>
      </c>
      <c r="W145" t="str">
        <f ca="1">IF(AND(ISNUMBER($W$390),$B$258=1),$W$390,HLOOKUP(INDIRECT(ADDRESS(2,COLUMN())),OFFSET($BN$2,0,0,ROW()-1,60),ROW()-1,FALSE))</f>
        <v/>
      </c>
      <c r="X145" t="str">
        <f ca="1">IF(AND(ISNUMBER($X$390),$B$258=1),$X$390,HLOOKUP(INDIRECT(ADDRESS(2,COLUMN())),OFFSET($BN$2,0,0,ROW()-1,60),ROW()-1,FALSE))</f>
        <v/>
      </c>
      <c r="Y145" t="str">
        <f ca="1">IF(AND(ISNUMBER($Y$390),$B$258=1),$Y$390,HLOOKUP(INDIRECT(ADDRESS(2,COLUMN())),OFFSET($BN$2,0,0,ROW()-1,60),ROW()-1,FALSE))</f>
        <v/>
      </c>
      <c r="Z145" t="str">
        <f ca="1">IF(AND(ISNUMBER($Z$390),$B$258=1),$Z$390,HLOOKUP(INDIRECT(ADDRESS(2,COLUMN())),OFFSET($BN$2,0,0,ROW()-1,60),ROW()-1,FALSE))</f>
        <v/>
      </c>
      <c r="AA145" t="str">
        <f ca="1">IF(AND(ISNUMBER($AA$390),$B$258=1),$AA$390,HLOOKUP(INDIRECT(ADDRESS(2,COLUMN())),OFFSET($BN$2,0,0,ROW()-1,60),ROW()-1,FALSE))</f>
        <v/>
      </c>
      <c r="AB145" t="str">
        <f ca="1">IF(AND(ISNUMBER($AB$390),$B$258=1),$AB$390,HLOOKUP(INDIRECT(ADDRESS(2,COLUMN())),OFFSET($BN$2,0,0,ROW()-1,60),ROW()-1,FALSE))</f>
        <v/>
      </c>
      <c r="AC145" t="str">
        <f ca="1">IF(AND(ISNUMBER($AC$390),$B$258=1),$AC$390,HLOOKUP(INDIRECT(ADDRESS(2,COLUMN())),OFFSET($BN$2,0,0,ROW()-1,60),ROW()-1,FALSE))</f>
        <v/>
      </c>
      <c r="AD145" t="str">
        <f ca="1">IF(AND(ISNUMBER($AD$390),$B$258=1),$AD$390,HLOOKUP(INDIRECT(ADDRESS(2,COLUMN())),OFFSET($BN$2,0,0,ROW()-1,60),ROW()-1,FALSE))</f>
        <v/>
      </c>
      <c r="AE145" t="str">
        <f ca="1">IF(AND(ISNUMBER($AE$390),$B$258=1),$AE$390,HLOOKUP(INDIRECT(ADDRESS(2,COLUMN())),OFFSET($BN$2,0,0,ROW()-1,60),ROW()-1,FALSE))</f>
        <v/>
      </c>
      <c r="AF145" t="str">
        <f ca="1">IF(AND(ISNUMBER($AF$390),$B$258=1),$AF$390,HLOOKUP(INDIRECT(ADDRESS(2,COLUMN())),OFFSET($BN$2,0,0,ROW()-1,60),ROW()-1,FALSE))</f>
        <v/>
      </c>
      <c r="AG145" t="str">
        <f ca="1">IF(AND(ISNUMBER($AG$390),$B$258=1),$AG$390,HLOOKUP(INDIRECT(ADDRESS(2,COLUMN())),OFFSET($BN$2,0,0,ROW()-1,60),ROW()-1,FALSE))</f>
        <v/>
      </c>
      <c r="AH145" t="str">
        <f ca="1">IF(AND(ISNUMBER($AH$390),$B$258=1),$AH$390,HLOOKUP(INDIRECT(ADDRESS(2,COLUMN())),OFFSET($BN$2,0,0,ROW()-1,60),ROW()-1,FALSE))</f>
        <v/>
      </c>
      <c r="AI145" t="str">
        <f ca="1">IF(AND(ISNUMBER($AI$390),$B$258=1),$AI$390,HLOOKUP(INDIRECT(ADDRESS(2,COLUMN())),OFFSET($BN$2,0,0,ROW()-1,60),ROW()-1,FALSE))</f>
        <v/>
      </c>
      <c r="AJ145" t="str">
        <f ca="1">IF(AND(ISNUMBER($AJ$390),$B$258=1),$AJ$390,HLOOKUP(INDIRECT(ADDRESS(2,COLUMN())),OFFSET($BN$2,0,0,ROW()-1,60),ROW()-1,FALSE))</f>
        <v/>
      </c>
      <c r="AK145" t="str">
        <f ca="1">IF(AND(ISNUMBER($AK$390),$B$258=1),$AK$390,HLOOKUP(INDIRECT(ADDRESS(2,COLUMN())),OFFSET($BN$2,0,0,ROW()-1,60),ROW()-1,FALSE))</f>
        <v/>
      </c>
      <c r="AL145" t="str">
        <f ca="1">IF(AND(ISNUMBER($AL$390),$B$258=1),$AL$390,HLOOKUP(INDIRECT(ADDRESS(2,COLUMN())),OFFSET($BN$2,0,0,ROW()-1,60),ROW()-1,FALSE))</f>
        <v/>
      </c>
      <c r="AM145" t="str">
        <f ca="1">IF(AND(ISNUMBER($AM$390),$B$258=1),$AM$390,HLOOKUP(INDIRECT(ADDRESS(2,COLUMN())),OFFSET($BN$2,0,0,ROW()-1,60),ROW()-1,FALSE))</f>
        <v/>
      </c>
      <c r="AN145" t="str">
        <f ca="1">IF(AND(ISNUMBER($AN$390),$B$258=1),$AN$390,HLOOKUP(INDIRECT(ADDRESS(2,COLUMN())),OFFSET($BN$2,0,0,ROW()-1,60),ROW()-1,FALSE))</f>
        <v/>
      </c>
      <c r="AO145" t="str">
        <f ca="1">IF(AND(ISNUMBER($AO$390),$B$258=1),$AO$390,HLOOKUP(INDIRECT(ADDRESS(2,COLUMN())),OFFSET($BN$2,0,0,ROW()-1,60),ROW()-1,FALSE))</f>
        <v/>
      </c>
      <c r="AP145" t="str">
        <f ca="1">IF(AND(ISNUMBER($AP$390),$B$258=1),$AP$390,HLOOKUP(INDIRECT(ADDRESS(2,COLUMN())),OFFSET($BN$2,0,0,ROW()-1,60),ROW()-1,FALSE))</f>
        <v/>
      </c>
      <c r="AQ145" t="str">
        <f ca="1">IF(AND(ISNUMBER($AQ$390),$B$258=1),$AQ$390,HLOOKUP(INDIRECT(ADDRESS(2,COLUMN())),OFFSET($BN$2,0,0,ROW()-1,60),ROW()-1,FALSE))</f>
        <v/>
      </c>
      <c r="AR145" t="str">
        <f ca="1">IF(AND(ISNUMBER($AR$390),$B$258=1),$AR$390,HLOOKUP(INDIRECT(ADDRESS(2,COLUMN())),OFFSET($BN$2,0,0,ROW()-1,60),ROW()-1,FALSE))</f>
        <v/>
      </c>
      <c r="AS145" t="str">
        <f ca="1">IF(AND(ISNUMBER($AS$390),$B$258=1),$AS$390,HLOOKUP(INDIRECT(ADDRESS(2,COLUMN())),OFFSET($BN$2,0,0,ROW()-1,60),ROW()-1,FALSE))</f>
        <v/>
      </c>
      <c r="AT145" t="str">
        <f ca="1">IF(AND(ISNUMBER($AT$390),$B$258=1),$AT$390,HLOOKUP(INDIRECT(ADDRESS(2,COLUMN())),OFFSET($BN$2,0,0,ROW()-1,60),ROW()-1,FALSE))</f>
        <v/>
      </c>
      <c r="AU145" t="str">
        <f ca="1">IF(AND(ISNUMBER($AU$390),$B$258=1),$AU$390,HLOOKUP(INDIRECT(ADDRESS(2,COLUMN())),OFFSET($BN$2,0,0,ROW()-1,60),ROW()-1,FALSE))</f>
        <v/>
      </c>
      <c r="AV145" t="str">
        <f ca="1">IF(AND(ISNUMBER($AV$390),$B$258=1),$AV$390,HLOOKUP(INDIRECT(ADDRESS(2,COLUMN())),OFFSET($BN$2,0,0,ROW()-1,60),ROW()-1,FALSE))</f>
        <v/>
      </c>
      <c r="AW145" t="str">
        <f ca="1">IF(AND(ISNUMBER($AW$390),$B$258=1),$AW$390,HLOOKUP(INDIRECT(ADDRESS(2,COLUMN())),OFFSET($BN$2,0,0,ROW()-1,60),ROW()-1,FALSE))</f>
        <v/>
      </c>
      <c r="AX145" t="str">
        <f ca="1">IF(AND(ISNUMBER($AX$390),$B$258=1),$AX$390,HLOOKUP(INDIRECT(ADDRESS(2,COLUMN())),OFFSET($BN$2,0,0,ROW()-1,60),ROW()-1,FALSE))</f>
        <v/>
      </c>
      <c r="AY145" t="str">
        <f ca="1">IF(AND(ISNUMBER($AY$390),$B$258=1),$AY$390,HLOOKUP(INDIRECT(ADDRESS(2,COLUMN())),OFFSET($BN$2,0,0,ROW()-1,60),ROW()-1,FALSE))</f>
        <v/>
      </c>
      <c r="AZ145" t="str">
        <f ca="1">IF(AND(ISNUMBER($AZ$390),$B$258=1),$AZ$390,HLOOKUP(INDIRECT(ADDRESS(2,COLUMN())),OFFSET($BN$2,0,0,ROW()-1,60),ROW()-1,FALSE))</f>
        <v/>
      </c>
      <c r="BA145" t="str">
        <f ca="1">IF(AND(ISNUMBER($BA$390),$B$258=1),$BA$390,HLOOKUP(INDIRECT(ADDRESS(2,COLUMN())),OFFSET($BN$2,0,0,ROW()-1,60),ROW()-1,FALSE))</f>
        <v/>
      </c>
      <c r="BB145" t="str">
        <f ca="1">IF(AND(ISNUMBER($BB$390),$B$258=1),$BB$390,HLOOKUP(INDIRECT(ADDRESS(2,COLUMN())),OFFSET($BN$2,0,0,ROW()-1,60),ROW()-1,FALSE))</f>
        <v/>
      </c>
      <c r="BC145" t="str">
        <f ca="1">IF(AND(ISNUMBER($BC$390),$B$258=1),$BC$390,HLOOKUP(INDIRECT(ADDRESS(2,COLUMN())),OFFSET($BN$2,0,0,ROW()-1,60),ROW()-1,FALSE))</f>
        <v/>
      </c>
      <c r="BD145" t="str">
        <f ca="1">IF(AND(ISNUMBER($BD$390),$B$258=1),$BD$390,HLOOKUP(INDIRECT(ADDRESS(2,COLUMN())),OFFSET($BN$2,0,0,ROW()-1,60),ROW()-1,FALSE))</f>
        <v/>
      </c>
      <c r="BE145" t="str">
        <f ca="1">IF(AND(ISNUMBER($BE$390),$B$258=1),$BE$390,HLOOKUP(INDIRECT(ADDRESS(2,COLUMN())),OFFSET($BN$2,0,0,ROW()-1,60),ROW()-1,FALSE))</f>
        <v/>
      </c>
      <c r="BF145" t="str">
        <f ca="1">IF(AND(ISNUMBER($BF$390),$B$258=1),$BF$390,HLOOKUP(INDIRECT(ADDRESS(2,COLUMN())),OFFSET($BN$2,0,0,ROW()-1,60),ROW()-1,FALSE))</f>
        <v/>
      </c>
      <c r="BG145" t="str">
        <f ca="1">IF(AND(ISNUMBER($BG$390),$B$258=1),$BG$390,HLOOKUP(INDIRECT(ADDRESS(2,COLUMN())),OFFSET($BN$2,0,0,ROW()-1,60),ROW()-1,FALSE))</f>
        <v/>
      </c>
      <c r="BH145" t="str">
        <f ca="1">IF(AND(ISNUMBER($BH$390),$B$258=1),$BH$390,HLOOKUP(INDIRECT(ADDRESS(2,COLUMN())),OFFSET($BN$2,0,0,ROW()-1,60),ROW()-1,FALSE))</f>
        <v/>
      </c>
      <c r="BI145" t="str">
        <f ca="1">IF(AND(ISNUMBER($BI$390),$B$258=1),$BI$390,HLOOKUP(INDIRECT(ADDRESS(2,COLUMN())),OFFSET($BN$2,0,0,ROW()-1,60),ROW()-1,FALSE))</f>
        <v/>
      </c>
      <c r="BJ145" t="str">
        <f ca="1">IF(AND(ISNUMBER($BJ$390),$B$258=1),$BJ$390,HLOOKUP(INDIRECT(ADDRESS(2,COLUMN())),OFFSET($BN$2,0,0,ROW()-1,60),ROW()-1,FALSE))</f>
        <v/>
      </c>
      <c r="BK145" t="str">
        <f ca="1">IF(AND(ISNUMBER($BK$390),$B$258=1),$BK$390,HLOOKUP(INDIRECT(ADDRESS(2,COLUMN())),OFFSET($BN$2,0,0,ROW()-1,60),ROW()-1,FALSE))</f>
        <v/>
      </c>
      <c r="BL145" t="str">
        <f ca="1">IF(AND(ISNUMBER($BL$390),$B$258=1),$BL$390,HLOOKUP(INDIRECT(ADDRESS(2,COLUMN())),OFFSET($BN$2,0,0,ROW()-1,60),ROW()-1,FALSE))</f>
        <v/>
      </c>
      <c r="BM145" t="str">
        <f ca="1">IF(AND(ISNUMBER($BM$390),$B$258=1),$BM$390,HLOOKUP(INDIRECT(ADDRESS(2,COLUMN())),OFFSET($BN$2,0,0,ROW()-1,60),ROW()-1,FALSE))</f>
        <v/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  <c r="CI145" t="str">
        <f>""</f>
        <v/>
      </c>
      <c r="CJ145" t="str">
        <f>""</f>
        <v/>
      </c>
      <c r="CK145" t="str">
        <f>""</f>
        <v/>
      </c>
      <c r="CL145" t="str">
        <f>""</f>
        <v/>
      </c>
      <c r="CM145" t="str">
        <f>""</f>
        <v/>
      </c>
      <c r="CN145" t="str">
        <f>""</f>
        <v/>
      </c>
      <c r="CO145" t="str">
        <f>""</f>
        <v/>
      </c>
      <c r="CP145" t="str">
        <f>""</f>
        <v/>
      </c>
      <c r="CQ145" t="str">
        <f>""</f>
        <v/>
      </c>
      <c r="CR145" t="str">
        <f>""</f>
        <v/>
      </c>
      <c r="CS145" t="str">
        <f>""</f>
        <v/>
      </c>
      <c r="CT145" t="str">
        <f>""</f>
        <v/>
      </c>
      <c r="CU145" t="str">
        <f>""</f>
        <v/>
      </c>
      <c r="CV145" t="str">
        <f>""</f>
        <v/>
      </c>
      <c r="CW145" t="str">
        <f>""</f>
        <v/>
      </c>
      <c r="CX145" t="str">
        <f>""</f>
        <v/>
      </c>
      <c r="CY145" t="str">
        <f>""</f>
        <v/>
      </c>
      <c r="CZ145" t="str">
        <f>""</f>
        <v/>
      </c>
      <c r="DA145" t="str">
        <f>""</f>
        <v/>
      </c>
      <c r="DB145" t="str">
        <f>""</f>
        <v/>
      </c>
      <c r="DC145" t="str">
        <f>""</f>
        <v/>
      </c>
      <c r="DD145" t="str">
        <f>""</f>
        <v/>
      </c>
      <c r="DE145" t="str">
        <f>""</f>
        <v/>
      </c>
      <c r="DF145" t="str">
        <f>""</f>
        <v/>
      </c>
      <c r="DG145" t="str">
        <f>""</f>
        <v/>
      </c>
      <c r="DH145" t="str">
        <f>""</f>
        <v/>
      </c>
      <c r="DI145" t="str">
        <f>""</f>
        <v/>
      </c>
      <c r="DJ145" t="str">
        <f>""</f>
        <v/>
      </c>
      <c r="DK145" t="str">
        <f>""</f>
        <v/>
      </c>
      <c r="DL145" t="str">
        <f>""</f>
        <v/>
      </c>
      <c r="DM145" t="str">
        <f>""</f>
        <v/>
      </c>
      <c r="DN145" t="str">
        <f>""</f>
        <v/>
      </c>
      <c r="DO145" t="str">
        <f>""</f>
        <v/>
      </c>
      <c r="DP145" t="str">
        <f>""</f>
        <v/>
      </c>
      <c r="DQ145" t="str">
        <f>""</f>
        <v/>
      </c>
      <c r="DR145" t="str">
        <f>""</f>
        <v/>
      </c>
      <c r="DS145" t="str">
        <f>""</f>
        <v/>
      </c>
      <c r="DT145" t="str">
        <f>""</f>
        <v/>
      </c>
      <c r="DU145" t="str">
        <f>""</f>
        <v/>
      </c>
    </row>
    <row r="146" spans="1:125">
      <c r="A146" t="str">
        <f>"    Welltower Inc"</f>
        <v xml:space="preserve">    Welltower Inc</v>
      </c>
      <c r="B146" t="str">
        <f>"HCN US Equity"</f>
        <v>HCN US Equity</v>
      </c>
      <c r="C146" t="str">
        <f t="shared" si="33"/>
        <v>BE592</v>
      </c>
      <c r="D146" t="str">
        <f t="shared" si="34"/>
        <v>BEST_FFOPS_YOY_GTH</v>
      </c>
      <c r="E146" t="str">
        <f t="shared" si="35"/>
        <v>动态</v>
      </c>
      <c r="F146" t="str">
        <f ca="1">IF(AND(ISNUMBER($F$391),$B$258=1),$F$391,HLOOKUP(INDIRECT(ADDRESS(2,COLUMN())),OFFSET($BN$2,0,0,ROW()-1,60),ROW()-1,FALSE))</f>
        <v/>
      </c>
      <c r="G146" t="str">
        <f ca="1">IF(AND(ISNUMBER($G$391),$B$258=1),$G$391,HLOOKUP(INDIRECT(ADDRESS(2,COLUMN())),OFFSET($BN$2,0,0,ROW()-1,60),ROW()-1,FALSE))</f>
        <v/>
      </c>
      <c r="H146" t="str">
        <f ca="1">IF(AND(ISNUMBER($H$391),$B$258=1),$H$391,HLOOKUP(INDIRECT(ADDRESS(2,COLUMN())),OFFSET($BN$2,0,0,ROW()-1,60),ROW()-1,FALSE))</f>
        <v/>
      </c>
      <c r="I146" t="str">
        <f ca="1">IF(AND(ISNUMBER($I$391),$B$258=1),$I$391,HLOOKUP(INDIRECT(ADDRESS(2,COLUMN())),OFFSET($BN$2,0,0,ROW()-1,60),ROW()-1,FALSE))</f>
        <v/>
      </c>
      <c r="J146" t="str">
        <f ca="1">IF(AND(ISNUMBER($J$391),$B$258=1),$J$391,HLOOKUP(INDIRECT(ADDRESS(2,COLUMN())),OFFSET($BN$2,0,0,ROW()-1,60),ROW()-1,FALSE))</f>
        <v/>
      </c>
      <c r="K146" t="str">
        <f ca="1">IF(AND(ISNUMBER($K$391),$B$258=1),$K$391,HLOOKUP(INDIRECT(ADDRESS(2,COLUMN())),OFFSET($BN$2,0,0,ROW()-1,60),ROW()-1,FALSE))</f>
        <v/>
      </c>
      <c r="L146" t="str">
        <f ca="1">IF(AND(ISNUMBER($L$391),$B$258=1),$L$391,HLOOKUP(INDIRECT(ADDRESS(2,COLUMN())),OFFSET($BN$2,0,0,ROW()-1,60),ROW()-1,FALSE))</f>
        <v/>
      </c>
      <c r="M146" t="str">
        <f ca="1">IF(AND(ISNUMBER($M$391),$B$258=1),$M$391,HLOOKUP(INDIRECT(ADDRESS(2,COLUMN())),OFFSET($BN$2,0,0,ROW()-1,60),ROW()-1,FALSE))</f>
        <v/>
      </c>
      <c r="N146" t="str">
        <f ca="1">IF(AND(ISNUMBER($N$391),$B$258=1),$N$391,HLOOKUP(INDIRECT(ADDRESS(2,COLUMN())),OFFSET($BN$2,0,0,ROW()-1,60),ROW()-1,FALSE))</f>
        <v/>
      </c>
      <c r="O146" t="str">
        <f ca="1">IF(AND(ISNUMBER($O$391),$B$258=1),$O$391,HLOOKUP(INDIRECT(ADDRESS(2,COLUMN())),OFFSET($BN$2,0,0,ROW()-1,60),ROW()-1,FALSE))</f>
        <v/>
      </c>
      <c r="P146" t="str">
        <f ca="1">IF(AND(ISNUMBER($P$391),$B$258=1),$P$391,HLOOKUP(INDIRECT(ADDRESS(2,COLUMN())),OFFSET($BN$2,0,0,ROW()-1,60),ROW()-1,FALSE))</f>
        <v/>
      </c>
      <c r="Q146" t="str">
        <f ca="1">IF(AND(ISNUMBER($Q$391),$B$258=1),$Q$391,HLOOKUP(INDIRECT(ADDRESS(2,COLUMN())),OFFSET($BN$2,0,0,ROW()-1,60),ROW()-1,FALSE))</f>
        <v/>
      </c>
      <c r="R146" t="str">
        <f ca="1">IF(AND(ISNUMBER($R$391),$B$258=1),$R$391,HLOOKUP(INDIRECT(ADDRESS(2,COLUMN())),OFFSET($BN$2,0,0,ROW()-1,60),ROW()-1,FALSE))</f>
        <v/>
      </c>
      <c r="S146" t="str">
        <f ca="1">IF(AND(ISNUMBER($S$391),$B$258=1),$S$391,HLOOKUP(INDIRECT(ADDRESS(2,COLUMN())),OFFSET($BN$2,0,0,ROW()-1,60),ROW()-1,FALSE))</f>
        <v/>
      </c>
      <c r="T146" t="str">
        <f ca="1">IF(AND(ISNUMBER($T$391),$B$258=1),$T$391,HLOOKUP(INDIRECT(ADDRESS(2,COLUMN())),OFFSET($BN$2,0,0,ROW()-1,60),ROW()-1,FALSE))</f>
        <v/>
      </c>
      <c r="U146" t="str">
        <f ca="1">IF(AND(ISNUMBER($U$391),$B$258=1),$U$391,HLOOKUP(INDIRECT(ADDRESS(2,COLUMN())),OFFSET($BN$2,0,0,ROW()-1,60),ROW()-1,FALSE))</f>
        <v/>
      </c>
      <c r="V146" t="str">
        <f ca="1">IF(AND(ISNUMBER($V$391),$B$258=1),$V$391,HLOOKUP(INDIRECT(ADDRESS(2,COLUMN())),OFFSET($BN$2,0,0,ROW()-1,60),ROW()-1,FALSE))</f>
        <v/>
      </c>
      <c r="W146" t="str">
        <f ca="1">IF(AND(ISNUMBER($W$391),$B$258=1),$W$391,HLOOKUP(INDIRECT(ADDRESS(2,COLUMN())),OFFSET($BN$2,0,0,ROW()-1,60),ROW()-1,FALSE))</f>
        <v/>
      </c>
      <c r="X146" t="str">
        <f ca="1">IF(AND(ISNUMBER($X$391),$B$258=1),$X$391,HLOOKUP(INDIRECT(ADDRESS(2,COLUMN())),OFFSET($BN$2,0,0,ROW()-1,60),ROW()-1,FALSE))</f>
        <v/>
      </c>
      <c r="Y146" t="str">
        <f ca="1">IF(AND(ISNUMBER($Y$391),$B$258=1),$Y$391,HLOOKUP(INDIRECT(ADDRESS(2,COLUMN())),OFFSET($BN$2,0,0,ROW()-1,60),ROW()-1,FALSE))</f>
        <v/>
      </c>
      <c r="Z146" t="str">
        <f ca="1">IF(AND(ISNUMBER($Z$391),$B$258=1),$Z$391,HLOOKUP(INDIRECT(ADDRESS(2,COLUMN())),OFFSET($BN$2,0,0,ROW()-1,60),ROW()-1,FALSE))</f>
        <v/>
      </c>
      <c r="AA146" t="str">
        <f ca="1">IF(AND(ISNUMBER($AA$391),$B$258=1),$AA$391,HLOOKUP(INDIRECT(ADDRESS(2,COLUMN())),OFFSET($BN$2,0,0,ROW()-1,60),ROW()-1,FALSE))</f>
        <v/>
      </c>
      <c r="AB146" t="str">
        <f ca="1">IF(AND(ISNUMBER($AB$391),$B$258=1),$AB$391,HLOOKUP(INDIRECT(ADDRESS(2,COLUMN())),OFFSET($BN$2,0,0,ROW()-1,60),ROW()-1,FALSE))</f>
        <v/>
      </c>
      <c r="AC146" t="str">
        <f ca="1">IF(AND(ISNUMBER($AC$391),$B$258=1),$AC$391,HLOOKUP(INDIRECT(ADDRESS(2,COLUMN())),OFFSET($BN$2,0,0,ROW()-1,60),ROW()-1,FALSE))</f>
        <v/>
      </c>
      <c r="AD146" t="str">
        <f ca="1">IF(AND(ISNUMBER($AD$391),$B$258=1),$AD$391,HLOOKUP(INDIRECT(ADDRESS(2,COLUMN())),OFFSET($BN$2,0,0,ROW()-1,60),ROW()-1,FALSE))</f>
        <v/>
      </c>
      <c r="AE146" t="str">
        <f ca="1">IF(AND(ISNUMBER($AE$391),$B$258=1),$AE$391,HLOOKUP(INDIRECT(ADDRESS(2,COLUMN())),OFFSET($BN$2,0,0,ROW()-1,60),ROW()-1,FALSE))</f>
        <v/>
      </c>
      <c r="AF146" t="str">
        <f ca="1">IF(AND(ISNUMBER($AF$391),$B$258=1),$AF$391,HLOOKUP(INDIRECT(ADDRESS(2,COLUMN())),OFFSET($BN$2,0,0,ROW()-1,60),ROW()-1,FALSE))</f>
        <v/>
      </c>
      <c r="AG146" t="str">
        <f ca="1">IF(AND(ISNUMBER($AG$391),$B$258=1),$AG$391,HLOOKUP(INDIRECT(ADDRESS(2,COLUMN())),OFFSET($BN$2,0,0,ROW()-1,60),ROW()-1,FALSE))</f>
        <v/>
      </c>
      <c r="AH146" t="str">
        <f ca="1">IF(AND(ISNUMBER($AH$391),$B$258=1),$AH$391,HLOOKUP(INDIRECT(ADDRESS(2,COLUMN())),OFFSET($BN$2,0,0,ROW()-1,60),ROW()-1,FALSE))</f>
        <v/>
      </c>
      <c r="AI146" t="str">
        <f ca="1">IF(AND(ISNUMBER($AI$391),$B$258=1),$AI$391,HLOOKUP(INDIRECT(ADDRESS(2,COLUMN())),OFFSET($BN$2,0,0,ROW()-1,60),ROW()-1,FALSE))</f>
        <v/>
      </c>
      <c r="AJ146" t="str">
        <f ca="1">IF(AND(ISNUMBER($AJ$391),$B$258=1),$AJ$391,HLOOKUP(INDIRECT(ADDRESS(2,COLUMN())),OFFSET($BN$2,0,0,ROW()-1,60),ROW()-1,FALSE))</f>
        <v/>
      </c>
      <c r="AK146" t="str">
        <f ca="1">IF(AND(ISNUMBER($AK$391),$B$258=1),$AK$391,HLOOKUP(INDIRECT(ADDRESS(2,COLUMN())),OFFSET($BN$2,0,0,ROW()-1,60),ROW()-1,FALSE))</f>
        <v/>
      </c>
      <c r="AL146" t="str">
        <f ca="1">IF(AND(ISNUMBER($AL$391),$B$258=1),$AL$391,HLOOKUP(INDIRECT(ADDRESS(2,COLUMN())),OFFSET($BN$2,0,0,ROW()-1,60),ROW()-1,FALSE))</f>
        <v/>
      </c>
      <c r="AM146" t="str">
        <f ca="1">IF(AND(ISNUMBER($AM$391),$B$258=1),$AM$391,HLOOKUP(INDIRECT(ADDRESS(2,COLUMN())),OFFSET($BN$2,0,0,ROW()-1,60),ROW()-1,FALSE))</f>
        <v/>
      </c>
      <c r="AN146" t="str">
        <f ca="1">IF(AND(ISNUMBER($AN$391),$B$258=1),$AN$391,HLOOKUP(INDIRECT(ADDRESS(2,COLUMN())),OFFSET($BN$2,0,0,ROW()-1,60),ROW()-1,FALSE))</f>
        <v/>
      </c>
      <c r="AO146" t="str">
        <f ca="1">IF(AND(ISNUMBER($AO$391),$B$258=1),$AO$391,HLOOKUP(INDIRECT(ADDRESS(2,COLUMN())),OFFSET($BN$2,0,0,ROW()-1,60),ROW()-1,FALSE))</f>
        <v/>
      </c>
      <c r="AP146" t="str">
        <f ca="1">IF(AND(ISNUMBER($AP$391),$B$258=1),$AP$391,HLOOKUP(INDIRECT(ADDRESS(2,COLUMN())),OFFSET($BN$2,0,0,ROW()-1,60),ROW()-1,FALSE))</f>
        <v/>
      </c>
      <c r="AQ146" t="str">
        <f ca="1">IF(AND(ISNUMBER($AQ$391),$B$258=1),$AQ$391,HLOOKUP(INDIRECT(ADDRESS(2,COLUMN())),OFFSET($BN$2,0,0,ROW()-1,60),ROW()-1,FALSE))</f>
        <v/>
      </c>
      <c r="AR146" t="str">
        <f ca="1">IF(AND(ISNUMBER($AR$391),$B$258=1),$AR$391,HLOOKUP(INDIRECT(ADDRESS(2,COLUMN())),OFFSET($BN$2,0,0,ROW()-1,60),ROW()-1,FALSE))</f>
        <v/>
      </c>
      <c r="AS146" t="str">
        <f ca="1">IF(AND(ISNUMBER($AS$391),$B$258=1),$AS$391,HLOOKUP(INDIRECT(ADDRESS(2,COLUMN())),OFFSET($BN$2,0,0,ROW()-1,60),ROW()-1,FALSE))</f>
        <v/>
      </c>
      <c r="AT146" t="str">
        <f ca="1">IF(AND(ISNUMBER($AT$391),$B$258=1),$AT$391,HLOOKUP(INDIRECT(ADDRESS(2,COLUMN())),OFFSET($BN$2,0,0,ROW()-1,60),ROW()-1,FALSE))</f>
        <v/>
      </c>
      <c r="AU146" t="str">
        <f ca="1">IF(AND(ISNUMBER($AU$391),$B$258=1),$AU$391,HLOOKUP(INDIRECT(ADDRESS(2,COLUMN())),OFFSET($BN$2,0,0,ROW()-1,60),ROW()-1,FALSE))</f>
        <v/>
      </c>
      <c r="AV146" t="str">
        <f ca="1">IF(AND(ISNUMBER($AV$391),$B$258=1),$AV$391,HLOOKUP(INDIRECT(ADDRESS(2,COLUMN())),OFFSET($BN$2,0,0,ROW()-1,60),ROW()-1,FALSE))</f>
        <v/>
      </c>
      <c r="AW146" t="str">
        <f ca="1">IF(AND(ISNUMBER($AW$391),$B$258=1),$AW$391,HLOOKUP(INDIRECT(ADDRESS(2,COLUMN())),OFFSET($BN$2,0,0,ROW()-1,60),ROW()-1,FALSE))</f>
        <v/>
      </c>
      <c r="AX146" t="str">
        <f ca="1">IF(AND(ISNUMBER($AX$391),$B$258=1),$AX$391,HLOOKUP(INDIRECT(ADDRESS(2,COLUMN())),OFFSET($BN$2,0,0,ROW()-1,60),ROW()-1,FALSE))</f>
        <v/>
      </c>
      <c r="AY146" t="str">
        <f ca="1">IF(AND(ISNUMBER($AY$391),$B$258=1),$AY$391,HLOOKUP(INDIRECT(ADDRESS(2,COLUMN())),OFFSET($BN$2,0,0,ROW()-1,60),ROW()-1,FALSE))</f>
        <v/>
      </c>
      <c r="AZ146" t="str">
        <f ca="1">IF(AND(ISNUMBER($AZ$391),$B$258=1),$AZ$391,HLOOKUP(INDIRECT(ADDRESS(2,COLUMN())),OFFSET($BN$2,0,0,ROW()-1,60),ROW()-1,FALSE))</f>
        <v/>
      </c>
      <c r="BA146" t="str">
        <f ca="1">IF(AND(ISNUMBER($BA$391),$B$258=1),$BA$391,HLOOKUP(INDIRECT(ADDRESS(2,COLUMN())),OFFSET($BN$2,0,0,ROW()-1,60),ROW()-1,FALSE))</f>
        <v/>
      </c>
      <c r="BB146" t="str">
        <f ca="1">IF(AND(ISNUMBER($BB$391),$B$258=1),$BB$391,HLOOKUP(INDIRECT(ADDRESS(2,COLUMN())),OFFSET($BN$2,0,0,ROW()-1,60),ROW()-1,FALSE))</f>
        <v/>
      </c>
      <c r="BC146" t="str">
        <f ca="1">IF(AND(ISNUMBER($BC$391),$B$258=1),$BC$391,HLOOKUP(INDIRECT(ADDRESS(2,COLUMN())),OFFSET($BN$2,0,0,ROW()-1,60),ROW()-1,FALSE))</f>
        <v/>
      </c>
      <c r="BD146" t="str">
        <f ca="1">IF(AND(ISNUMBER($BD$391),$B$258=1),$BD$391,HLOOKUP(INDIRECT(ADDRESS(2,COLUMN())),OFFSET($BN$2,0,0,ROW()-1,60),ROW()-1,FALSE))</f>
        <v/>
      </c>
      <c r="BE146" t="str">
        <f ca="1">IF(AND(ISNUMBER($BE$391),$B$258=1),$BE$391,HLOOKUP(INDIRECT(ADDRESS(2,COLUMN())),OFFSET($BN$2,0,0,ROW()-1,60),ROW()-1,FALSE))</f>
        <v/>
      </c>
      <c r="BF146" t="str">
        <f ca="1">IF(AND(ISNUMBER($BF$391),$B$258=1),$BF$391,HLOOKUP(INDIRECT(ADDRESS(2,COLUMN())),OFFSET($BN$2,0,0,ROW()-1,60),ROW()-1,FALSE))</f>
        <v/>
      </c>
      <c r="BG146" t="str">
        <f ca="1">IF(AND(ISNUMBER($BG$391),$B$258=1),$BG$391,HLOOKUP(INDIRECT(ADDRESS(2,COLUMN())),OFFSET($BN$2,0,0,ROW()-1,60),ROW()-1,FALSE))</f>
        <v/>
      </c>
      <c r="BH146" t="str">
        <f ca="1">IF(AND(ISNUMBER($BH$391),$B$258=1),$BH$391,HLOOKUP(INDIRECT(ADDRESS(2,COLUMN())),OFFSET($BN$2,0,0,ROW()-1,60),ROW()-1,FALSE))</f>
        <v/>
      </c>
      <c r="BI146" t="str">
        <f ca="1">IF(AND(ISNUMBER($BI$391),$B$258=1),$BI$391,HLOOKUP(INDIRECT(ADDRESS(2,COLUMN())),OFFSET($BN$2,0,0,ROW()-1,60),ROW()-1,FALSE))</f>
        <v/>
      </c>
      <c r="BJ146" t="str">
        <f ca="1">IF(AND(ISNUMBER($BJ$391),$B$258=1),$BJ$391,HLOOKUP(INDIRECT(ADDRESS(2,COLUMN())),OFFSET($BN$2,0,0,ROW()-1,60),ROW()-1,FALSE))</f>
        <v/>
      </c>
      <c r="BK146" t="str">
        <f ca="1">IF(AND(ISNUMBER($BK$391),$B$258=1),$BK$391,HLOOKUP(INDIRECT(ADDRESS(2,COLUMN())),OFFSET($BN$2,0,0,ROW()-1,60),ROW()-1,FALSE))</f>
        <v/>
      </c>
      <c r="BL146" t="str">
        <f ca="1">IF(AND(ISNUMBER($BL$391),$B$258=1),$BL$391,HLOOKUP(INDIRECT(ADDRESS(2,COLUMN())),OFFSET($BN$2,0,0,ROW()-1,60),ROW()-1,FALSE))</f>
        <v/>
      </c>
      <c r="BM146" t="str">
        <f ca="1">IF(AND(ISNUMBER($BM$391),$B$258=1),$BM$391,HLOOKUP(INDIRECT(ADDRESS(2,COLUMN())),OFFSET($BN$2,0,0,ROW()-1,60),ROW()-1,FALSE))</f>
        <v/>
      </c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>
      <c r="A147" t="str">
        <f>"EBITDA利润率(%)"</f>
        <v>EBITDA利润率(%)</v>
      </c>
      <c r="B147" t="str">
        <f>""</f>
        <v/>
      </c>
      <c r="E147" t="str">
        <f>"Median"</f>
        <v>Median</v>
      </c>
      <c r="F147" t="str">
        <f ca="1">IF(ISERROR(IF(MEDIAN($F$148:$F$158) = 0, "", MEDIAN($F$148:$F$158))), "", (IF(MEDIAN($F$148:$F$158) = 0, "", MEDIAN($F$148:$F$158))))</f>
        <v/>
      </c>
      <c r="G147">
        <f ca="1">IF(ISERROR(IF(MEDIAN($G$148:$G$158) = 0, "", MEDIAN($G$148:$G$158))), "", (IF(MEDIAN($G$148:$G$158) = 0, "", MEDIAN($G$148:$G$158))))</f>
        <v>56.27443229</v>
      </c>
      <c r="H147">
        <f ca="1">IF(ISERROR(IF(MEDIAN($H$148:$H$158) = 0, "", MEDIAN($H$148:$H$158))), "", (IF(MEDIAN($H$148:$H$158) = 0, "", MEDIAN($H$148:$H$158))))</f>
        <v>55.043950124999995</v>
      </c>
      <c r="I147">
        <f ca="1">IF(ISERROR(IF(MEDIAN($I$148:$I$158) = 0, "", MEDIAN($I$148:$I$158))), "", (IF(MEDIAN($I$148:$I$158) = 0, "", MEDIAN($I$148:$I$158))))</f>
        <v>56.096726689999997</v>
      </c>
      <c r="J147">
        <f ca="1">IF(ISERROR(IF(MEDIAN($J$148:$J$158) = 0, "", MEDIAN($J$148:$J$158))), "", (IF(MEDIAN($J$148:$J$158) = 0, "", MEDIAN($J$148:$J$158))))</f>
        <v>63.660579310000003</v>
      </c>
      <c r="K147">
        <f ca="1">IF(ISERROR(IF(MEDIAN($K$148:$K$158) = 0, "", MEDIAN($K$148:$K$158))), "", (IF(MEDIAN($K$148:$K$158) = 0, "", MEDIAN($K$148:$K$158))))</f>
        <v>58.336269549999997</v>
      </c>
      <c r="L147">
        <f ca="1">IF(ISERROR(IF(MEDIAN($L$148:$L$158) = 0, "", MEDIAN($L$148:$L$158))), "", (IF(MEDIAN($L$148:$L$158) = 0, "", MEDIAN($L$148:$L$158))))</f>
        <v>61.299645089999999</v>
      </c>
      <c r="M147">
        <f ca="1">IF(ISERROR(IF(MEDIAN($M$148:$M$158) = 0, "", MEDIAN($M$148:$M$158))), "", (IF(MEDIAN($M$148:$M$158) = 0, "", MEDIAN($M$148:$M$158))))</f>
        <v>60.786512879999997</v>
      </c>
      <c r="N147">
        <f ca="1">IF(ISERROR(IF(MEDIAN($N$148:$N$158) = 0, "", MEDIAN($N$148:$N$158))), "", (IF(MEDIAN($N$148:$N$158) = 0, "", MEDIAN($N$148:$N$158))))</f>
        <v>55.214404969999997</v>
      </c>
      <c r="O147">
        <f ca="1">IF(ISERROR(IF(MEDIAN($O$148:$O$158) = 0, "", MEDIAN($O$148:$O$158))), "", (IF(MEDIAN($O$148:$O$158) = 0, "", MEDIAN($O$148:$O$158))))</f>
        <v>61.732109080000001</v>
      </c>
      <c r="P147">
        <f ca="1">IF(ISERROR(IF(MEDIAN($P$148:$P$158) = 0, "", MEDIAN($P$148:$P$158))), "", (IF(MEDIAN($P$148:$P$158) = 0, "", MEDIAN($P$148:$P$158))))</f>
        <v>60.422145129999997</v>
      </c>
      <c r="Q147">
        <f ca="1">IF(ISERROR(IF(MEDIAN($Q$148:$Q$158) = 0, "", MEDIAN($Q$148:$Q$158))), "", (IF(MEDIAN($Q$148:$Q$158) = 0, "", MEDIAN($Q$148:$Q$158))))</f>
        <v>61.842267249999999</v>
      </c>
      <c r="R147">
        <f ca="1">IF(ISERROR(IF(MEDIAN($R$148:$R$158) = 0, "", MEDIAN($R$148:$R$158))), "", (IF(MEDIAN($R$148:$R$158) = 0, "", MEDIAN($R$148:$R$158))))</f>
        <v>56.396449560000001</v>
      </c>
      <c r="S147">
        <f ca="1">IF(ISERROR(IF(MEDIAN($S$148:$S$158) = 0, "", MEDIAN($S$148:$S$158))), "", (IF(MEDIAN($S$148:$S$158) = 0, "", MEDIAN($S$148:$S$158))))</f>
        <v>60.947620950000001</v>
      </c>
      <c r="T147">
        <f ca="1">IF(ISERROR(IF(MEDIAN($T$148:$T$158) = 0, "", MEDIAN($T$148:$T$158))), "", (IF(MEDIAN($T$148:$T$158) = 0, "", MEDIAN($T$148:$T$158))))</f>
        <v>60.882082185000002</v>
      </c>
      <c r="U147">
        <f ca="1">IF(ISERROR(IF(MEDIAN($U$148:$U$158) = 0, "", MEDIAN($U$148:$U$158))), "", (IF(MEDIAN($U$148:$U$158) = 0, "", MEDIAN($U$148:$U$158))))</f>
        <v>57.877621884999996</v>
      </c>
      <c r="V147">
        <f ca="1">IF(ISERROR(IF(MEDIAN($V$148:$V$158) = 0, "", MEDIAN($V$148:$V$158))), "", (IF(MEDIAN($V$148:$V$158) = 0, "", MEDIAN($V$148:$V$158))))</f>
        <v>58.806141150000002</v>
      </c>
      <c r="W147">
        <f ca="1">IF(ISERROR(IF(MEDIAN($W$148:$W$158) = 0, "", MEDIAN($W$148:$W$158))), "", (IF(MEDIAN($W$148:$W$158) = 0, "", MEDIAN($W$148:$W$158))))</f>
        <v>65.04718364</v>
      </c>
      <c r="X147">
        <f ca="1">IF(ISERROR(IF(MEDIAN($X$148:$X$158) = 0, "", MEDIAN($X$148:$X$158))), "", (IF(MEDIAN($X$148:$X$158) = 0, "", MEDIAN($X$148:$X$158))))</f>
        <v>60.939786679999997</v>
      </c>
      <c r="Y147">
        <f ca="1">IF(ISERROR(IF(MEDIAN($Y$148:$Y$158) = 0, "", MEDIAN($Y$148:$Y$158))), "", (IF(MEDIAN($Y$148:$Y$158) = 0, "", MEDIAN($Y$148:$Y$158))))</f>
        <v>61.627569355000006</v>
      </c>
      <c r="Z147">
        <f ca="1">IF(ISERROR(IF(MEDIAN($Z$148:$Z$158) = 0, "", MEDIAN($Z$148:$Z$158))), "", (IF(MEDIAN($Z$148:$Z$158) = 0, "", MEDIAN($Z$148:$Z$158))))</f>
        <v>60.302691710000005</v>
      </c>
      <c r="AA147">
        <f ca="1">IF(ISERROR(IF(MEDIAN($AA$148:$AA$158) = 0, "", MEDIAN($AA$148:$AA$158))), "", (IF(MEDIAN($AA$148:$AA$158) = 0, "", MEDIAN($AA$148:$AA$158))))</f>
        <v>60.411307495000003</v>
      </c>
      <c r="AB147">
        <f ca="1">IF(ISERROR(IF(MEDIAN($AB$148:$AB$158) = 0, "", MEDIAN($AB$148:$AB$158))), "", (IF(MEDIAN($AB$148:$AB$158) = 0, "", MEDIAN($AB$148:$AB$158))))</f>
        <v>61.870505890000004</v>
      </c>
      <c r="AC147">
        <f ca="1">IF(ISERROR(IF(MEDIAN($AC$148:$AC$158) = 0, "", MEDIAN($AC$148:$AC$158))), "", (IF(MEDIAN($AC$148:$AC$158) = 0, "", MEDIAN($AC$148:$AC$158))))</f>
        <v>64.866742279999997</v>
      </c>
      <c r="AD147">
        <f ca="1">IF(ISERROR(IF(MEDIAN($AD$148:$AD$158) = 0, "", MEDIAN($AD$148:$AD$158))), "", (IF(MEDIAN($AD$148:$AD$158) = 0, "", MEDIAN($AD$148:$AD$158))))</f>
        <v>64.375716820000008</v>
      </c>
      <c r="AE147">
        <f ca="1">IF(ISERROR(IF(MEDIAN($AE$148:$AE$158) = 0, "", MEDIAN($AE$148:$AE$158))), "", (IF(MEDIAN($AE$148:$AE$158) = 0, "", MEDIAN($AE$148:$AE$158))))</f>
        <v>63.285271109999996</v>
      </c>
      <c r="AF147">
        <f ca="1">IF(ISERROR(IF(MEDIAN($AF$148:$AF$158) = 0, "", MEDIAN($AF$148:$AF$158))), "", (IF(MEDIAN($AF$148:$AF$158) = 0, "", MEDIAN($AF$148:$AF$158))))</f>
        <v>69.62546054500001</v>
      </c>
      <c r="AG147">
        <f ca="1">IF(ISERROR(IF(MEDIAN($AG$148:$AG$158) = 0, "", MEDIAN($AG$148:$AG$158))), "", (IF(MEDIAN($AG$148:$AG$158) = 0, "", MEDIAN($AG$148:$AG$158))))</f>
        <v>70.157718649999993</v>
      </c>
      <c r="AH147">
        <f ca="1">IF(ISERROR(IF(MEDIAN($AH$148:$AH$158) = 0, "", MEDIAN($AH$148:$AH$158))), "", (IF(MEDIAN($AH$148:$AH$158) = 0, "", MEDIAN($AH$148:$AH$158))))</f>
        <v>61.353884539999996</v>
      </c>
      <c r="AI147">
        <f ca="1">IF(ISERROR(IF(MEDIAN($AI$148:$AI$158) = 0, "", MEDIAN($AI$148:$AI$158))), "", (IF(MEDIAN($AI$148:$AI$158) = 0, "", MEDIAN($AI$148:$AI$158))))</f>
        <v>66.560433349999997</v>
      </c>
      <c r="AJ147">
        <f ca="1">IF(ISERROR(IF(MEDIAN($AJ$148:$AJ$158) = 0, "", MEDIAN($AJ$148:$AJ$158))), "", (IF(MEDIAN($AJ$148:$AJ$158) = 0, "", MEDIAN($AJ$148:$AJ$158))))</f>
        <v>57.935125540000001</v>
      </c>
      <c r="AK147">
        <f ca="1">IF(ISERROR(IF(MEDIAN($AK$148:$AK$158) = 0, "", MEDIAN($AK$148:$AK$158))), "", (IF(MEDIAN($AK$148:$AK$158) = 0, "", MEDIAN($AK$148:$AK$158))))</f>
        <v>67.276828030000004</v>
      </c>
      <c r="AL147">
        <f ca="1">IF(ISERROR(IF(MEDIAN($AL$148:$AL$158) = 0, "", MEDIAN($AL$148:$AL$158))), "", (IF(MEDIAN($AL$148:$AL$158) = 0, "", MEDIAN($AL$148:$AL$158))))</f>
        <v>64.803893799999997</v>
      </c>
      <c r="AM147">
        <f ca="1">IF(ISERROR(IF(MEDIAN($AM$148:$AM$158) = 0, "", MEDIAN($AM$148:$AM$158))), "", (IF(MEDIAN($AM$148:$AM$158) = 0, "", MEDIAN($AM$148:$AM$158))))</f>
        <v>65.075186115000008</v>
      </c>
      <c r="AN147">
        <f ca="1">IF(ISERROR(IF(MEDIAN($AN$148:$AN$158) = 0, "", MEDIAN($AN$148:$AN$158))), "", (IF(MEDIAN($AN$148:$AN$158) = 0, "", MEDIAN($AN$148:$AN$158))))</f>
        <v>68.136737544999988</v>
      </c>
      <c r="AO147">
        <f ca="1">IF(ISERROR(IF(MEDIAN($AO$148:$AO$158) = 0, "", MEDIAN($AO$148:$AO$158))), "", (IF(MEDIAN($AO$148:$AO$158) = 0, "", MEDIAN($AO$148:$AO$158))))</f>
        <v>75.880365825000013</v>
      </c>
      <c r="AP147">
        <f ca="1">IF(ISERROR(IF(MEDIAN($AP$148:$AP$158) = 0, "", MEDIAN($AP$148:$AP$158))), "", (IF(MEDIAN($AP$148:$AP$158) = 0, "", MEDIAN($AP$148:$AP$158))))</f>
        <v>77.457969644999991</v>
      </c>
      <c r="AQ147">
        <f ca="1">IF(ISERROR(IF(MEDIAN($AQ$148:$AQ$158) = 0, "", MEDIAN($AQ$148:$AQ$158))), "", (IF(MEDIAN($AQ$148:$AQ$158) = 0, "", MEDIAN($AQ$148:$AQ$158))))</f>
        <v>73.498058665000002</v>
      </c>
      <c r="AR147">
        <f ca="1">IF(ISERROR(IF(MEDIAN($AR$148:$AR$158) = 0, "", MEDIAN($AR$148:$AR$158))), "", (IF(MEDIAN($AR$148:$AR$158) = 0, "", MEDIAN($AR$148:$AR$158))))</f>
        <v>70.051919730000009</v>
      </c>
      <c r="AS147">
        <f ca="1">IF(ISERROR(IF(MEDIAN($AS$148:$AS$158) = 0, "", MEDIAN($AS$148:$AS$158))), "", (IF(MEDIAN($AS$148:$AS$158) = 0, "", MEDIAN($AS$148:$AS$158))))</f>
        <v>78.612975550000002</v>
      </c>
      <c r="AT147">
        <f ca="1">IF(ISERROR(IF(MEDIAN($AT$148:$AT$158) = 0, "", MEDIAN($AT$148:$AT$158))), "", (IF(MEDIAN($AT$148:$AT$158) = 0, "", MEDIAN($AT$148:$AT$158))))</f>
        <v>78.081768535000009</v>
      </c>
      <c r="AU147">
        <f ca="1">IF(ISERROR(IF(MEDIAN($AU$148:$AU$158) = 0, "", MEDIAN($AU$148:$AU$158))), "", (IF(MEDIAN($AU$148:$AU$158) = 0, "", MEDIAN($AU$148:$AU$158))))</f>
        <v>79.040765399999998</v>
      </c>
      <c r="AV147">
        <f ca="1">IF(ISERROR(IF(MEDIAN($AV$148:$AV$158) = 0, "", MEDIAN($AV$148:$AV$158))), "", (IF(MEDIAN($AV$148:$AV$158) = 0, "", MEDIAN($AV$148:$AV$158))))</f>
        <v>80.114820605000006</v>
      </c>
      <c r="AW147">
        <f ca="1">IF(ISERROR(IF(MEDIAN($AW$148:$AW$158) = 0, "", MEDIAN($AW$148:$AW$158))), "", (IF(MEDIAN($AW$148:$AW$158) = 0, "", MEDIAN($AW$148:$AW$158))))</f>
        <v>81.526047610000006</v>
      </c>
      <c r="AX147">
        <f ca="1">IF(ISERROR(IF(MEDIAN($AX$148:$AX$158) = 0, "", MEDIAN($AX$148:$AX$158))), "", (IF(MEDIAN($AX$148:$AX$158) = 0, "", MEDIAN($AX$148:$AX$158))))</f>
        <v>78.936070229999999</v>
      </c>
      <c r="AY147">
        <f ca="1">IF(ISERROR(IF(MEDIAN($AY$148:$AY$158) = 0, "", MEDIAN($AY$148:$AY$158))), "", (IF(MEDIAN($AY$148:$AY$158) = 0, "", MEDIAN($AY$148:$AY$158))))</f>
        <v>86.115959169999996</v>
      </c>
      <c r="AZ147">
        <f ca="1">IF(ISERROR(IF(MEDIAN($AZ$148:$AZ$158) = 0, "", MEDIAN($AZ$148:$AZ$158))), "", (IF(MEDIAN($AZ$148:$AZ$158) = 0, "", MEDIAN($AZ$148:$AZ$158))))</f>
        <v>84.880873409999992</v>
      </c>
      <c r="BA147">
        <f ca="1">IF(ISERROR(IF(MEDIAN($BA$148:$BA$158) = 0, "", MEDIAN($BA$148:$BA$158))), "", (IF(MEDIAN($BA$148:$BA$158) = 0, "", MEDIAN($BA$148:$BA$158))))</f>
        <v>86.053140124999999</v>
      </c>
      <c r="BB147">
        <f ca="1">IF(ISERROR(IF(MEDIAN($BB$148:$BB$158) = 0, "", MEDIAN($BB$148:$BB$158))), "", (IF(MEDIAN($BB$148:$BB$158) = 0, "", MEDIAN($BB$148:$BB$158))))</f>
        <v>86.427742365</v>
      </c>
      <c r="BC147">
        <f ca="1">IF(ISERROR(IF(MEDIAN($BC$148:$BC$158) = 0, "", MEDIAN($BC$148:$BC$158))), "", (IF(MEDIAN($BC$148:$BC$158) = 0, "", MEDIAN($BC$148:$BC$158))))</f>
        <v>85.855256435000001</v>
      </c>
      <c r="BD147">
        <f ca="1">IF(ISERROR(IF(MEDIAN($BD$148:$BD$158) = 0, "", MEDIAN($BD$148:$BD$158))), "", (IF(MEDIAN($BD$148:$BD$158) = 0, "", MEDIAN($BD$148:$BD$158))))</f>
        <v>86.526932005000006</v>
      </c>
      <c r="BE147">
        <f ca="1">IF(ISERROR(IF(MEDIAN($BE$148:$BE$158) = 0, "", MEDIAN($BE$148:$BE$158))), "", (IF(MEDIAN($BE$148:$BE$158) = 0, "", MEDIAN($BE$148:$BE$158))))</f>
        <v>86.217751315000001</v>
      </c>
      <c r="BF147">
        <f ca="1">IF(ISERROR(IF(MEDIAN($BF$148:$BF$158) = 0, "", MEDIAN($BF$148:$BF$158))), "", (IF(MEDIAN($BF$148:$BF$158) = 0, "", MEDIAN($BF$148:$BF$158))))</f>
        <v>86.247437805000004</v>
      </c>
      <c r="BG147">
        <f ca="1">IF(ISERROR(IF(MEDIAN($BG$148:$BG$158) = 0, "", MEDIAN($BG$148:$BG$158))), "", (IF(MEDIAN($BG$148:$BG$158) = 0, "", MEDIAN($BG$148:$BG$158))))</f>
        <v>92.622145840000002</v>
      </c>
      <c r="BH147">
        <f ca="1">IF(ISERROR(IF(MEDIAN($BH$148:$BH$158) = 0, "", MEDIAN($BH$148:$BH$158))), "", (IF(MEDIAN($BH$148:$BH$158) = 0, "", MEDIAN($BH$148:$BH$158))))</f>
        <v>91.285885969999995</v>
      </c>
      <c r="BI147">
        <f ca="1">IF(ISERROR(IF(MEDIAN($BI$148:$BI$158) = 0, "", MEDIAN($BI$148:$BI$158))), "", (IF(MEDIAN($BI$148:$BI$158) = 0, "", MEDIAN($BI$148:$BI$158))))</f>
        <v>90.870442839999995</v>
      </c>
      <c r="BJ147">
        <f ca="1">IF(ISERROR(IF(MEDIAN($BJ$148:$BJ$158) = 0, "", MEDIAN($BJ$148:$BJ$158))), "", (IF(MEDIAN($BJ$148:$BJ$158) = 0, "", MEDIAN($BJ$148:$BJ$158))))</f>
        <v>90.471101939999997</v>
      </c>
      <c r="BK147">
        <f ca="1">IF(ISERROR(IF(MEDIAN($BK$148:$BK$158) = 0, "", MEDIAN($BK$148:$BK$158))), "", (IF(MEDIAN($BK$148:$BK$158) = 0, "", MEDIAN($BK$148:$BK$158))))</f>
        <v>91.941540110000005</v>
      </c>
      <c r="BL147">
        <f ca="1">IF(ISERROR(IF(MEDIAN($BL$148:$BL$158) = 0, "", MEDIAN($BL$148:$BL$158))), "", (IF(MEDIAN($BL$148:$BL$158) = 0, "", MEDIAN($BL$148:$BL$158))))</f>
        <v>92.248166859999998</v>
      </c>
      <c r="BM147">
        <f ca="1">IF(ISERROR(IF(MEDIAN($BM$148:$BM$158) = 0, "", MEDIAN($BM$148:$BM$158))), "", (IF(MEDIAN($BM$148:$BM$158) = 0, "", MEDIAN($BM$148:$BM$158))))</f>
        <v>89.406710889999999</v>
      </c>
      <c r="BN147" t="str">
        <f>""</f>
        <v/>
      </c>
      <c r="BO147">
        <f>56.27443229</f>
        <v>56.27443229</v>
      </c>
      <c r="BP147">
        <f>55.04395012</f>
        <v>55.043950119999998</v>
      </c>
      <c r="BQ147">
        <f>56.09672669</f>
        <v>56.096726689999997</v>
      </c>
      <c r="BR147">
        <f>63.66057931</f>
        <v>63.660579310000003</v>
      </c>
      <c r="BS147">
        <f>58.33626955</f>
        <v>58.336269549999997</v>
      </c>
      <c r="BT147">
        <f>61.29964509</f>
        <v>61.299645089999999</v>
      </c>
      <c r="BU147">
        <f>60.78651288</f>
        <v>60.786512879999997</v>
      </c>
      <c r="BV147">
        <f>55.21440497</f>
        <v>55.214404969999997</v>
      </c>
      <c r="BW147">
        <f>61.73210908</f>
        <v>61.732109080000001</v>
      </c>
      <c r="BX147">
        <f>60.42214513</f>
        <v>60.422145129999997</v>
      </c>
      <c r="BY147">
        <f>61.84226725</f>
        <v>61.842267249999999</v>
      </c>
      <c r="BZ147">
        <f>56.39644956</f>
        <v>56.396449560000001</v>
      </c>
      <c r="CA147">
        <f>60.94762095</f>
        <v>60.947620950000001</v>
      </c>
      <c r="CB147">
        <f>60.88208218</f>
        <v>60.882082179999998</v>
      </c>
      <c r="CC147">
        <f>57.87762189</f>
        <v>57.87762189</v>
      </c>
      <c r="CD147">
        <f>58.80614115</f>
        <v>58.806141150000002</v>
      </c>
      <c r="CE147">
        <f>65.04718364</f>
        <v>65.04718364</v>
      </c>
      <c r="CF147">
        <f>60.93978668</f>
        <v>60.939786679999997</v>
      </c>
      <c r="CG147">
        <f>61.62756935</f>
        <v>61.627569350000002</v>
      </c>
      <c r="CH147">
        <f>60.30269171</f>
        <v>60.302691709999998</v>
      </c>
      <c r="CI147">
        <f>60.4113075</f>
        <v>60.411307499999999</v>
      </c>
      <c r="CJ147">
        <f>61.87050589</f>
        <v>61.870505889999997</v>
      </c>
      <c r="CK147">
        <f>64.86674228</f>
        <v>64.866742279999997</v>
      </c>
      <c r="CL147">
        <f>64.37571682</f>
        <v>64.375716819999994</v>
      </c>
      <c r="CM147">
        <f>63.28527111</f>
        <v>63.285271109999996</v>
      </c>
      <c r="CN147">
        <f>69.62546054</f>
        <v>69.625460540000006</v>
      </c>
      <c r="CO147">
        <f>70.15771865</f>
        <v>70.157718650000007</v>
      </c>
      <c r="CP147">
        <f>61.35388454</f>
        <v>61.353884540000003</v>
      </c>
      <c r="CQ147">
        <f>66.56043335</f>
        <v>66.560433349999997</v>
      </c>
      <c r="CR147">
        <f>57.93512554</f>
        <v>57.935125540000001</v>
      </c>
      <c r="CS147">
        <f>67.27682803</f>
        <v>67.276828030000004</v>
      </c>
      <c r="CT147">
        <f>64.8038938</f>
        <v>64.803893799999997</v>
      </c>
      <c r="CU147">
        <f>65.07518612</f>
        <v>65.075186119999998</v>
      </c>
      <c r="CV147">
        <f>68.13673755</f>
        <v>68.136737550000007</v>
      </c>
      <c r="CW147">
        <f>75.88036583</f>
        <v>75.880365830000002</v>
      </c>
      <c r="CX147">
        <f>77.45796964</f>
        <v>77.457969640000002</v>
      </c>
      <c r="CY147">
        <f>73.49805866</f>
        <v>73.498058659999998</v>
      </c>
      <c r="CZ147">
        <f>70.05191973</f>
        <v>70.051919729999995</v>
      </c>
      <c r="DA147">
        <f>78.61297555</f>
        <v>78.612975550000002</v>
      </c>
      <c r="DB147">
        <f>78.08176854</f>
        <v>78.081768539999999</v>
      </c>
      <c r="DC147">
        <f>79.0407654</f>
        <v>79.040765399999998</v>
      </c>
      <c r="DD147">
        <f>80.11482061</f>
        <v>80.114820609999995</v>
      </c>
      <c r="DE147">
        <f>81.52604761</f>
        <v>81.526047610000006</v>
      </c>
      <c r="DF147">
        <f>78.93607023</f>
        <v>78.936070229999999</v>
      </c>
      <c r="DG147">
        <f>86.11595917</f>
        <v>86.115959169999996</v>
      </c>
      <c r="DH147">
        <f>84.88087341</f>
        <v>84.880873410000007</v>
      </c>
      <c r="DI147">
        <f>86.05314013</f>
        <v>86.053140130000003</v>
      </c>
      <c r="DJ147">
        <f>86.42774236</f>
        <v>86.427742359999996</v>
      </c>
      <c r="DK147">
        <f>85.85525643</f>
        <v>85.855256429999997</v>
      </c>
      <c r="DL147">
        <f>86.52693201</f>
        <v>86.526932009999996</v>
      </c>
      <c r="DM147">
        <f>86.21775132</f>
        <v>86.217751320000005</v>
      </c>
      <c r="DN147">
        <f>86.2474378</f>
        <v>86.2474378</v>
      </c>
      <c r="DO147">
        <f>92.62214584</f>
        <v>92.622145840000002</v>
      </c>
      <c r="DP147">
        <f>91.28588597</f>
        <v>91.285885969999995</v>
      </c>
      <c r="DQ147">
        <f>90.87044284</f>
        <v>90.870442839999995</v>
      </c>
      <c r="DR147">
        <f>90.47110194</f>
        <v>90.471101939999997</v>
      </c>
      <c r="DS147">
        <f>91.94154011</f>
        <v>91.941540110000005</v>
      </c>
      <c r="DT147">
        <f>92.24816686</f>
        <v>92.248166859999998</v>
      </c>
      <c r="DU147">
        <f>89.40671089</f>
        <v>89.406710889999999</v>
      </c>
    </row>
    <row r="148" spans="1:125">
      <c r="A148" t="str">
        <f>"    Alexandria Real Estate Equitie"</f>
        <v xml:space="preserve">    Alexandria Real Estate Equitie</v>
      </c>
      <c r="B148" t="str">
        <f>"ARE US Equity"</f>
        <v>ARE US Equity</v>
      </c>
      <c r="C148" t="str">
        <f t="shared" ref="C148:C158" si="36">"RX225"</f>
        <v>RX225</v>
      </c>
      <c r="D148" t="str">
        <f t="shared" ref="D148:D158" si="37">"EBITDA_TO_REVENUE"</f>
        <v>EBITDA_TO_REVENUE</v>
      </c>
      <c r="E148" t="str">
        <f t="shared" ref="E148:E158" si="38">"动态"</f>
        <v>动态</v>
      </c>
      <c r="F148" t="str">
        <f ca="1">IF(AND(ISNUMBER($F$392),$B$258=1),$F$392,HLOOKUP(INDIRECT(ADDRESS(2,COLUMN())),OFFSET($BN$2,0,0,ROW()-1,60),ROW()-1,FALSE))</f>
        <v/>
      </c>
      <c r="G148">
        <f ca="1">IF(AND(ISNUMBER($G$392),$B$258=1),$G$392,HLOOKUP(INDIRECT(ADDRESS(2,COLUMN())),OFFSET($BN$2,0,0,ROW()-1,60),ROW()-1,FALSE))</f>
        <v>64.194704659999999</v>
      </c>
      <c r="H148">
        <f ca="1">IF(AND(ISNUMBER($H$392),$B$258=1),$H$392,HLOOKUP(INDIRECT(ADDRESS(2,COLUMN())),OFFSET($BN$2,0,0,ROW()-1,60),ROW()-1,FALSE))</f>
        <v>64.570557519999994</v>
      </c>
      <c r="I148">
        <f ca="1">IF(AND(ISNUMBER($I$392),$B$258=1),$I$392,HLOOKUP(INDIRECT(ADDRESS(2,COLUMN())),OFFSET($BN$2,0,0,ROW()-1,60),ROW()-1,FALSE))</f>
        <v>64.690048669999996</v>
      </c>
      <c r="J148">
        <f ca="1">IF(AND(ISNUMBER($J$392),$B$258=1),$J$392,HLOOKUP(INDIRECT(ADDRESS(2,COLUMN())),OFFSET($BN$2,0,0,ROW()-1,60),ROW()-1,FALSE))</f>
        <v>64.442902129999993</v>
      </c>
      <c r="K148">
        <f ca="1">IF(AND(ISNUMBER($K$392),$B$258=1),$K$392,HLOOKUP(INDIRECT(ADDRESS(2,COLUMN())),OFFSET($BN$2,0,0,ROW()-1,60),ROW()-1,FALSE))</f>
        <v>57.166020500000002</v>
      </c>
      <c r="L148">
        <f ca="1">IF(AND(ISNUMBER($L$392),$B$258=1),$L$392,HLOOKUP(INDIRECT(ADDRESS(2,COLUMN())),OFFSET($BN$2,0,0,ROW()-1,60),ROW()-1,FALSE))</f>
        <v>58.34255726</v>
      </c>
      <c r="M148">
        <f ca="1">IF(AND(ISNUMBER($M$392),$B$258=1),$M$392,HLOOKUP(INDIRECT(ADDRESS(2,COLUMN())),OFFSET($BN$2,0,0,ROW()-1,60),ROW()-1,FALSE))</f>
        <v>-5.6511969430000004</v>
      </c>
      <c r="N148">
        <f ca="1">IF(AND(ISNUMBER($N$392),$B$258=1),$N$392,HLOOKUP(INDIRECT(ADDRESS(2,COLUMN())),OFFSET($BN$2,0,0,ROW()-1,60),ROW()-1,FALSE))</f>
        <v>49.09273494</v>
      </c>
      <c r="O148">
        <f ca="1">IF(AND(ISNUMBER($O$392),$B$258=1),$O$392,HLOOKUP(INDIRECT(ADDRESS(2,COLUMN())),OFFSET($BN$2,0,0,ROW()-1,60),ROW()-1,FALSE))</f>
        <v>58.583197519999999</v>
      </c>
      <c r="P148">
        <f ca="1">IF(AND(ISNUMBER($P$392),$B$258=1),$P$392,HLOOKUP(INDIRECT(ADDRESS(2,COLUMN())),OFFSET($BN$2,0,0,ROW()-1,60),ROW()-1,FALSE))</f>
        <v>61.58044005</v>
      </c>
      <c r="Q148">
        <f ca="1">IF(AND(ISNUMBER($Q$392),$B$258=1),$Q$392,HLOOKUP(INDIRECT(ADDRESS(2,COLUMN())),OFFSET($BN$2,0,0,ROW()-1,60),ROW()-1,FALSE))</f>
        <v>62.166676459999998</v>
      </c>
      <c r="R148">
        <f ca="1">IF(AND(ISNUMBER($R$392),$B$258=1),$R$392,HLOOKUP(INDIRECT(ADDRESS(2,COLUMN())),OFFSET($BN$2,0,0,ROW()-1,60),ROW()-1,FALSE))</f>
        <v>54.196378199999998</v>
      </c>
      <c r="S148">
        <f ca="1">IF(AND(ISNUMBER($S$392),$B$258=1),$S$392,HLOOKUP(INDIRECT(ADDRESS(2,COLUMN())),OFFSET($BN$2,0,0,ROW()-1,60),ROW()-1,FALSE))</f>
        <v>35.117186259999997</v>
      </c>
      <c r="T148">
        <f ca="1">IF(AND(ISNUMBER($T$392),$B$258=1),$T$392,HLOOKUP(INDIRECT(ADDRESS(2,COLUMN())),OFFSET($BN$2,0,0,ROW()-1,60),ROW()-1,FALSE))</f>
        <v>62.270290660000001</v>
      </c>
      <c r="U148">
        <f ca="1">IF(AND(ISNUMBER($U$392),$B$258=1),$U$392,HLOOKUP(INDIRECT(ADDRESS(2,COLUMN())),OFFSET($BN$2,0,0,ROW()-1,60),ROW()-1,FALSE))</f>
        <v>62.478316569999997</v>
      </c>
      <c r="V148">
        <f ca="1">IF(AND(ISNUMBER($V$392),$B$258=1),$V$392,HLOOKUP(INDIRECT(ADDRESS(2,COLUMN())),OFFSET($BN$2,0,0,ROW()-1,60),ROW()-1,FALSE))</f>
        <v>62.692268400000003</v>
      </c>
      <c r="W148">
        <f ca="1">IF(AND(ISNUMBER($W$392),$B$258=1),$W$392,HLOOKUP(INDIRECT(ADDRESS(2,COLUMN())),OFFSET($BN$2,0,0,ROW()-1,60),ROW()-1,FALSE))</f>
        <v>62.904343599999997</v>
      </c>
      <c r="X148">
        <f ca="1">IF(AND(ISNUMBER($X$392),$B$258=1),$X$392,HLOOKUP(INDIRECT(ADDRESS(2,COLUMN())),OFFSET($BN$2,0,0,ROW()-1,60),ROW()-1,FALSE))</f>
        <v>62.660518590000002</v>
      </c>
      <c r="Y148">
        <f ca="1">IF(AND(ISNUMBER($Y$392),$B$258=1),$Y$392,HLOOKUP(INDIRECT(ADDRESS(2,COLUMN())),OFFSET($BN$2,0,0,ROW()-1,60),ROW()-1,FALSE))</f>
        <v>61.998310920000002</v>
      </c>
      <c r="Z148">
        <f ca="1">IF(AND(ISNUMBER($Z$392),$B$258=1),$Z$392,HLOOKUP(INDIRECT(ADDRESS(2,COLUMN())),OFFSET($BN$2,0,0,ROW()-1,60),ROW()-1,FALSE))</f>
        <v>62.908523950000003</v>
      </c>
      <c r="AA148">
        <f ca="1">IF(AND(ISNUMBER($AA$392),$B$258=1),$AA$392,HLOOKUP(INDIRECT(ADDRESS(2,COLUMN())),OFFSET($BN$2,0,0,ROW()-1,60),ROW()-1,FALSE))</f>
        <v>60.316421380000001</v>
      </c>
      <c r="AB148">
        <f ca="1">IF(AND(ISNUMBER($AB$392),$B$258=1),$AB$392,HLOOKUP(INDIRECT(ADDRESS(2,COLUMN())),OFFSET($BN$2,0,0,ROW()-1,60),ROW()-1,FALSE))</f>
        <v>61.439271959999999</v>
      </c>
      <c r="AC148">
        <f ca="1">IF(AND(ISNUMBER($AC$392),$B$258=1),$AC$392,HLOOKUP(INDIRECT(ADDRESS(2,COLUMN())),OFFSET($BN$2,0,0,ROW()-1,60),ROW()-1,FALSE))</f>
        <v>63.744136050000002</v>
      </c>
      <c r="AD148">
        <f ca="1">IF(AND(ISNUMBER($AD$392),$B$258=1),$AD$392,HLOOKUP(INDIRECT(ADDRESS(2,COLUMN())),OFFSET($BN$2,0,0,ROW()-1,60),ROW()-1,FALSE))</f>
        <v>63.753122439999999</v>
      </c>
      <c r="AE148">
        <f ca="1">IF(AND(ISNUMBER($AE$392),$B$258=1),$AE$392,HLOOKUP(INDIRECT(ADDRESS(2,COLUMN())),OFFSET($BN$2,0,0,ROW()-1,60),ROW()-1,FALSE))</f>
        <v>63.410868299999997</v>
      </c>
      <c r="AF148">
        <f ca="1">IF(AND(ISNUMBER($AF$392),$B$258=1),$AF$392,HLOOKUP(INDIRECT(ADDRESS(2,COLUMN())),OFFSET($BN$2,0,0,ROW()-1,60),ROW()-1,FALSE))</f>
        <v>63.851101739999997</v>
      </c>
      <c r="AG148">
        <f ca="1">IF(AND(ISNUMBER($AG$392),$B$258=1),$AG$392,HLOOKUP(INDIRECT(ADDRESS(2,COLUMN())),OFFSET($BN$2,0,0,ROW()-1,60),ROW()-1,FALSE))</f>
        <v>64.297625609999997</v>
      </c>
      <c r="AH148">
        <f ca="1">IF(AND(ISNUMBER($AH$392),$B$258=1),$AH$392,HLOOKUP(INDIRECT(ADDRESS(2,COLUMN())),OFFSET($BN$2,0,0,ROW()-1,60),ROW()-1,FALSE))</f>
        <v>63.9558319</v>
      </c>
      <c r="AI148">
        <f ca="1">IF(AND(ISNUMBER($AI$392),$B$258=1),$AI$392,HLOOKUP(INDIRECT(ADDRESS(2,COLUMN())),OFFSET($BN$2,0,0,ROW()-1,60),ROW()-1,FALSE))</f>
        <v>65.740108359999994</v>
      </c>
      <c r="AJ148">
        <f ca="1">IF(AND(ISNUMBER($AJ$392),$B$258=1),$AJ$392,HLOOKUP(INDIRECT(ADDRESS(2,COLUMN())),OFFSET($BN$2,0,0,ROW()-1,60),ROW()-1,FALSE))</f>
        <v>65.968216499999997</v>
      </c>
      <c r="AK148">
        <f ca="1">IF(AND(ISNUMBER($AK$392),$B$258=1),$AK$392,HLOOKUP(INDIRECT(ADDRESS(2,COLUMN())),OFFSET($BN$2,0,0,ROW()-1,60),ROW()-1,FALSE))</f>
        <v>67.047260919999999</v>
      </c>
      <c r="AL148">
        <f ca="1">IF(AND(ISNUMBER($AL$392),$B$258=1),$AL$392,HLOOKUP(INDIRECT(ADDRESS(2,COLUMN())),OFFSET($BN$2,0,0,ROW()-1,60),ROW()-1,FALSE))</f>
        <v>64.803893799999997</v>
      </c>
      <c r="AM148">
        <f ca="1">IF(AND(ISNUMBER($AM$392),$B$258=1),$AM$392,HLOOKUP(INDIRECT(ADDRESS(2,COLUMN())),OFFSET($BN$2,0,0,ROW()-1,60),ROW()-1,FALSE))</f>
        <v>67.08499913</v>
      </c>
      <c r="AN148">
        <f ca="1">IF(AND(ISNUMBER($AN$392),$B$258=1),$AN$392,HLOOKUP(INDIRECT(ADDRESS(2,COLUMN())),OFFSET($BN$2,0,0,ROW()-1,60),ROW()-1,FALSE))</f>
        <v>64.943104309999995</v>
      </c>
      <c r="AO148">
        <f ca="1">IF(AND(ISNUMBER($AO$392),$B$258=1),$AO$392,HLOOKUP(INDIRECT(ADDRESS(2,COLUMN())),OFFSET($BN$2,0,0,ROW()-1,60),ROW()-1,FALSE))</f>
        <v>68.765439240000006</v>
      </c>
      <c r="AP148">
        <f ca="1">IF(AND(ISNUMBER($AP$392),$B$258=1),$AP$392,HLOOKUP(INDIRECT(ADDRESS(2,COLUMN())),OFFSET($BN$2,0,0,ROW()-1,60),ROW()-1,FALSE))</f>
        <v>68.342720760000006</v>
      </c>
      <c r="AQ148">
        <f ca="1">IF(AND(ISNUMBER($AQ$392),$B$258=1),$AQ$392,HLOOKUP(INDIRECT(ADDRESS(2,COLUMN())),OFFSET($BN$2,0,0,ROW()-1,60),ROW()-1,FALSE))</f>
        <v>70.417014710000004</v>
      </c>
      <c r="AR148">
        <f ca="1">IF(AND(ISNUMBER($AR$392),$B$258=1),$AR$392,HLOOKUP(INDIRECT(ADDRESS(2,COLUMN())),OFFSET($BN$2,0,0,ROW()-1,60),ROW()-1,FALSE))</f>
        <v>65.400645159999996</v>
      </c>
      <c r="AS148">
        <f ca="1">IF(AND(ISNUMBER($AS$392),$B$258=1),$AS$392,HLOOKUP(INDIRECT(ADDRESS(2,COLUMN())),OFFSET($BN$2,0,0,ROW()-1,60),ROW()-1,FALSE))</f>
        <v>69.194138519999996</v>
      </c>
      <c r="AT148">
        <f ca="1">IF(AND(ISNUMBER($AT$392),$B$258=1),$AT$392,HLOOKUP(INDIRECT(ADDRESS(2,COLUMN())),OFFSET($BN$2,0,0,ROW()-1,60),ROW()-1,FALSE))</f>
        <v>66.385243059999993</v>
      </c>
      <c r="AU148">
        <f ca="1">IF(AND(ISNUMBER($AU$392),$B$258=1),$AU$392,HLOOKUP(INDIRECT(ADDRESS(2,COLUMN())),OFFSET($BN$2,0,0,ROW()-1,60),ROW()-1,FALSE))</f>
        <v>67.884493849999998</v>
      </c>
      <c r="AV148">
        <f ca="1">IF(AND(ISNUMBER($AV$392),$B$258=1),$AV$392,HLOOKUP(INDIRECT(ADDRESS(2,COLUMN())),OFFSET($BN$2,0,0,ROW()-1,60),ROW()-1,FALSE))</f>
        <v>67.890546189999995</v>
      </c>
      <c r="AW148">
        <f ca="1">IF(AND(ISNUMBER($AW$392),$B$258=1),$AW$392,HLOOKUP(INDIRECT(ADDRESS(2,COLUMN())),OFFSET($BN$2,0,0,ROW()-1,60),ROW()-1,FALSE))</f>
        <v>68.585566659999998</v>
      </c>
      <c r="AX148">
        <f ca="1">IF(AND(ISNUMBER($AX$392),$B$258=1),$AX$392,HLOOKUP(INDIRECT(ADDRESS(2,COLUMN())),OFFSET($BN$2,0,0,ROW()-1,60),ROW()-1,FALSE))</f>
        <v>67.55533518</v>
      </c>
      <c r="AY148">
        <f ca="1">IF(AND(ISNUMBER($AY$392),$B$258=1),$AY$392,HLOOKUP(INDIRECT(ADDRESS(2,COLUMN())),OFFSET($BN$2,0,0,ROW()-1,60),ROW()-1,FALSE))</f>
        <v>69.579030979999999</v>
      </c>
      <c r="AZ148">
        <f ca="1">IF(AND(ISNUMBER($AZ$392),$B$258=1),$AZ$392,HLOOKUP(INDIRECT(ADDRESS(2,COLUMN())),OFFSET($BN$2,0,0,ROW()-1,60),ROW()-1,FALSE))</f>
        <v>68.98789438</v>
      </c>
      <c r="BA148">
        <f ca="1">IF(AND(ISNUMBER($BA$392),$B$258=1),$BA$392,HLOOKUP(INDIRECT(ADDRESS(2,COLUMN())),OFFSET($BN$2,0,0,ROW()-1,60),ROW()-1,FALSE))</f>
        <v>70.90629319</v>
      </c>
      <c r="BB148">
        <f ca="1">IF(AND(ISNUMBER($BB$392),$B$258=1),$BB$392,HLOOKUP(INDIRECT(ADDRESS(2,COLUMN())),OFFSET($BN$2,0,0,ROW()-1,60),ROW()-1,FALSE))</f>
        <v>68.446026099999997</v>
      </c>
      <c r="BC148">
        <f ca="1">IF(AND(ISNUMBER($BC$392),$B$258=1),$BC$392,HLOOKUP(INDIRECT(ADDRESS(2,COLUMN())),OFFSET($BN$2,0,0,ROW()-1,60),ROW()-1,FALSE))</f>
        <v>69.645656950000003</v>
      </c>
      <c r="BD148">
        <f ca="1">IF(AND(ISNUMBER($BD$392),$B$258=1),$BD$392,HLOOKUP(INDIRECT(ADDRESS(2,COLUMN())),OFFSET($BN$2,0,0,ROW()-1,60),ROW()-1,FALSE))</f>
        <v>68.37777706</v>
      </c>
      <c r="BE148">
        <f ca="1">IF(AND(ISNUMBER($BE$392),$B$258=1),$BE$392,HLOOKUP(INDIRECT(ADDRESS(2,COLUMN())),OFFSET($BN$2,0,0,ROW()-1,60),ROW()-1,FALSE))</f>
        <v>70.167781129999995</v>
      </c>
      <c r="BF148">
        <f ca="1">IF(AND(ISNUMBER($BF$392),$B$258=1),$BF$392,HLOOKUP(INDIRECT(ADDRESS(2,COLUMN())),OFFSET($BN$2,0,0,ROW()-1,60),ROW()-1,FALSE))</f>
        <v>69.646716920000003</v>
      </c>
      <c r="BG148">
        <f ca="1">IF(AND(ISNUMBER($BG$392),$B$258=1),$BG$392,HLOOKUP(INDIRECT(ADDRESS(2,COLUMN())),OFFSET($BN$2,0,0,ROW()-1,60),ROW()-1,FALSE))</f>
        <v>70.591964500000003</v>
      </c>
      <c r="BH148">
        <f ca="1">IF(AND(ISNUMBER($BH$392),$B$258=1),$BH$392,HLOOKUP(INDIRECT(ADDRESS(2,COLUMN())),OFFSET($BN$2,0,0,ROW()-1,60),ROW()-1,FALSE))</f>
        <v>70.229664869999993</v>
      </c>
      <c r="BI148">
        <f ca="1">IF(AND(ISNUMBER($BI$392),$B$258=1),$BI$392,HLOOKUP(INDIRECT(ADDRESS(2,COLUMN())),OFFSET($BN$2,0,0,ROW()-1,60),ROW()-1,FALSE))</f>
        <v>70.999241780000006</v>
      </c>
      <c r="BJ148">
        <f ca="1">IF(AND(ISNUMBER($BJ$392),$B$258=1),$BJ$392,HLOOKUP(INDIRECT(ADDRESS(2,COLUMN())),OFFSET($BN$2,0,0,ROW()-1,60),ROW()-1,FALSE))</f>
        <v>71.07890123</v>
      </c>
      <c r="BK148">
        <f ca="1">IF(AND(ISNUMBER($BK$392),$B$258=1),$BK$392,HLOOKUP(INDIRECT(ADDRESS(2,COLUMN())),OFFSET($BN$2,0,0,ROW()-1,60),ROW()-1,FALSE))</f>
        <v>101.68520650000001</v>
      </c>
      <c r="BL148">
        <f ca="1">IF(AND(ISNUMBER($BL$392),$B$258=1),$BL$392,HLOOKUP(INDIRECT(ADDRESS(2,COLUMN())),OFFSET($BN$2,0,0,ROW()-1,60),ROW()-1,FALSE))</f>
        <v>118.8549333</v>
      </c>
      <c r="BM148">
        <f ca="1">IF(AND(ISNUMBER($BM$392),$B$258=1),$BM$392,HLOOKUP(INDIRECT(ADDRESS(2,COLUMN())),OFFSET($BN$2,0,0,ROW()-1,60),ROW()-1,FALSE))</f>
        <v>70.605231140000001</v>
      </c>
      <c r="BN148" t="str">
        <f>""</f>
        <v/>
      </c>
      <c r="BO148">
        <f>64.19470466</f>
        <v>64.194704659999999</v>
      </c>
      <c r="BP148">
        <f>64.57055752</f>
        <v>64.570557519999994</v>
      </c>
      <c r="BQ148">
        <f>64.69004867</f>
        <v>64.690048669999996</v>
      </c>
      <c r="BR148">
        <f>64.44290213</f>
        <v>64.442902129999993</v>
      </c>
      <c r="BS148">
        <f>57.1660205</f>
        <v>57.166020500000002</v>
      </c>
      <c r="BT148">
        <f>58.34255726</f>
        <v>58.34255726</v>
      </c>
      <c r="BU148">
        <f>-5.651196943</f>
        <v>-5.6511969430000004</v>
      </c>
      <c r="BV148">
        <f>49.09273494</f>
        <v>49.09273494</v>
      </c>
      <c r="BW148">
        <f>58.58319752</f>
        <v>58.583197519999999</v>
      </c>
      <c r="BX148">
        <f>61.58044005</f>
        <v>61.58044005</v>
      </c>
      <c r="BY148">
        <f>62.16667646</f>
        <v>62.166676459999998</v>
      </c>
      <c r="BZ148">
        <f>54.1963782</f>
        <v>54.196378199999998</v>
      </c>
      <c r="CA148">
        <f>35.11718626</f>
        <v>35.117186259999997</v>
      </c>
      <c r="CB148">
        <f>62.27029066</f>
        <v>62.270290660000001</v>
      </c>
      <c r="CC148">
        <f>62.47831657</f>
        <v>62.478316569999997</v>
      </c>
      <c r="CD148">
        <f>62.6922684</f>
        <v>62.692268400000003</v>
      </c>
      <c r="CE148">
        <f>62.9043436</f>
        <v>62.904343599999997</v>
      </c>
      <c r="CF148">
        <f>62.66051859</f>
        <v>62.660518590000002</v>
      </c>
      <c r="CG148">
        <f>61.99831092</f>
        <v>61.998310920000002</v>
      </c>
      <c r="CH148">
        <f>62.90852395</f>
        <v>62.908523950000003</v>
      </c>
      <c r="CI148">
        <f>60.31642138</f>
        <v>60.316421380000001</v>
      </c>
      <c r="CJ148">
        <f>61.43927196</f>
        <v>61.439271959999999</v>
      </c>
      <c r="CK148">
        <f>63.74413605</f>
        <v>63.744136050000002</v>
      </c>
      <c r="CL148">
        <f>63.75312244</f>
        <v>63.753122439999999</v>
      </c>
      <c r="CM148">
        <f>63.4108683</f>
        <v>63.410868299999997</v>
      </c>
      <c r="CN148">
        <f>63.85110174</f>
        <v>63.851101739999997</v>
      </c>
      <c r="CO148">
        <f>64.29762561</f>
        <v>64.297625609999997</v>
      </c>
      <c r="CP148">
        <f>63.9558319</f>
        <v>63.9558319</v>
      </c>
      <c r="CQ148">
        <f>65.74010836</f>
        <v>65.740108359999994</v>
      </c>
      <c r="CR148">
        <f>65.9682165</f>
        <v>65.968216499999997</v>
      </c>
      <c r="CS148">
        <f>67.04726092</f>
        <v>67.047260919999999</v>
      </c>
      <c r="CT148">
        <f>64.8038938</f>
        <v>64.803893799999997</v>
      </c>
      <c r="CU148">
        <f>67.08499913</f>
        <v>67.08499913</v>
      </c>
      <c r="CV148">
        <f>64.94310431</f>
        <v>64.943104309999995</v>
      </c>
      <c r="CW148">
        <f>68.76543924</f>
        <v>68.765439240000006</v>
      </c>
      <c r="CX148">
        <f>68.34272076</f>
        <v>68.342720760000006</v>
      </c>
      <c r="CY148">
        <f>70.41701471</f>
        <v>70.417014710000004</v>
      </c>
      <c r="CZ148">
        <f>65.40064516</f>
        <v>65.400645159999996</v>
      </c>
      <c r="DA148">
        <f>69.19413852</f>
        <v>69.194138519999996</v>
      </c>
      <c r="DB148">
        <f>66.38524306</f>
        <v>66.385243059999993</v>
      </c>
      <c r="DC148">
        <f>67.88449385</f>
        <v>67.884493849999998</v>
      </c>
      <c r="DD148">
        <f>67.89054619</f>
        <v>67.890546189999995</v>
      </c>
      <c r="DE148">
        <f>68.58556666</f>
        <v>68.585566659999998</v>
      </c>
      <c r="DF148">
        <f>67.55533518</f>
        <v>67.55533518</v>
      </c>
      <c r="DG148">
        <f>69.57903098</f>
        <v>69.579030979999999</v>
      </c>
      <c r="DH148">
        <f>68.98789438</f>
        <v>68.98789438</v>
      </c>
      <c r="DI148">
        <f>70.90629319</f>
        <v>70.90629319</v>
      </c>
      <c r="DJ148">
        <f>68.4460261</f>
        <v>68.446026099999997</v>
      </c>
      <c r="DK148">
        <f>69.64565695</f>
        <v>69.645656950000003</v>
      </c>
      <c r="DL148">
        <f>68.37777706</f>
        <v>68.37777706</v>
      </c>
      <c r="DM148">
        <f>70.16778113</f>
        <v>70.167781129999995</v>
      </c>
      <c r="DN148">
        <f>69.64671692</f>
        <v>69.646716920000003</v>
      </c>
      <c r="DO148">
        <f>70.5919645</f>
        <v>70.591964500000003</v>
      </c>
      <c r="DP148">
        <f>70.22966487</f>
        <v>70.229664869999993</v>
      </c>
      <c r="DQ148">
        <f>70.99924178</f>
        <v>70.999241780000006</v>
      </c>
      <c r="DR148">
        <f>71.07890123</f>
        <v>71.07890123</v>
      </c>
      <c r="DS148">
        <f>101.6852065</f>
        <v>101.68520650000001</v>
      </c>
      <c r="DT148">
        <f>118.8549333</f>
        <v>118.8549333</v>
      </c>
      <c r="DU148">
        <f>70.60523114</f>
        <v>70.605231140000001</v>
      </c>
    </row>
    <row r="149" spans="1:125">
      <c r="A149" t="str">
        <f>"    Care Capital Properties Inc"</f>
        <v xml:space="preserve">    Care Capital Properties Inc</v>
      </c>
      <c r="B149" t="str">
        <f>"CCP US Equity"</f>
        <v>CCP US Equity</v>
      </c>
      <c r="C149" t="str">
        <f t="shared" si="36"/>
        <v>RX225</v>
      </c>
      <c r="D149" t="str">
        <f t="shared" si="37"/>
        <v>EBITDA_TO_REVENUE</v>
      </c>
      <c r="E149" t="str">
        <f t="shared" si="38"/>
        <v>动态</v>
      </c>
      <c r="F149" t="str">
        <f ca="1">IF(AND(ISNUMBER($F$393),$B$258=1),$F$393,HLOOKUP(INDIRECT(ADDRESS(2,COLUMN())),OFFSET($BN$2,0,0,ROW()-1,60),ROW()-1,FALSE))</f>
        <v/>
      </c>
      <c r="G149" t="str">
        <f ca="1">IF(AND(ISNUMBER($G$393),$B$258=1),$G$393,HLOOKUP(INDIRECT(ADDRESS(2,COLUMN())),OFFSET($BN$2,0,0,ROW()-1,60),ROW()-1,FALSE))</f>
        <v/>
      </c>
      <c r="H149" t="str">
        <f ca="1">IF(AND(ISNUMBER($H$393),$B$258=1),$H$393,HLOOKUP(INDIRECT(ADDRESS(2,COLUMN())),OFFSET($BN$2,0,0,ROW()-1,60),ROW()-1,FALSE))</f>
        <v/>
      </c>
      <c r="I149">
        <f ca="1">IF(AND(ISNUMBER($I$393),$B$258=1),$I$393,HLOOKUP(INDIRECT(ADDRESS(2,COLUMN())),OFFSET($BN$2,0,0,ROW()-1,60),ROW()-1,FALSE))</f>
        <v>106.624627</v>
      </c>
      <c r="J149">
        <f ca="1">IF(AND(ISNUMBER($J$393),$B$258=1),$J$393,HLOOKUP(INDIRECT(ADDRESS(2,COLUMN())),OFFSET($BN$2,0,0,ROW()-1,60),ROW()-1,FALSE))</f>
        <v>87.187331729999997</v>
      </c>
      <c r="K149">
        <f ca="1">IF(AND(ISNUMBER($K$393),$B$258=1),$K$393,HLOOKUP(INDIRECT(ADDRESS(2,COLUMN())),OFFSET($BN$2,0,0,ROW()-1,60),ROW()-1,FALSE))</f>
        <v>94.977740339999997</v>
      </c>
      <c r="L149">
        <f ca="1">IF(AND(ISNUMBER($L$393),$B$258=1),$L$393,HLOOKUP(INDIRECT(ADDRESS(2,COLUMN())),OFFSET($BN$2,0,0,ROW()-1,60),ROW()-1,FALSE))</f>
        <v>82.119577050000004</v>
      </c>
      <c r="M149">
        <f ca="1">IF(AND(ISNUMBER($M$393),$B$258=1),$M$393,HLOOKUP(INDIRECT(ADDRESS(2,COLUMN())),OFFSET($BN$2,0,0,ROW()-1,60),ROW()-1,FALSE))</f>
        <v>86.210921999999997</v>
      </c>
      <c r="N149">
        <f ca="1">IF(AND(ISNUMBER($N$393),$B$258=1),$N$393,HLOOKUP(INDIRECT(ADDRESS(2,COLUMN())),OFFSET($BN$2,0,0,ROW()-1,60),ROW()-1,FALSE))</f>
        <v>86.649397350000001</v>
      </c>
      <c r="O149">
        <f ca="1">IF(AND(ISNUMBER($O$393),$B$258=1),$O$393,HLOOKUP(INDIRECT(ADDRESS(2,COLUMN())),OFFSET($BN$2,0,0,ROW()-1,60),ROW()-1,FALSE))</f>
        <v>86.658803860000006</v>
      </c>
      <c r="P149">
        <f ca="1">IF(AND(ISNUMBER($P$393),$B$258=1),$P$393,HLOOKUP(INDIRECT(ADDRESS(2,COLUMN())),OFFSET($BN$2,0,0,ROW()-1,60),ROW()-1,FALSE))</f>
        <v>84.779571660000002</v>
      </c>
      <c r="Q149" t="str">
        <f ca="1">IF(AND(ISNUMBER($Q$393),$B$258=1),$Q$393,HLOOKUP(INDIRECT(ADDRESS(2,COLUMN())),OFFSET($BN$2,0,0,ROW()-1,60),ROW()-1,FALSE))</f>
        <v/>
      </c>
      <c r="R149" t="str">
        <f ca="1">IF(AND(ISNUMBER($R$393),$B$258=1),$R$393,HLOOKUP(INDIRECT(ADDRESS(2,COLUMN())),OFFSET($BN$2,0,0,ROW()-1,60),ROW()-1,FALSE))</f>
        <v/>
      </c>
      <c r="S149" t="str">
        <f ca="1">IF(AND(ISNUMBER($S$393),$B$258=1),$S$393,HLOOKUP(INDIRECT(ADDRESS(2,COLUMN())),OFFSET($BN$2,0,0,ROW()-1,60),ROW()-1,FALSE))</f>
        <v/>
      </c>
      <c r="T149" t="str">
        <f ca="1">IF(AND(ISNUMBER($T$393),$B$258=1),$T$393,HLOOKUP(INDIRECT(ADDRESS(2,COLUMN())),OFFSET($BN$2,0,0,ROW()-1,60),ROW()-1,FALSE))</f>
        <v/>
      </c>
      <c r="U149" t="str">
        <f ca="1">IF(AND(ISNUMBER($U$393),$B$258=1),$U$393,HLOOKUP(INDIRECT(ADDRESS(2,COLUMN())),OFFSET($BN$2,0,0,ROW()-1,60),ROW()-1,FALSE))</f>
        <v/>
      </c>
      <c r="V149" t="str">
        <f ca="1">IF(AND(ISNUMBER($V$393),$B$258=1),$V$393,HLOOKUP(INDIRECT(ADDRESS(2,COLUMN())),OFFSET($BN$2,0,0,ROW()-1,60),ROW()-1,FALSE))</f>
        <v/>
      </c>
      <c r="W149" t="str">
        <f ca="1">IF(AND(ISNUMBER($W$393),$B$258=1),$W$393,HLOOKUP(INDIRECT(ADDRESS(2,COLUMN())),OFFSET($BN$2,0,0,ROW()-1,60),ROW()-1,FALSE))</f>
        <v/>
      </c>
      <c r="X149" t="str">
        <f ca="1">IF(AND(ISNUMBER($X$393),$B$258=1),$X$393,HLOOKUP(INDIRECT(ADDRESS(2,COLUMN())),OFFSET($BN$2,0,0,ROW()-1,60),ROW()-1,FALSE))</f>
        <v/>
      </c>
      <c r="Y149" t="str">
        <f ca="1">IF(AND(ISNUMBER($Y$393),$B$258=1),$Y$393,HLOOKUP(INDIRECT(ADDRESS(2,COLUMN())),OFFSET($BN$2,0,0,ROW()-1,60),ROW()-1,FALSE))</f>
        <v/>
      </c>
      <c r="Z149" t="str">
        <f ca="1">IF(AND(ISNUMBER($Z$393),$B$258=1),$Z$393,HLOOKUP(INDIRECT(ADDRESS(2,COLUMN())),OFFSET($BN$2,0,0,ROW()-1,60),ROW()-1,FALSE))</f>
        <v/>
      </c>
      <c r="AA149" t="str">
        <f ca="1">IF(AND(ISNUMBER($AA$393),$B$258=1),$AA$393,HLOOKUP(INDIRECT(ADDRESS(2,COLUMN())),OFFSET($BN$2,0,0,ROW()-1,60),ROW()-1,FALSE))</f>
        <v/>
      </c>
      <c r="AB149" t="str">
        <f ca="1">IF(AND(ISNUMBER($AB$393),$B$258=1),$AB$393,HLOOKUP(INDIRECT(ADDRESS(2,COLUMN())),OFFSET($BN$2,0,0,ROW()-1,60),ROW()-1,FALSE))</f>
        <v/>
      </c>
      <c r="AC149" t="str">
        <f ca="1">IF(AND(ISNUMBER($AC$393),$B$258=1),$AC$393,HLOOKUP(INDIRECT(ADDRESS(2,COLUMN())),OFFSET($BN$2,0,0,ROW()-1,60),ROW()-1,FALSE))</f>
        <v/>
      </c>
      <c r="AD149" t="str">
        <f ca="1">IF(AND(ISNUMBER($AD$393),$B$258=1),$AD$393,HLOOKUP(INDIRECT(ADDRESS(2,COLUMN())),OFFSET($BN$2,0,0,ROW()-1,60),ROW()-1,FALSE))</f>
        <v/>
      </c>
      <c r="AE149" t="str">
        <f ca="1">IF(AND(ISNUMBER($AE$393),$B$258=1),$AE$393,HLOOKUP(INDIRECT(ADDRESS(2,COLUMN())),OFFSET($BN$2,0,0,ROW()-1,60),ROW()-1,FALSE))</f>
        <v/>
      </c>
      <c r="AF149" t="str">
        <f ca="1">IF(AND(ISNUMBER($AF$393),$B$258=1),$AF$393,HLOOKUP(INDIRECT(ADDRESS(2,COLUMN())),OFFSET($BN$2,0,0,ROW()-1,60),ROW()-1,FALSE))</f>
        <v/>
      </c>
      <c r="AG149" t="str">
        <f ca="1">IF(AND(ISNUMBER($AG$393),$B$258=1),$AG$393,HLOOKUP(INDIRECT(ADDRESS(2,COLUMN())),OFFSET($BN$2,0,0,ROW()-1,60),ROW()-1,FALSE))</f>
        <v/>
      </c>
      <c r="AH149" t="str">
        <f ca="1">IF(AND(ISNUMBER($AH$393),$B$258=1),$AH$393,HLOOKUP(INDIRECT(ADDRESS(2,COLUMN())),OFFSET($BN$2,0,0,ROW()-1,60),ROW()-1,FALSE))</f>
        <v/>
      </c>
      <c r="AI149" t="str">
        <f ca="1">IF(AND(ISNUMBER($AI$393),$B$258=1),$AI$393,HLOOKUP(INDIRECT(ADDRESS(2,COLUMN())),OFFSET($BN$2,0,0,ROW()-1,60),ROW()-1,FALSE))</f>
        <v/>
      </c>
      <c r="AJ149" t="str">
        <f ca="1">IF(AND(ISNUMBER($AJ$393),$B$258=1),$AJ$393,HLOOKUP(INDIRECT(ADDRESS(2,COLUMN())),OFFSET($BN$2,0,0,ROW()-1,60),ROW()-1,FALSE))</f>
        <v/>
      </c>
      <c r="AK149" t="str">
        <f ca="1">IF(AND(ISNUMBER($AK$393),$B$258=1),$AK$393,HLOOKUP(INDIRECT(ADDRESS(2,COLUMN())),OFFSET($BN$2,0,0,ROW()-1,60),ROW()-1,FALSE))</f>
        <v/>
      </c>
      <c r="AL149" t="str">
        <f ca="1">IF(AND(ISNUMBER($AL$393),$B$258=1),$AL$393,HLOOKUP(INDIRECT(ADDRESS(2,COLUMN())),OFFSET($BN$2,0,0,ROW()-1,60),ROW()-1,FALSE))</f>
        <v/>
      </c>
      <c r="AM149" t="str">
        <f ca="1">IF(AND(ISNUMBER($AM$393),$B$258=1),$AM$393,HLOOKUP(INDIRECT(ADDRESS(2,COLUMN())),OFFSET($BN$2,0,0,ROW()-1,60),ROW()-1,FALSE))</f>
        <v/>
      </c>
      <c r="AN149" t="str">
        <f ca="1">IF(AND(ISNUMBER($AN$393),$B$258=1),$AN$393,HLOOKUP(INDIRECT(ADDRESS(2,COLUMN())),OFFSET($BN$2,0,0,ROW()-1,60),ROW()-1,FALSE))</f>
        <v/>
      </c>
      <c r="AO149" t="str">
        <f ca="1">IF(AND(ISNUMBER($AO$393),$B$258=1),$AO$393,HLOOKUP(INDIRECT(ADDRESS(2,COLUMN())),OFFSET($BN$2,0,0,ROW()-1,60),ROW()-1,FALSE))</f>
        <v/>
      </c>
      <c r="AP149" t="str">
        <f ca="1">IF(AND(ISNUMBER($AP$393),$B$258=1),$AP$393,HLOOKUP(INDIRECT(ADDRESS(2,COLUMN())),OFFSET($BN$2,0,0,ROW()-1,60),ROW()-1,FALSE))</f>
        <v/>
      </c>
      <c r="AQ149" t="str">
        <f ca="1">IF(AND(ISNUMBER($AQ$393),$B$258=1),$AQ$393,HLOOKUP(INDIRECT(ADDRESS(2,COLUMN())),OFFSET($BN$2,0,0,ROW()-1,60),ROW()-1,FALSE))</f>
        <v/>
      </c>
      <c r="AR149" t="str">
        <f ca="1">IF(AND(ISNUMBER($AR$393),$B$258=1),$AR$393,HLOOKUP(INDIRECT(ADDRESS(2,COLUMN())),OFFSET($BN$2,0,0,ROW()-1,60),ROW()-1,FALSE))</f>
        <v/>
      </c>
      <c r="AS149" t="str">
        <f ca="1">IF(AND(ISNUMBER($AS$393),$B$258=1),$AS$393,HLOOKUP(INDIRECT(ADDRESS(2,COLUMN())),OFFSET($BN$2,0,0,ROW()-1,60),ROW()-1,FALSE))</f>
        <v/>
      </c>
      <c r="AT149" t="str">
        <f ca="1">IF(AND(ISNUMBER($AT$393),$B$258=1),$AT$393,HLOOKUP(INDIRECT(ADDRESS(2,COLUMN())),OFFSET($BN$2,0,0,ROW()-1,60),ROW()-1,FALSE))</f>
        <v/>
      </c>
      <c r="AU149" t="str">
        <f ca="1">IF(AND(ISNUMBER($AU$393),$B$258=1),$AU$393,HLOOKUP(INDIRECT(ADDRESS(2,COLUMN())),OFFSET($BN$2,0,0,ROW()-1,60),ROW()-1,FALSE))</f>
        <v/>
      </c>
      <c r="AV149" t="str">
        <f ca="1">IF(AND(ISNUMBER($AV$393),$B$258=1),$AV$393,HLOOKUP(INDIRECT(ADDRESS(2,COLUMN())),OFFSET($BN$2,0,0,ROW()-1,60),ROW()-1,FALSE))</f>
        <v/>
      </c>
      <c r="AW149" t="str">
        <f ca="1">IF(AND(ISNUMBER($AW$393),$B$258=1),$AW$393,HLOOKUP(INDIRECT(ADDRESS(2,COLUMN())),OFFSET($BN$2,0,0,ROW()-1,60),ROW()-1,FALSE))</f>
        <v/>
      </c>
      <c r="AX149" t="str">
        <f ca="1">IF(AND(ISNUMBER($AX$393),$B$258=1),$AX$393,HLOOKUP(INDIRECT(ADDRESS(2,COLUMN())),OFFSET($BN$2,0,0,ROW()-1,60),ROW()-1,FALSE))</f>
        <v/>
      </c>
      <c r="AY149" t="str">
        <f ca="1">IF(AND(ISNUMBER($AY$393),$B$258=1),$AY$393,HLOOKUP(INDIRECT(ADDRESS(2,COLUMN())),OFFSET($BN$2,0,0,ROW()-1,60),ROW()-1,FALSE))</f>
        <v/>
      </c>
      <c r="AZ149" t="str">
        <f ca="1">IF(AND(ISNUMBER($AZ$393),$B$258=1),$AZ$393,HLOOKUP(INDIRECT(ADDRESS(2,COLUMN())),OFFSET($BN$2,0,0,ROW()-1,60),ROW()-1,FALSE))</f>
        <v/>
      </c>
      <c r="BA149" t="str">
        <f ca="1">IF(AND(ISNUMBER($BA$393),$B$258=1),$BA$393,HLOOKUP(INDIRECT(ADDRESS(2,COLUMN())),OFFSET($BN$2,0,0,ROW()-1,60),ROW()-1,FALSE))</f>
        <v/>
      </c>
      <c r="BB149" t="str">
        <f ca="1">IF(AND(ISNUMBER($BB$393),$B$258=1),$BB$393,HLOOKUP(INDIRECT(ADDRESS(2,COLUMN())),OFFSET($BN$2,0,0,ROW()-1,60),ROW()-1,FALSE))</f>
        <v/>
      </c>
      <c r="BC149" t="str">
        <f ca="1">IF(AND(ISNUMBER($BC$393),$B$258=1),$BC$393,HLOOKUP(INDIRECT(ADDRESS(2,COLUMN())),OFFSET($BN$2,0,0,ROW()-1,60),ROW()-1,FALSE))</f>
        <v/>
      </c>
      <c r="BD149" t="str">
        <f ca="1">IF(AND(ISNUMBER($BD$393),$B$258=1),$BD$393,HLOOKUP(INDIRECT(ADDRESS(2,COLUMN())),OFFSET($BN$2,0,0,ROW()-1,60),ROW()-1,FALSE))</f>
        <v/>
      </c>
      <c r="BE149" t="str">
        <f ca="1">IF(AND(ISNUMBER($BE$393),$B$258=1),$BE$393,HLOOKUP(INDIRECT(ADDRESS(2,COLUMN())),OFFSET($BN$2,0,0,ROW()-1,60),ROW()-1,FALSE))</f>
        <v/>
      </c>
      <c r="BF149" t="str">
        <f ca="1">IF(AND(ISNUMBER($BF$393),$B$258=1),$BF$393,HLOOKUP(INDIRECT(ADDRESS(2,COLUMN())),OFFSET($BN$2,0,0,ROW()-1,60),ROW()-1,FALSE))</f>
        <v/>
      </c>
      <c r="BG149" t="str">
        <f ca="1">IF(AND(ISNUMBER($BG$393),$B$258=1),$BG$393,HLOOKUP(INDIRECT(ADDRESS(2,COLUMN())),OFFSET($BN$2,0,0,ROW()-1,60),ROW()-1,FALSE))</f>
        <v/>
      </c>
      <c r="BH149" t="str">
        <f ca="1">IF(AND(ISNUMBER($BH$393),$B$258=1),$BH$393,HLOOKUP(INDIRECT(ADDRESS(2,COLUMN())),OFFSET($BN$2,0,0,ROW()-1,60),ROW()-1,FALSE))</f>
        <v/>
      </c>
      <c r="BI149" t="str">
        <f ca="1">IF(AND(ISNUMBER($BI$393),$B$258=1),$BI$393,HLOOKUP(INDIRECT(ADDRESS(2,COLUMN())),OFFSET($BN$2,0,0,ROW()-1,60),ROW()-1,FALSE))</f>
        <v/>
      </c>
      <c r="BJ149" t="str">
        <f ca="1">IF(AND(ISNUMBER($BJ$393),$B$258=1),$BJ$393,HLOOKUP(INDIRECT(ADDRESS(2,COLUMN())),OFFSET($BN$2,0,0,ROW()-1,60),ROW()-1,FALSE))</f>
        <v/>
      </c>
      <c r="BK149" t="str">
        <f ca="1">IF(AND(ISNUMBER($BK$393),$B$258=1),$BK$393,HLOOKUP(INDIRECT(ADDRESS(2,COLUMN())),OFFSET($BN$2,0,0,ROW()-1,60),ROW()-1,FALSE))</f>
        <v/>
      </c>
      <c r="BL149" t="str">
        <f ca="1">IF(AND(ISNUMBER($BL$393),$B$258=1),$BL$393,HLOOKUP(INDIRECT(ADDRESS(2,COLUMN())),OFFSET($BN$2,0,0,ROW()-1,60),ROW()-1,FALSE))</f>
        <v/>
      </c>
      <c r="BM149" t="str">
        <f ca="1">IF(AND(ISNUMBER($BM$393),$B$258=1),$BM$393,HLOOKUP(INDIRECT(ADDRESS(2,COLUMN())),OFFSET($BN$2,0,0,ROW()-1,60),ROW()-1,FALSE))</f>
        <v/>
      </c>
      <c r="BN149" t="str">
        <f>""</f>
        <v/>
      </c>
      <c r="BO149" t="str">
        <f>""</f>
        <v/>
      </c>
      <c r="BP149" t="str">
        <f>""</f>
        <v/>
      </c>
      <c r="BQ149">
        <f>106.624627</f>
        <v>106.624627</v>
      </c>
      <c r="BR149">
        <f>87.18733173</f>
        <v>87.187331729999997</v>
      </c>
      <c r="BS149">
        <f>94.97774034</f>
        <v>94.977740339999997</v>
      </c>
      <c r="BT149">
        <f>82.11957705</f>
        <v>82.119577050000004</v>
      </c>
      <c r="BU149">
        <f>86.210922</f>
        <v>86.210921999999997</v>
      </c>
      <c r="BV149">
        <f>86.64939735</f>
        <v>86.649397350000001</v>
      </c>
      <c r="BW149">
        <f>86.65880386</f>
        <v>86.658803860000006</v>
      </c>
      <c r="BX149">
        <f>84.77957166</f>
        <v>84.779571660000002</v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>
      <c r="A150" t="str">
        <f>"    HCP Inc"</f>
        <v xml:space="preserve">    HCP Inc</v>
      </c>
      <c r="B150" t="str">
        <f>"HCP US Equity"</f>
        <v>HCP US Equity</v>
      </c>
      <c r="C150" t="str">
        <f t="shared" si="36"/>
        <v>RX225</v>
      </c>
      <c r="D150" t="str">
        <f t="shared" si="37"/>
        <v>EBITDA_TO_REVENUE</v>
      </c>
      <c r="E150" t="str">
        <f t="shared" si="38"/>
        <v>动态</v>
      </c>
      <c r="F150" t="str">
        <f ca="1">IF(AND(ISNUMBER($F$394),$B$258=1),$F$394,HLOOKUP(INDIRECT(ADDRESS(2,COLUMN())),OFFSET($BN$2,0,0,ROW()-1,60),ROW()-1,FALSE))</f>
        <v/>
      </c>
      <c r="G150">
        <f ca="1">IF(AND(ISNUMBER($G$394),$B$258=1),$G$394,HLOOKUP(INDIRECT(ADDRESS(2,COLUMN())),OFFSET($BN$2,0,0,ROW()-1,60),ROW()-1,FALSE))</f>
        <v>30.831861279999998</v>
      </c>
      <c r="H150">
        <f ca="1">IF(AND(ISNUMBER($H$394),$B$258=1),$H$394,HLOOKUP(INDIRECT(ADDRESS(2,COLUMN())),OFFSET($BN$2,0,0,ROW()-1,60),ROW()-1,FALSE))</f>
        <v>55.729996059999998</v>
      </c>
      <c r="I150">
        <f ca="1">IF(AND(ISNUMBER($I$394),$B$258=1),$I$394,HLOOKUP(INDIRECT(ADDRESS(2,COLUMN())),OFFSET($BN$2,0,0,ROW()-1,60),ROW()-1,FALSE))</f>
        <v>50.172793990000002</v>
      </c>
      <c r="J150">
        <f ca="1">IF(AND(ISNUMBER($J$394),$B$258=1),$J$394,HLOOKUP(INDIRECT(ADDRESS(2,COLUMN())),OFFSET($BN$2,0,0,ROW()-1,60),ROW()-1,FALSE))</f>
        <v>63.660579310000003</v>
      </c>
      <c r="K150">
        <f ca="1">IF(AND(ISNUMBER($K$394),$B$258=1),$K$394,HLOOKUP(INDIRECT(ADDRESS(2,COLUMN())),OFFSET($BN$2,0,0,ROW()-1,60),ROW()-1,FALSE))</f>
        <v>60.265024539999999</v>
      </c>
      <c r="L150">
        <f ca="1">IF(AND(ISNUMBER($L$394),$B$258=1),$L$394,HLOOKUP(INDIRECT(ADDRESS(2,COLUMN())),OFFSET($BN$2,0,0,ROW()-1,60),ROW()-1,FALSE))</f>
        <v>64.58327602</v>
      </c>
      <c r="M150">
        <f ca="1">IF(AND(ISNUMBER($M$394),$B$258=1),$M$394,HLOOKUP(INDIRECT(ADDRESS(2,COLUMN())),OFFSET($BN$2,0,0,ROW()-1,60),ROW()-1,FALSE))</f>
        <v>62.937390290000003</v>
      </c>
      <c r="N150">
        <f ca="1">IF(AND(ISNUMBER($N$394),$B$258=1),$N$394,HLOOKUP(INDIRECT(ADDRESS(2,COLUMN())),OFFSET($BN$2,0,0,ROW()-1,60),ROW()-1,FALSE))</f>
        <v>68.780021910000002</v>
      </c>
      <c r="O150">
        <f ca="1">IF(AND(ISNUMBER($O$394),$B$258=1),$O$394,HLOOKUP(INDIRECT(ADDRESS(2,COLUMN())),OFFSET($BN$2,0,0,ROW()-1,60),ROW()-1,FALSE))</f>
        <v>64.418968910000004</v>
      </c>
      <c r="P150">
        <f ca="1">IF(AND(ISNUMBER($P$394),$B$258=1),$P$394,HLOOKUP(INDIRECT(ADDRESS(2,COLUMN())),OFFSET($BN$2,0,0,ROW()-1,60),ROW()-1,FALSE))</f>
        <v>60.422145129999997</v>
      </c>
      <c r="Q150">
        <f ca="1">IF(AND(ISNUMBER($Q$394),$B$258=1),$Q$394,HLOOKUP(INDIRECT(ADDRESS(2,COLUMN())),OFFSET($BN$2,0,0,ROW()-1,60),ROW()-1,FALSE))</f>
        <v>63.931447230000003</v>
      </c>
      <c r="R150">
        <f ca="1">IF(AND(ISNUMBER($R$394),$B$258=1),$R$394,HLOOKUP(INDIRECT(ADDRESS(2,COLUMN())),OFFSET($BN$2,0,0,ROW()-1,60),ROW()-1,FALSE))</f>
        <v>-3.6149845040000002</v>
      </c>
      <c r="S150">
        <f ca="1">IF(AND(ISNUMBER($S$394),$B$258=1),$S$394,HLOOKUP(INDIRECT(ADDRESS(2,COLUMN())),OFFSET($BN$2,0,0,ROW()-1,60),ROW()-1,FALSE))</f>
        <v>75.270575679999993</v>
      </c>
      <c r="T150">
        <f ca="1">IF(AND(ISNUMBER($T$394),$B$258=1),$T$394,HLOOKUP(INDIRECT(ADDRESS(2,COLUMN())),OFFSET($BN$2,0,0,ROW()-1,60),ROW()-1,FALSE))</f>
        <v>79.993228720000005</v>
      </c>
      <c r="U150">
        <f ca="1">IF(AND(ISNUMBER($U$394),$B$258=1),$U$394,HLOOKUP(INDIRECT(ADDRESS(2,COLUMN())),OFFSET($BN$2,0,0,ROW()-1,60),ROW()-1,FALSE))</f>
        <v>80.976682499999995</v>
      </c>
      <c r="V150">
        <f ca="1">IF(AND(ISNUMBER($V$394),$B$258=1),$V$394,HLOOKUP(INDIRECT(ADDRESS(2,COLUMN())),OFFSET($BN$2,0,0,ROW()-1,60),ROW()-1,FALSE))</f>
        <v>82.569736899999995</v>
      </c>
      <c r="W150">
        <f ca="1">IF(AND(ISNUMBER($W$394),$B$258=1),$W$394,HLOOKUP(INDIRECT(ADDRESS(2,COLUMN())),OFFSET($BN$2,0,0,ROW()-1,60),ROW()-1,FALSE))</f>
        <v>89.727266040000003</v>
      </c>
      <c r="X150">
        <f ca="1">IF(AND(ISNUMBER($X$394),$B$258=1),$X$394,HLOOKUP(INDIRECT(ADDRESS(2,COLUMN())),OFFSET($BN$2,0,0,ROW()-1,60),ROW()-1,FALSE))</f>
        <v>77.773100130000003</v>
      </c>
      <c r="Y150">
        <f ca="1">IF(AND(ISNUMBER($Y$394),$B$258=1),$Y$394,HLOOKUP(INDIRECT(ADDRESS(2,COLUMN())),OFFSET($BN$2,0,0,ROW()-1,60),ROW()-1,FALSE))</f>
        <v>81.224779839999997</v>
      </c>
      <c r="Z150">
        <f ca="1">IF(AND(ISNUMBER($Z$394),$B$258=1),$Z$394,HLOOKUP(INDIRECT(ADDRESS(2,COLUMN())),OFFSET($BN$2,0,0,ROW()-1,60),ROW()-1,FALSE))</f>
        <v>83.087956239999997</v>
      </c>
      <c r="AA150">
        <f ca="1">IF(AND(ISNUMBER($AA$394),$B$258=1),$AA$394,HLOOKUP(INDIRECT(ADDRESS(2,COLUMN())),OFFSET($BN$2,0,0,ROW()-1,60),ROW()-1,FALSE))</f>
        <v>85.4463042</v>
      </c>
      <c r="AB150">
        <f ca="1">IF(AND(ISNUMBER($AB$394),$B$258=1),$AB$394,HLOOKUP(INDIRECT(ADDRESS(2,COLUMN())),OFFSET($BN$2,0,0,ROW()-1,60),ROW()-1,FALSE))</f>
        <v>79.16746784</v>
      </c>
      <c r="AC150">
        <f ca="1">IF(AND(ISNUMBER($AC$394),$B$258=1),$AC$394,HLOOKUP(INDIRECT(ADDRESS(2,COLUMN())),OFFSET($BN$2,0,0,ROW()-1,60),ROW()-1,FALSE))</f>
        <v>81.575752309999999</v>
      </c>
      <c r="AD150">
        <f ca="1">IF(AND(ISNUMBER($AD$394),$B$258=1),$AD$394,HLOOKUP(INDIRECT(ADDRESS(2,COLUMN())),OFFSET($BN$2,0,0,ROW()-1,60),ROW()-1,FALSE))</f>
        <v>81.325590629999994</v>
      </c>
      <c r="AE150">
        <f ca="1">IF(AND(ISNUMBER($AE$394),$B$258=1),$AE$394,HLOOKUP(INDIRECT(ADDRESS(2,COLUMN())),OFFSET($BN$2,0,0,ROW()-1,60),ROW()-1,FALSE))</f>
        <v>58.121763719999997</v>
      </c>
      <c r="AF150">
        <f ca="1">IF(AND(ISNUMBER($AF$394),$B$258=1),$AF$394,HLOOKUP(INDIRECT(ADDRESS(2,COLUMN())),OFFSET($BN$2,0,0,ROW()-1,60),ROW()-1,FALSE))</f>
        <v>79.148469390000002</v>
      </c>
      <c r="AG150">
        <f ca="1">IF(AND(ISNUMBER($AG$394),$B$258=1),$AG$394,HLOOKUP(INDIRECT(ADDRESS(2,COLUMN())),OFFSET($BN$2,0,0,ROW()-1,60),ROW()-1,FALSE))</f>
        <v>83.111702940000001</v>
      </c>
      <c r="AH150">
        <f ca="1">IF(AND(ISNUMBER($AH$394),$B$258=1),$AH$394,HLOOKUP(INDIRECT(ADDRESS(2,COLUMN())),OFFSET($BN$2,0,0,ROW()-1,60),ROW()-1,FALSE))</f>
        <v>79.021707620000001</v>
      </c>
      <c r="AI150">
        <f ca="1">IF(AND(ISNUMBER($AI$394),$B$258=1),$AI$394,HLOOKUP(INDIRECT(ADDRESS(2,COLUMN())),OFFSET($BN$2,0,0,ROW()-1,60),ROW()-1,FALSE))</f>
        <v>77.37223066</v>
      </c>
      <c r="AJ150">
        <f ca="1">IF(AND(ISNUMBER($AJ$394),$B$258=1),$AJ$394,HLOOKUP(INDIRECT(ADDRESS(2,COLUMN())),OFFSET($BN$2,0,0,ROW()-1,60),ROW()-1,FALSE))</f>
        <v>51.697056289999999</v>
      </c>
      <c r="AK150">
        <f ca="1">IF(AND(ISNUMBER($AK$394),$B$258=1),$AK$394,HLOOKUP(INDIRECT(ADDRESS(2,COLUMN())),OFFSET($BN$2,0,0,ROW()-1,60),ROW()-1,FALSE))</f>
        <v>77.972485480000003</v>
      </c>
      <c r="AL150">
        <f ca="1">IF(AND(ISNUMBER($AL$394),$B$258=1),$AL$394,HLOOKUP(INDIRECT(ADDRESS(2,COLUMN())),OFFSET($BN$2,0,0,ROW()-1,60),ROW()-1,FALSE))</f>
        <v>79.304321279999996</v>
      </c>
      <c r="AM150">
        <f ca="1">IF(AND(ISNUMBER($AM$394),$B$258=1),$AM$394,HLOOKUP(INDIRECT(ADDRESS(2,COLUMN())),OFFSET($BN$2,0,0,ROW()-1,60),ROW()-1,FALSE))</f>
        <v>59.781571450000001</v>
      </c>
      <c r="AN150">
        <f ca="1">IF(AND(ISNUMBER($AN$394),$B$258=1),$AN$394,HLOOKUP(INDIRECT(ADDRESS(2,COLUMN())),OFFSET($BN$2,0,0,ROW()-1,60),ROW()-1,FALSE))</f>
        <v>35.242869290000002</v>
      </c>
      <c r="AO150">
        <f ca="1">IF(AND(ISNUMBER($AO$394),$B$258=1),$AO$394,HLOOKUP(INDIRECT(ADDRESS(2,COLUMN())),OFFSET($BN$2,0,0,ROW()-1,60),ROW()-1,FALSE))</f>
        <v>72.885476030000007</v>
      </c>
      <c r="AP150">
        <f ca="1">IF(AND(ISNUMBER($AP$394),$B$258=1),$AP$394,HLOOKUP(INDIRECT(ADDRESS(2,COLUMN())),OFFSET($BN$2,0,0,ROW()-1,60),ROW()-1,FALSE))</f>
        <v>75.039168259999997</v>
      </c>
      <c r="AQ150">
        <f ca="1">IF(AND(ISNUMBER($AQ$394),$B$258=1),$AQ$394,HLOOKUP(INDIRECT(ADDRESS(2,COLUMN())),OFFSET($BN$2,0,0,ROW()-1,60),ROW()-1,FALSE))</f>
        <v>76.57910262</v>
      </c>
      <c r="AR150">
        <f ca="1">IF(AND(ISNUMBER($AR$394),$B$258=1),$AR$394,HLOOKUP(INDIRECT(ADDRESS(2,COLUMN())),OFFSET($BN$2,0,0,ROW()-1,60),ROW()-1,FALSE))</f>
        <v>74.703194300000007</v>
      </c>
      <c r="AS150">
        <f ca="1">IF(AND(ISNUMBER($AS$394),$B$258=1),$AS$394,HLOOKUP(INDIRECT(ADDRESS(2,COLUMN())),OFFSET($BN$2,0,0,ROW()-1,60),ROW()-1,FALSE))</f>
        <v>73.777911770000003</v>
      </c>
      <c r="AT150">
        <f ca="1">IF(AND(ISNUMBER($AT$394),$B$258=1),$AT$394,HLOOKUP(INDIRECT(ADDRESS(2,COLUMN())),OFFSET($BN$2,0,0,ROW()-1,60),ROW()-1,FALSE))</f>
        <v>73.000861950000001</v>
      </c>
      <c r="AU150">
        <f ca="1">IF(AND(ISNUMBER($AU$394),$B$258=1),$AU$394,HLOOKUP(INDIRECT(ADDRESS(2,COLUMN())),OFFSET($BN$2,0,0,ROW()-1,60),ROW()-1,FALSE))</f>
        <v>74.897455960000002</v>
      </c>
      <c r="AV150">
        <f ca="1">IF(AND(ISNUMBER($AV$394),$B$258=1),$AV$394,HLOOKUP(INDIRECT(ADDRESS(2,COLUMN())),OFFSET($BN$2,0,0,ROW()-1,60),ROW()-1,FALSE))</f>
        <v>73.667680709999999</v>
      </c>
      <c r="AW150">
        <f ca="1">IF(AND(ISNUMBER($AW$394),$B$258=1),$AW$394,HLOOKUP(INDIRECT(ADDRESS(2,COLUMN())),OFFSET($BN$2,0,0,ROW()-1,60),ROW()-1,FALSE))</f>
        <v>76.183730890000007</v>
      </c>
      <c r="AX150">
        <f ca="1">IF(AND(ISNUMBER($AX$394),$B$258=1),$AX$394,HLOOKUP(INDIRECT(ADDRESS(2,COLUMN())),OFFSET($BN$2,0,0,ROW()-1,60),ROW()-1,FALSE))</f>
        <v>73.531201440000004</v>
      </c>
      <c r="AY150">
        <f ca="1">IF(AND(ISNUMBER($AY$394),$B$258=1),$AY$394,HLOOKUP(INDIRECT(ADDRESS(2,COLUMN())),OFFSET($BN$2,0,0,ROW()-1,60),ROW()-1,FALSE))</f>
        <v>74.140818159999995</v>
      </c>
      <c r="AZ150">
        <f ca="1">IF(AND(ISNUMBER($AZ$394),$B$258=1),$AZ$394,HLOOKUP(INDIRECT(ADDRESS(2,COLUMN())),OFFSET($BN$2,0,0,ROW()-1,60),ROW()-1,FALSE))</f>
        <v>80.289613149999994</v>
      </c>
      <c r="BA150">
        <f ca="1">IF(AND(ISNUMBER($BA$394),$B$258=1),$BA$394,HLOOKUP(INDIRECT(ADDRESS(2,COLUMN())),OFFSET($BN$2,0,0,ROW()-1,60),ROW()-1,FALSE))</f>
        <v>80.302326379999997</v>
      </c>
      <c r="BB150">
        <f ca="1">IF(AND(ISNUMBER($BB$394),$B$258=1),$BB$394,HLOOKUP(INDIRECT(ADDRESS(2,COLUMN())),OFFSET($BN$2,0,0,ROW()-1,60),ROW()-1,FALSE))</f>
        <v>81.114125939999994</v>
      </c>
      <c r="BC150">
        <f ca="1">IF(AND(ISNUMBER($BC$394),$B$258=1),$BC$394,HLOOKUP(INDIRECT(ADDRESS(2,COLUMN())),OFFSET($BN$2,0,0,ROW()-1,60),ROW()-1,FALSE))</f>
        <v>81.149695800000003</v>
      </c>
      <c r="BD150">
        <f ca="1">IF(AND(ISNUMBER($BD$394),$B$258=1),$BD$394,HLOOKUP(INDIRECT(ADDRESS(2,COLUMN())),OFFSET($BN$2,0,0,ROW()-1,60),ROW()-1,FALSE))</f>
        <v>81.206630200000006</v>
      </c>
      <c r="BE150">
        <f ca="1">IF(AND(ISNUMBER($BE$394),$B$258=1),$BE$394,HLOOKUP(INDIRECT(ADDRESS(2,COLUMN())),OFFSET($BN$2,0,0,ROW()-1,60),ROW()-1,FALSE))</f>
        <v>80.809036710000001</v>
      </c>
      <c r="BF150">
        <f ca="1">IF(AND(ISNUMBER($BF$394),$B$258=1),$BF$394,HLOOKUP(INDIRECT(ADDRESS(2,COLUMN())),OFFSET($BN$2,0,0,ROW()-1,60),ROW()-1,FALSE))</f>
        <v>81.200717519999998</v>
      </c>
      <c r="BG150">
        <f ca="1">IF(AND(ISNUMBER($BG$394),$B$258=1),$BG$394,HLOOKUP(INDIRECT(ADDRESS(2,COLUMN())),OFFSET($BN$2,0,0,ROW()-1,60),ROW()-1,FALSE))</f>
        <v>81.169160539999993</v>
      </c>
      <c r="BH150">
        <f ca="1">IF(AND(ISNUMBER($BH$394),$B$258=1),$BH$394,HLOOKUP(INDIRECT(ADDRESS(2,COLUMN())),OFFSET($BN$2,0,0,ROW()-1,60),ROW()-1,FALSE))</f>
        <v>88.159555889999993</v>
      </c>
      <c r="BI150">
        <f ca="1">IF(AND(ISNUMBER($BI$394),$B$258=1),$BI$394,HLOOKUP(INDIRECT(ADDRESS(2,COLUMN())),OFFSET($BN$2,0,0,ROW()-1,60),ROW()-1,FALSE))</f>
        <v>84.963521360000001</v>
      </c>
      <c r="BJ150">
        <f ca="1">IF(AND(ISNUMBER($BJ$394),$B$258=1),$BJ$394,HLOOKUP(INDIRECT(ADDRESS(2,COLUMN())),OFFSET($BN$2,0,0,ROW()-1,60),ROW()-1,FALSE))</f>
        <v>84.078858850000003</v>
      </c>
      <c r="BK150">
        <f ca="1">IF(AND(ISNUMBER($BK$394),$B$258=1),$BK$394,HLOOKUP(INDIRECT(ADDRESS(2,COLUMN())),OFFSET($BN$2,0,0,ROW()-1,60),ROW()-1,FALSE))</f>
        <v>76.829992579999995</v>
      </c>
      <c r="BL150">
        <f ca="1">IF(AND(ISNUMBER($BL$394),$B$258=1),$BL$394,HLOOKUP(INDIRECT(ADDRESS(2,COLUMN())),OFFSET($BN$2,0,0,ROW()-1,60),ROW()-1,FALSE))</f>
        <v>89.313894009999999</v>
      </c>
      <c r="BM150">
        <f ca="1">IF(AND(ISNUMBER($BM$394),$B$258=1),$BM$394,HLOOKUP(INDIRECT(ADDRESS(2,COLUMN())),OFFSET($BN$2,0,0,ROW()-1,60),ROW()-1,FALSE))</f>
        <v>89.406710889999999</v>
      </c>
      <c r="BN150" t="str">
        <f>""</f>
        <v/>
      </c>
      <c r="BO150">
        <f>30.83186128</f>
        <v>30.831861279999998</v>
      </c>
      <c r="BP150">
        <f>55.72999606</f>
        <v>55.729996059999998</v>
      </c>
      <c r="BQ150">
        <f>50.17279399</f>
        <v>50.172793990000002</v>
      </c>
      <c r="BR150">
        <f>63.66057931</f>
        <v>63.660579310000003</v>
      </c>
      <c r="BS150">
        <f>60.26502454</f>
        <v>60.265024539999999</v>
      </c>
      <c r="BT150">
        <f>64.58327602</f>
        <v>64.58327602</v>
      </c>
      <c r="BU150">
        <f>62.93739029</f>
        <v>62.937390290000003</v>
      </c>
      <c r="BV150">
        <f>68.78002191</f>
        <v>68.780021910000002</v>
      </c>
      <c r="BW150">
        <f>64.41896891</f>
        <v>64.418968910000004</v>
      </c>
      <c r="BX150">
        <f>60.42214513</f>
        <v>60.422145129999997</v>
      </c>
      <c r="BY150">
        <f>63.93144723</f>
        <v>63.931447230000003</v>
      </c>
      <c r="BZ150">
        <f>-3.614984504</f>
        <v>-3.6149845040000002</v>
      </c>
      <c r="CA150">
        <f>75.27057568</f>
        <v>75.270575679999993</v>
      </c>
      <c r="CB150">
        <f>79.99322872</f>
        <v>79.993228720000005</v>
      </c>
      <c r="CC150">
        <f>80.9766825</f>
        <v>80.976682499999995</v>
      </c>
      <c r="CD150">
        <f>82.5697369</f>
        <v>82.569736899999995</v>
      </c>
      <c r="CE150">
        <f>89.72726604</f>
        <v>89.727266040000003</v>
      </c>
      <c r="CF150">
        <f>77.77310013</f>
        <v>77.773100130000003</v>
      </c>
      <c r="CG150">
        <f>81.22477984</f>
        <v>81.224779839999997</v>
      </c>
      <c r="CH150">
        <f>83.08795624</f>
        <v>83.087956239999997</v>
      </c>
      <c r="CI150">
        <f>85.4463042</f>
        <v>85.4463042</v>
      </c>
      <c r="CJ150">
        <f>79.16746784</f>
        <v>79.16746784</v>
      </c>
      <c r="CK150">
        <f>81.57575231</f>
        <v>81.575752309999999</v>
      </c>
      <c r="CL150">
        <f>81.32559063</f>
        <v>81.325590629999994</v>
      </c>
      <c r="CM150">
        <f>58.12176372</f>
        <v>58.121763719999997</v>
      </c>
      <c r="CN150">
        <f>79.14846939</f>
        <v>79.148469390000002</v>
      </c>
      <c r="CO150">
        <f>83.11170294</f>
        <v>83.111702940000001</v>
      </c>
      <c r="CP150">
        <f>79.02170762</f>
        <v>79.021707620000001</v>
      </c>
      <c r="CQ150">
        <f>77.37223066</f>
        <v>77.37223066</v>
      </c>
      <c r="CR150">
        <f>51.69705629</f>
        <v>51.697056289999999</v>
      </c>
      <c r="CS150">
        <f>77.97248548</f>
        <v>77.972485480000003</v>
      </c>
      <c r="CT150">
        <f>79.30432128</f>
        <v>79.304321279999996</v>
      </c>
      <c r="CU150">
        <f>59.78157145</f>
        <v>59.781571450000001</v>
      </c>
      <c r="CV150">
        <f>35.24286929</f>
        <v>35.242869290000002</v>
      </c>
      <c r="CW150">
        <f>72.88547603</f>
        <v>72.885476030000007</v>
      </c>
      <c r="CX150">
        <f>75.03916826</f>
        <v>75.039168259999997</v>
      </c>
      <c r="CY150">
        <f>76.57910262</f>
        <v>76.57910262</v>
      </c>
      <c r="CZ150">
        <f>74.7031943</f>
        <v>74.703194300000007</v>
      </c>
      <c r="DA150">
        <f>73.77791177</f>
        <v>73.777911770000003</v>
      </c>
      <c r="DB150">
        <f>73.00086195</f>
        <v>73.000861950000001</v>
      </c>
      <c r="DC150">
        <f>74.89745596</f>
        <v>74.897455960000002</v>
      </c>
      <c r="DD150">
        <f>73.66768071</f>
        <v>73.667680709999999</v>
      </c>
      <c r="DE150">
        <f>76.18373089</f>
        <v>76.183730890000007</v>
      </c>
      <c r="DF150">
        <f>73.53120144</f>
        <v>73.531201440000004</v>
      </c>
      <c r="DG150">
        <f>74.14081816</f>
        <v>74.140818159999995</v>
      </c>
      <c r="DH150">
        <f>80.28961315</f>
        <v>80.289613149999994</v>
      </c>
      <c r="DI150">
        <f>80.30232638</f>
        <v>80.302326379999997</v>
      </c>
      <c r="DJ150">
        <f>81.11412594</f>
        <v>81.114125939999994</v>
      </c>
      <c r="DK150">
        <f>81.1496958</f>
        <v>81.149695800000003</v>
      </c>
      <c r="DL150">
        <f>81.2066302</f>
        <v>81.206630200000006</v>
      </c>
      <c r="DM150">
        <f>80.80903671</f>
        <v>80.809036710000001</v>
      </c>
      <c r="DN150">
        <f>81.20071752</f>
        <v>81.200717519999998</v>
      </c>
      <c r="DO150">
        <f>81.16916054</f>
        <v>81.169160539999993</v>
      </c>
      <c r="DP150">
        <f>88.15955589</f>
        <v>88.159555889999993</v>
      </c>
      <c r="DQ150">
        <f>84.96352136</f>
        <v>84.963521360000001</v>
      </c>
      <c r="DR150">
        <f>84.07885885</f>
        <v>84.078858850000003</v>
      </c>
      <c r="DS150">
        <f>76.82999258</f>
        <v>76.829992579999995</v>
      </c>
      <c r="DT150">
        <f>89.31389401</f>
        <v>89.313894009999999</v>
      </c>
      <c r="DU150">
        <f>89.40671089</f>
        <v>89.406710889999999</v>
      </c>
    </row>
    <row r="151" spans="1:125">
      <c r="A151" t="str">
        <f>"    Healthcare Realty Trust Inc"</f>
        <v xml:space="preserve">    Healthcare Realty Trust Inc</v>
      </c>
      <c r="B151" t="str">
        <f>"HR US Equity"</f>
        <v>HR US Equity</v>
      </c>
      <c r="C151" t="str">
        <f t="shared" si="36"/>
        <v>RX225</v>
      </c>
      <c r="D151" t="str">
        <f t="shared" si="37"/>
        <v>EBITDA_TO_REVENUE</v>
      </c>
      <c r="E151" t="str">
        <f t="shared" si="38"/>
        <v>动态</v>
      </c>
      <c r="F151" t="str">
        <f ca="1">IF(AND(ISNUMBER($F$395),$B$258=1),$F$395,HLOOKUP(INDIRECT(ADDRESS(2,COLUMN())),OFFSET($BN$2,0,0,ROW()-1,60),ROW()-1,FALSE))</f>
        <v/>
      </c>
      <c r="G151">
        <f ca="1">IF(AND(ISNUMBER($G$395),$B$258=1),$G$395,HLOOKUP(INDIRECT(ADDRESS(2,COLUMN())),OFFSET($BN$2,0,0,ROW()-1,60),ROW()-1,FALSE))</f>
        <v>54.381747130000001</v>
      </c>
      <c r="H151">
        <f ca="1">IF(AND(ISNUMBER($H$395),$B$258=1),$H$395,HLOOKUP(INDIRECT(ADDRESS(2,COLUMN())),OFFSET($BN$2,0,0,ROW()-1,60),ROW()-1,FALSE))</f>
        <v>47.214196889999997</v>
      </c>
      <c r="I151">
        <f ca="1">IF(AND(ISNUMBER($I$395),$B$258=1),$I$395,HLOOKUP(INDIRECT(ADDRESS(2,COLUMN())),OFFSET($BN$2,0,0,ROW()-1,60),ROW()-1,FALSE))</f>
        <v>56.096726689999997</v>
      </c>
      <c r="J151">
        <f ca="1">IF(AND(ISNUMBER($J$395),$B$258=1),$J$395,HLOOKUP(INDIRECT(ADDRESS(2,COLUMN())),OFFSET($BN$2,0,0,ROW()-1,60),ROW()-1,FALSE))</f>
        <v>55.864548769999999</v>
      </c>
      <c r="K151">
        <f ca="1">IF(AND(ISNUMBER($K$395),$B$258=1),$K$395,HLOOKUP(INDIRECT(ADDRESS(2,COLUMN())),OFFSET($BN$2,0,0,ROW()-1,60),ROW()-1,FALSE))</f>
        <v>57.168902940000002</v>
      </c>
      <c r="L151">
        <f ca="1">IF(AND(ISNUMBER($L$395),$B$258=1),$L$395,HLOOKUP(INDIRECT(ADDRESS(2,COLUMN())),OFFSET($BN$2,0,0,ROW()-1,60),ROW()-1,FALSE))</f>
        <v>56.298054200000003</v>
      </c>
      <c r="M151">
        <f ca="1">IF(AND(ISNUMBER($M$395),$B$258=1),$M$395,HLOOKUP(INDIRECT(ADDRESS(2,COLUMN())),OFFSET($BN$2,0,0,ROW()-1,60),ROW()-1,FALSE))</f>
        <v>57.429707139999998</v>
      </c>
      <c r="N151">
        <f ca="1">IF(AND(ISNUMBER($N$395),$B$258=1),$N$395,HLOOKUP(INDIRECT(ADDRESS(2,COLUMN())),OFFSET($BN$2,0,0,ROW()-1,60),ROW()-1,FALSE))</f>
        <v>55.214404969999997</v>
      </c>
      <c r="O151">
        <f ca="1">IF(AND(ISNUMBER($O$395),$B$258=1),$O$395,HLOOKUP(INDIRECT(ADDRESS(2,COLUMN())),OFFSET($BN$2,0,0,ROW()-1,60),ROW()-1,FALSE))</f>
        <v>56.182670260000002</v>
      </c>
      <c r="P151">
        <f ca="1">IF(AND(ISNUMBER($P$395),$B$258=1),$P$395,HLOOKUP(INDIRECT(ADDRESS(2,COLUMN())),OFFSET($BN$2,0,0,ROW()-1,60),ROW()-1,FALSE))</f>
        <v>57.610752130000002</v>
      </c>
      <c r="Q151">
        <f ca="1">IF(AND(ISNUMBER($Q$395),$B$258=1),$Q$395,HLOOKUP(INDIRECT(ADDRESS(2,COLUMN())),OFFSET($BN$2,0,0,ROW()-1,60),ROW()-1,FALSE))</f>
        <v>52.877735039999997</v>
      </c>
      <c r="R151">
        <f ca="1">IF(AND(ISNUMBER($R$395),$B$258=1),$R$395,HLOOKUP(INDIRECT(ADDRESS(2,COLUMN())),OFFSET($BN$2,0,0,ROW()-1,60),ROW()-1,FALSE))</f>
        <v>55.459484119999999</v>
      </c>
      <c r="S151">
        <f ca="1">IF(AND(ISNUMBER($S$395),$B$258=1),$S$395,HLOOKUP(INDIRECT(ADDRESS(2,COLUMN())),OFFSET($BN$2,0,0,ROW()-1,60),ROW()-1,FALSE))</f>
        <v>59.9</v>
      </c>
      <c r="T151">
        <f ca="1">IF(AND(ISNUMBER($T$395),$B$258=1),$T$395,HLOOKUP(INDIRECT(ADDRESS(2,COLUMN())),OFFSET($BN$2,0,0,ROW()-1,60),ROW()-1,FALSE))</f>
        <v>59.493873710000003</v>
      </c>
      <c r="U151">
        <f ca="1">IF(AND(ISNUMBER($U$395),$B$258=1),$U$395,HLOOKUP(INDIRECT(ADDRESS(2,COLUMN())),OFFSET($BN$2,0,0,ROW()-1,60),ROW()-1,FALSE))</f>
        <v>58.755767910000003</v>
      </c>
      <c r="V151">
        <f ca="1">IF(AND(ISNUMBER($V$395),$B$258=1),$V$395,HLOOKUP(INDIRECT(ADDRESS(2,COLUMN())),OFFSET($BN$2,0,0,ROW()-1,60),ROW()-1,FALSE))</f>
        <v>58.897439579999997</v>
      </c>
      <c r="W151">
        <f ca="1">IF(AND(ISNUMBER($W$395),$B$258=1),$W$395,HLOOKUP(INDIRECT(ADDRESS(2,COLUMN())),OFFSET($BN$2,0,0,ROW()-1,60),ROW()-1,FALSE))</f>
        <v>60.10471441</v>
      </c>
      <c r="X151">
        <f ca="1">IF(AND(ISNUMBER($X$395),$B$258=1),$X$395,HLOOKUP(INDIRECT(ADDRESS(2,COLUMN())),OFFSET($BN$2,0,0,ROW()-1,60),ROW()-1,FALSE))</f>
        <v>56.800851000000002</v>
      </c>
      <c r="Y151">
        <f ca="1">IF(AND(ISNUMBER($Y$395),$B$258=1),$Y$395,HLOOKUP(INDIRECT(ADDRESS(2,COLUMN())),OFFSET($BN$2,0,0,ROW()-1,60),ROW()-1,FALSE))</f>
        <v>56.605277559999998</v>
      </c>
      <c r="Z151">
        <f ca="1">IF(AND(ISNUMBER($Z$395),$B$258=1),$Z$395,HLOOKUP(INDIRECT(ADDRESS(2,COLUMN())),OFFSET($BN$2,0,0,ROW()-1,60),ROW()-1,FALSE))</f>
        <v>57.69685947</v>
      </c>
      <c r="AA151">
        <f ca="1">IF(AND(ISNUMBER($AA$395),$B$258=1),$AA$395,HLOOKUP(INDIRECT(ADDRESS(2,COLUMN())),OFFSET($BN$2,0,0,ROW()-1,60),ROW()-1,FALSE))</f>
        <v>24.81022364</v>
      </c>
      <c r="AB151">
        <f ca="1">IF(AND(ISNUMBER($AB$395),$B$258=1),$AB$395,HLOOKUP(INDIRECT(ADDRESS(2,COLUMN())),OFFSET($BN$2,0,0,ROW()-1,60),ROW()-1,FALSE))</f>
        <v>57.81353575</v>
      </c>
      <c r="AC151">
        <f ca="1">IF(AND(ISNUMBER($AC$395),$B$258=1),$AC$395,HLOOKUP(INDIRECT(ADDRESS(2,COLUMN())),OFFSET($BN$2,0,0,ROW()-1,60),ROW()-1,FALSE))</f>
        <v>58.710192929999998</v>
      </c>
      <c r="AD151">
        <f ca="1">IF(AND(ISNUMBER($AD$395),$B$258=1),$AD$395,HLOOKUP(INDIRECT(ADDRESS(2,COLUMN())),OFFSET($BN$2,0,0,ROW()-1,60),ROW()-1,FALSE))</f>
        <v>58.282675769999997</v>
      </c>
      <c r="AE151">
        <f ca="1">IF(AND(ISNUMBER($AE$395),$B$258=1),$AE$395,HLOOKUP(INDIRECT(ADDRESS(2,COLUMN())),OFFSET($BN$2,0,0,ROW()-1,60),ROW()-1,FALSE))</f>
        <v>59.837361639999997</v>
      </c>
      <c r="AF151">
        <f ca="1">IF(AND(ISNUMBER($AF$395),$B$258=1),$AF$395,HLOOKUP(INDIRECT(ADDRESS(2,COLUMN())),OFFSET($BN$2,0,0,ROW()-1,60),ROW()-1,FALSE))</f>
        <v>55.100824750000001</v>
      </c>
      <c r="AG151">
        <f ca="1">IF(AND(ISNUMBER($AG$395),$B$258=1),$AG$395,HLOOKUP(INDIRECT(ADDRESS(2,COLUMN())),OFFSET($BN$2,0,0,ROW()-1,60),ROW()-1,FALSE))</f>
        <v>56.46827554</v>
      </c>
      <c r="AH151">
        <f ca="1">IF(AND(ISNUMBER($AH$395),$B$258=1),$AH$395,HLOOKUP(INDIRECT(ADDRESS(2,COLUMN())),OFFSET($BN$2,0,0,ROW()-1,60),ROW()-1,FALSE))</f>
        <v>55.064996389999997</v>
      </c>
      <c r="AI151">
        <f ca="1">IF(AND(ISNUMBER($AI$395),$B$258=1),$AI$395,HLOOKUP(INDIRECT(ADDRESS(2,COLUMN())),OFFSET($BN$2,0,0,ROW()-1,60),ROW()-1,FALSE))</f>
        <v>56.223635049999999</v>
      </c>
      <c r="AJ151">
        <f ca="1">IF(AND(ISNUMBER($AJ$395),$B$258=1),$AJ$395,HLOOKUP(INDIRECT(ADDRESS(2,COLUMN())),OFFSET($BN$2,0,0,ROW()-1,60),ROW()-1,FALSE))</f>
        <v>52.049326729999997</v>
      </c>
      <c r="AK151">
        <f ca="1">IF(AND(ISNUMBER($AK$395),$B$258=1),$AK$395,HLOOKUP(INDIRECT(ADDRESS(2,COLUMN())),OFFSET($BN$2,0,0,ROW()-1,60),ROW()-1,FALSE))</f>
        <v>59.011496049999998</v>
      </c>
      <c r="AL151">
        <f ca="1">IF(AND(ISNUMBER($AL$395),$B$258=1),$AL$395,HLOOKUP(INDIRECT(ADDRESS(2,COLUMN())),OFFSET($BN$2,0,0,ROW()-1,60),ROW()-1,FALSE))</f>
        <v>56.531263389999999</v>
      </c>
      <c r="AM151">
        <f ca="1">IF(AND(ISNUMBER($AM$395),$B$258=1),$AM$395,HLOOKUP(INDIRECT(ADDRESS(2,COLUMN())),OFFSET($BN$2,0,0,ROW()-1,60),ROW()-1,FALSE))</f>
        <v>55.311785729999997</v>
      </c>
      <c r="AN151">
        <f ca="1">IF(AND(ISNUMBER($AN$395),$B$258=1),$AN$395,HLOOKUP(INDIRECT(ADDRESS(2,COLUMN())),OFFSET($BN$2,0,0,ROW()-1,60),ROW()-1,FALSE))</f>
        <v>55.758956499999996</v>
      </c>
      <c r="AO151">
        <f ca="1">IF(AND(ISNUMBER($AO$395),$B$258=1),$AO$395,HLOOKUP(INDIRECT(ADDRESS(2,COLUMN())),OFFSET($BN$2,0,0,ROW()-1,60),ROW()-1,FALSE))</f>
        <v>56.012332989999997</v>
      </c>
      <c r="AP151">
        <f ca="1">IF(AND(ISNUMBER($AP$395),$B$258=1),$AP$395,HLOOKUP(INDIRECT(ADDRESS(2,COLUMN())),OFFSET($BN$2,0,0,ROW()-1,60),ROW()-1,FALSE))</f>
        <v>52.133090690000003</v>
      </c>
      <c r="AQ151">
        <f ca="1">IF(AND(ISNUMBER($AQ$395),$B$258=1),$AQ$395,HLOOKUP(INDIRECT(ADDRESS(2,COLUMN())),OFFSET($BN$2,0,0,ROW()-1,60),ROW()-1,FALSE))</f>
        <v>46.168265519999999</v>
      </c>
      <c r="AR151">
        <f ca="1">IF(AND(ISNUMBER($AR$395),$B$258=1),$AR$395,HLOOKUP(INDIRECT(ADDRESS(2,COLUMN())),OFFSET($BN$2,0,0,ROW()-1,60),ROW()-1,FALSE))</f>
        <v>50.64381607</v>
      </c>
      <c r="AS151">
        <f ca="1">IF(AND(ISNUMBER($AS$395),$B$258=1),$AS$395,HLOOKUP(INDIRECT(ADDRESS(2,COLUMN())),OFFSET($BN$2,0,0,ROW()-1,60),ROW()-1,FALSE))</f>
        <v>54.166904119999998</v>
      </c>
      <c r="AT151">
        <f ca="1">IF(AND(ISNUMBER($AT$395),$B$258=1),$AT$395,HLOOKUP(INDIRECT(ADDRESS(2,COLUMN())),OFFSET($BN$2,0,0,ROW()-1,60),ROW()-1,FALSE))</f>
        <v>55.181793800000001</v>
      </c>
      <c r="AU151">
        <f ca="1">IF(AND(ISNUMBER($AU$395),$B$258=1),$AU$395,HLOOKUP(INDIRECT(ADDRESS(2,COLUMN())),OFFSET($BN$2,0,0,ROW()-1,60),ROW()-1,FALSE))</f>
        <v>56.128202129999998</v>
      </c>
      <c r="AV151">
        <f ca="1">IF(AND(ISNUMBER($AV$395),$B$258=1),$AV$395,HLOOKUP(INDIRECT(ADDRESS(2,COLUMN())),OFFSET($BN$2,0,0,ROW()-1,60),ROW()-1,FALSE))</f>
        <v>56.297675890000001</v>
      </c>
      <c r="AW151">
        <f ca="1">IF(AND(ISNUMBER($AW$395),$B$258=1),$AW$395,HLOOKUP(INDIRECT(ADDRESS(2,COLUMN())),OFFSET($BN$2,0,0,ROW()-1,60),ROW()-1,FALSE))</f>
        <v>55.854719109999998</v>
      </c>
      <c r="AX151">
        <f ca="1">IF(AND(ISNUMBER($AX$395),$B$258=1),$AX$395,HLOOKUP(INDIRECT(ADDRESS(2,COLUMN())),OFFSET($BN$2,0,0,ROW()-1,60),ROW()-1,FALSE))</f>
        <v>58.551319309999997</v>
      </c>
      <c r="AY151">
        <f ca="1">IF(AND(ISNUMBER($AY$395),$B$258=1),$AY$395,HLOOKUP(INDIRECT(ADDRESS(2,COLUMN())),OFFSET($BN$2,0,0,ROW()-1,60),ROW()-1,FALSE))</f>
        <v>63.781338499999997</v>
      </c>
      <c r="AZ151">
        <f ca="1">IF(AND(ISNUMBER($AZ$395),$B$258=1),$AZ$395,HLOOKUP(INDIRECT(ADDRESS(2,COLUMN())),OFFSET($BN$2,0,0,ROW()-1,60),ROW()-1,FALSE))</f>
        <v>66.502726199999998</v>
      </c>
      <c r="BA151">
        <f ca="1">IF(AND(ISNUMBER($BA$395),$B$258=1),$BA$395,HLOOKUP(INDIRECT(ADDRESS(2,COLUMN())),OFFSET($BN$2,0,0,ROW()-1,60),ROW()-1,FALSE))</f>
        <v>62.592612920000001</v>
      </c>
      <c r="BB151">
        <f ca="1">IF(AND(ISNUMBER($BB$395),$B$258=1),$BB$395,HLOOKUP(INDIRECT(ADDRESS(2,COLUMN())),OFFSET($BN$2,0,0,ROW()-1,60),ROW()-1,FALSE))</f>
        <v>63.792571449999997</v>
      </c>
      <c r="BC151">
        <f ca="1">IF(AND(ISNUMBER($BC$395),$B$258=1),$BC$395,HLOOKUP(INDIRECT(ADDRESS(2,COLUMN())),OFFSET($BN$2,0,0,ROW()-1,60),ROW()-1,FALSE))</f>
        <v>53.115278910000001</v>
      </c>
      <c r="BD151">
        <f ca="1">IF(AND(ISNUMBER($BD$395),$B$258=1),$BD$395,HLOOKUP(INDIRECT(ADDRESS(2,COLUMN())),OFFSET($BN$2,0,0,ROW()-1,60),ROW()-1,FALSE))</f>
        <v>59.651927639999997</v>
      </c>
      <c r="BE151">
        <f ca="1">IF(AND(ISNUMBER($BE$395),$B$258=1),$BE$395,HLOOKUP(INDIRECT(ADDRESS(2,COLUMN())),OFFSET($BN$2,0,0,ROW()-1,60),ROW()-1,FALSE))</f>
        <v>59.276553870000001</v>
      </c>
      <c r="BF151">
        <f ca="1">IF(AND(ISNUMBER($BF$395),$B$258=1),$BF$395,HLOOKUP(INDIRECT(ADDRESS(2,COLUMN())),OFFSET($BN$2,0,0,ROW()-1,60),ROW()-1,FALSE))</f>
        <v>63.293885930000002</v>
      </c>
      <c r="BG151">
        <f ca="1">IF(AND(ISNUMBER($BG$395),$B$258=1),$BG$395,HLOOKUP(INDIRECT(ADDRESS(2,COLUMN())),OFFSET($BN$2,0,0,ROW()-1,60),ROW()-1,FALSE))</f>
        <v>46.048841770000003</v>
      </c>
      <c r="BH151">
        <f ca="1">IF(AND(ISNUMBER($BH$395),$B$258=1),$BH$395,HLOOKUP(INDIRECT(ADDRESS(2,COLUMN())),OFFSET($BN$2,0,0,ROW()-1,60),ROW()-1,FALSE))</f>
        <v>66.435835679999997</v>
      </c>
      <c r="BI151">
        <f ca="1">IF(AND(ISNUMBER($BI$395),$B$258=1),$BI$395,HLOOKUP(INDIRECT(ADDRESS(2,COLUMN())),OFFSET($BN$2,0,0,ROW()-1,60),ROW()-1,FALSE))</f>
        <v>67.088517089999996</v>
      </c>
      <c r="BJ151">
        <f ca="1">IF(AND(ISNUMBER($BJ$395),$B$258=1),$BJ$395,HLOOKUP(INDIRECT(ADDRESS(2,COLUMN())),OFFSET($BN$2,0,0,ROW()-1,60),ROW()-1,FALSE))</f>
        <v>67.457064389999999</v>
      </c>
      <c r="BK151">
        <f ca="1">IF(AND(ISNUMBER($BK$395),$B$258=1),$BK$395,HLOOKUP(INDIRECT(ADDRESS(2,COLUMN())),OFFSET($BN$2,0,0,ROW()-1,60),ROW()-1,FALSE))</f>
        <v>52.125330890000001</v>
      </c>
      <c r="BL151">
        <f ca="1">IF(AND(ISNUMBER($BL$395),$B$258=1),$BL$395,HLOOKUP(INDIRECT(ADDRESS(2,COLUMN())),OFFSET($BN$2,0,0,ROW()-1,60),ROW()-1,FALSE))</f>
        <v>77.127882339999999</v>
      </c>
      <c r="BM151">
        <f ca="1">IF(AND(ISNUMBER($BM$395),$B$258=1),$BM$395,HLOOKUP(INDIRECT(ADDRESS(2,COLUMN())),OFFSET($BN$2,0,0,ROW()-1,60),ROW()-1,FALSE))</f>
        <v>77.058009949999999</v>
      </c>
      <c r="BN151" t="str">
        <f>""</f>
        <v/>
      </c>
      <c r="BO151">
        <f>54.38174713</f>
        <v>54.381747130000001</v>
      </c>
      <c r="BP151">
        <f>47.21419689</f>
        <v>47.214196889999997</v>
      </c>
      <c r="BQ151">
        <f>56.09672669</f>
        <v>56.096726689999997</v>
      </c>
      <c r="BR151">
        <f>55.86454877</f>
        <v>55.864548769999999</v>
      </c>
      <c r="BS151">
        <f>57.16890294</f>
        <v>57.168902940000002</v>
      </c>
      <c r="BT151">
        <f>56.2980542</f>
        <v>56.298054200000003</v>
      </c>
      <c r="BU151">
        <f>57.42970714</f>
        <v>57.429707139999998</v>
      </c>
      <c r="BV151">
        <f>55.21440497</f>
        <v>55.214404969999997</v>
      </c>
      <c r="BW151">
        <f>56.18267026</f>
        <v>56.182670260000002</v>
      </c>
      <c r="BX151">
        <f>57.61075213</f>
        <v>57.610752130000002</v>
      </c>
      <c r="BY151">
        <f>52.87773504</f>
        <v>52.877735039999997</v>
      </c>
      <c r="BZ151">
        <f>55.45948412</f>
        <v>55.459484119999999</v>
      </c>
      <c r="CA151">
        <f>59.9</f>
        <v>59.9</v>
      </c>
      <c r="CB151">
        <f>59.49387371</f>
        <v>59.493873710000003</v>
      </c>
      <c r="CC151">
        <f>58.75576791</f>
        <v>58.755767910000003</v>
      </c>
      <c r="CD151">
        <f>58.89743958</f>
        <v>58.897439579999997</v>
      </c>
      <c r="CE151">
        <f>60.10471441</f>
        <v>60.10471441</v>
      </c>
      <c r="CF151">
        <f>56.800851</f>
        <v>56.800851000000002</v>
      </c>
      <c r="CG151">
        <f>56.60527756</f>
        <v>56.605277559999998</v>
      </c>
      <c r="CH151">
        <f>57.69685947</f>
        <v>57.69685947</v>
      </c>
      <c r="CI151">
        <f>24.81022364</f>
        <v>24.81022364</v>
      </c>
      <c r="CJ151">
        <f>57.81353575</f>
        <v>57.81353575</v>
      </c>
      <c r="CK151">
        <f>58.71019293</f>
        <v>58.710192929999998</v>
      </c>
      <c r="CL151">
        <f>58.28267577</f>
        <v>58.282675769999997</v>
      </c>
      <c r="CM151">
        <f>59.83736164</f>
        <v>59.837361639999997</v>
      </c>
      <c r="CN151">
        <f>55.10082475</f>
        <v>55.100824750000001</v>
      </c>
      <c r="CO151">
        <f>56.46827554</f>
        <v>56.46827554</v>
      </c>
      <c r="CP151">
        <f>55.06499639</f>
        <v>55.064996389999997</v>
      </c>
      <c r="CQ151">
        <f>56.22363505</f>
        <v>56.223635049999999</v>
      </c>
      <c r="CR151">
        <f>52.04932673</f>
        <v>52.049326729999997</v>
      </c>
      <c r="CS151">
        <f>59.01149605</f>
        <v>59.011496049999998</v>
      </c>
      <c r="CT151">
        <f>56.53126339</f>
        <v>56.531263389999999</v>
      </c>
      <c r="CU151">
        <f>55.31178573</f>
        <v>55.311785729999997</v>
      </c>
      <c r="CV151">
        <f>55.7589565</f>
        <v>55.758956499999996</v>
      </c>
      <c r="CW151">
        <f>56.01233299</f>
        <v>56.012332989999997</v>
      </c>
      <c r="CX151">
        <f>52.13309069</f>
        <v>52.133090690000003</v>
      </c>
      <c r="CY151">
        <f>46.16826552</f>
        <v>46.168265519999999</v>
      </c>
      <c r="CZ151">
        <f>50.64381607</f>
        <v>50.64381607</v>
      </c>
      <c r="DA151">
        <f>54.16690412</f>
        <v>54.166904119999998</v>
      </c>
      <c r="DB151">
        <f>55.1817938</f>
        <v>55.181793800000001</v>
      </c>
      <c r="DC151">
        <f>56.12820213</f>
        <v>56.128202129999998</v>
      </c>
      <c r="DD151">
        <f>56.29767589</f>
        <v>56.297675890000001</v>
      </c>
      <c r="DE151">
        <f>55.85471911</f>
        <v>55.854719109999998</v>
      </c>
      <c r="DF151">
        <f>58.55131931</f>
        <v>58.551319309999997</v>
      </c>
      <c r="DG151">
        <f>63.7813385</f>
        <v>63.781338499999997</v>
      </c>
      <c r="DH151">
        <f>66.5027262</f>
        <v>66.502726199999998</v>
      </c>
      <c r="DI151">
        <f>62.59261292</f>
        <v>62.592612920000001</v>
      </c>
      <c r="DJ151">
        <f>63.79257145</f>
        <v>63.792571449999997</v>
      </c>
      <c r="DK151">
        <f>53.11527891</f>
        <v>53.115278910000001</v>
      </c>
      <c r="DL151">
        <f>59.65192764</f>
        <v>59.651927639999997</v>
      </c>
      <c r="DM151">
        <f>59.27655387</f>
        <v>59.276553870000001</v>
      </c>
      <c r="DN151">
        <f>63.29388593</f>
        <v>63.293885930000002</v>
      </c>
      <c r="DO151">
        <f>46.04884177</f>
        <v>46.048841770000003</v>
      </c>
      <c r="DP151">
        <f>66.43583568</f>
        <v>66.435835679999997</v>
      </c>
      <c r="DQ151">
        <f>67.08851709</f>
        <v>67.088517089999996</v>
      </c>
      <c r="DR151">
        <f>67.45706439</f>
        <v>67.457064389999999</v>
      </c>
      <c r="DS151">
        <f>52.12533089</f>
        <v>52.125330890000001</v>
      </c>
      <c r="DT151">
        <f>77.12788234</f>
        <v>77.127882339999999</v>
      </c>
      <c r="DU151">
        <f>77.05800995</f>
        <v>77.058009949999999</v>
      </c>
    </row>
    <row r="152" spans="1:125">
      <c r="A152" t="str">
        <f>"    Healthcare Trust of America In"</f>
        <v xml:space="preserve">    Healthcare Trust of America In</v>
      </c>
      <c r="B152" t="str">
        <f>"HTA US Equity"</f>
        <v>HTA US Equity</v>
      </c>
      <c r="C152" t="str">
        <f t="shared" si="36"/>
        <v>RX225</v>
      </c>
      <c r="D152" t="str">
        <f t="shared" si="37"/>
        <v>EBITDA_TO_REVENUE</v>
      </c>
      <c r="E152" t="str">
        <f t="shared" si="38"/>
        <v>动态</v>
      </c>
      <c r="F152" t="str">
        <f ca="1">IF(AND(ISNUMBER($F$396),$B$258=1),$F$396,HLOOKUP(INDIRECT(ADDRESS(2,COLUMN())),OFFSET($BN$2,0,0,ROW()-1,60),ROW()-1,FALSE))</f>
        <v/>
      </c>
      <c r="G152">
        <f ca="1">IF(AND(ISNUMBER($G$396),$B$258=1),$G$396,HLOOKUP(INDIRECT(ADDRESS(2,COLUMN())),OFFSET($BN$2,0,0,ROW()-1,60),ROW()-1,FALSE))</f>
        <v>58.167117449999999</v>
      </c>
      <c r="H152">
        <f ca="1">IF(AND(ISNUMBER($H$396),$B$258=1),$H$396,HLOOKUP(INDIRECT(ADDRESS(2,COLUMN())),OFFSET($BN$2,0,0,ROW()-1,60),ROW()-1,FALSE))</f>
        <v>62.018591540000003</v>
      </c>
      <c r="I152">
        <f ca="1">IF(AND(ISNUMBER($I$396),$B$258=1),$I$396,HLOOKUP(INDIRECT(ADDRESS(2,COLUMN())),OFFSET($BN$2,0,0,ROW()-1,60),ROW()-1,FALSE))</f>
        <v>54.824526910000003</v>
      </c>
      <c r="J152">
        <f ca="1">IF(AND(ISNUMBER($J$396),$B$258=1),$J$396,HLOOKUP(INDIRECT(ADDRESS(2,COLUMN())),OFFSET($BN$2,0,0,ROW()-1,60),ROW()-1,FALSE))</f>
        <v>60.9399503</v>
      </c>
      <c r="K152">
        <f ca="1">IF(AND(ISNUMBER($K$396),$B$258=1),$K$396,HLOOKUP(INDIRECT(ADDRESS(2,COLUMN())),OFFSET($BN$2,0,0,ROW()-1,60),ROW()-1,FALSE))</f>
        <v>58.336269549999997</v>
      </c>
      <c r="L152">
        <f ca="1">IF(AND(ISNUMBER($L$396),$B$258=1),$L$396,HLOOKUP(INDIRECT(ADDRESS(2,COLUMN())),OFFSET($BN$2,0,0,ROW()-1,60),ROW()-1,FALSE))</f>
        <v>61.299645089999999</v>
      </c>
      <c r="M152">
        <f ca="1">IF(AND(ISNUMBER($M$396),$B$258=1),$M$396,HLOOKUP(INDIRECT(ADDRESS(2,COLUMN())),OFFSET($BN$2,0,0,ROW()-1,60),ROW()-1,FALSE))</f>
        <v>60.786512879999997</v>
      </c>
      <c r="N152">
        <f ca="1">IF(AND(ISNUMBER($N$396),$B$258=1),$N$396,HLOOKUP(INDIRECT(ADDRESS(2,COLUMN())),OFFSET($BN$2,0,0,ROW()-1,60),ROW()-1,FALSE))</f>
        <v>60.232959049999998</v>
      </c>
      <c r="O152">
        <f ca="1">IF(AND(ISNUMBER($O$396),$B$258=1),$O$396,HLOOKUP(INDIRECT(ADDRESS(2,COLUMN())),OFFSET($BN$2,0,0,ROW()-1,60),ROW()-1,FALSE))</f>
        <v>61.732109080000001</v>
      </c>
      <c r="P152">
        <f ca="1">IF(AND(ISNUMBER($P$396),$B$258=1),$P$396,HLOOKUP(INDIRECT(ADDRESS(2,COLUMN())),OFFSET($BN$2,0,0,ROW()-1,60),ROW()-1,FALSE))</f>
        <v>59.67077793</v>
      </c>
      <c r="Q152">
        <f ca="1">IF(AND(ISNUMBER($Q$396),$B$258=1),$Q$396,HLOOKUP(INDIRECT(ADDRESS(2,COLUMN())),OFFSET($BN$2,0,0,ROW()-1,60),ROW()-1,FALSE))</f>
        <v>61.51785804</v>
      </c>
      <c r="R152">
        <f ca="1">IF(AND(ISNUMBER($R$396),$B$258=1),$R$396,HLOOKUP(INDIRECT(ADDRESS(2,COLUMN())),OFFSET($BN$2,0,0,ROW()-1,60),ROW()-1,FALSE))</f>
        <v>59.971579370000001</v>
      </c>
      <c r="S152">
        <f ca="1">IF(AND(ISNUMBER($S$396),$B$258=1),$S$396,HLOOKUP(INDIRECT(ADDRESS(2,COLUMN())),OFFSET($BN$2,0,0,ROW()-1,60),ROW()-1,FALSE))</f>
        <v>61.995241900000003</v>
      </c>
      <c r="T152">
        <f ca="1">IF(AND(ISNUMBER($T$396),$B$258=1),$T$396,HLOOKUP(INDIRECT(ADDRESS(2,COLUMN())),OFFSET($BN$2,0,0,ROW()-1,60),ROW()-1,FALSE))</f>
        <v>59.295120060000002</v>
      </c>
      <c r="U152">
        <f ca="1">IF(AND(ISNUMBER($U$396),$B$258=1),$U$396,HLOOKUP(INDIRECT(ADDRESS(2,COLUMN())),OFFSET($BN$2,0,0,ROW()-1,60),ROW()-1,FALSE))</f>
        <v>56.999475859999997</v>
      </c>
      <c r="V152">
        <f ca="1">IF(AND(ISNUMBER($V$396),$B$258=1),$V$396,HLOOKUP(INDIRECT(ADDRESS(2,COLUMN())),OFFSET($BN$2,0,0,ROW()-1,60),ROW()-1,FALSE))</f>
        <v>58.71484272</v>
      </c>
      <c r="W152">
        <f ca="1">IF(AND(ISNUMBER($W$396),$B$258=1),$W$396,HLOOKUP(INDIRECT(ADDRESS(2,COLUMN())),OFFSET($BN$2,0,0,ROW()-1,60),ROW()-1,FALSE))</f>
        <v>59.324632719999997</v>
      </c>
      <c r="X152">
        <f ca="1">IF(AND(ISNUMBER($X$396),$B$258=1),$X$396,HLOOKUP(INDIRECT(ADDRESS(2,COLUMN())),OFFSET($BN$2,0,0,ROW()-1,60),ROW()-1,FALSE))</f>
        <v>59.21905477</v>
      </c>
      <c r="Y152">
        <f ca="1">IF(AND(ISNUMBER($Y$396),$B$258=1),$Y$396,HLOOKUP(INDIRECT(ADDRESS(2,COLUMN())),OFFSET($BN$2,0,0,ROW()-1,60),ROW()-1,FALSE))</f>
        <v>61.256827790000003</v>
      </c>
      <c r="Z152">
        <f ca="1">IF(AND(ISNUMBER($Z$396),$B$258=1),$Z$396,HLOOKUP(INDIRECT(ADDRESS(2,COLUMN())),OFFSET($BN$2,0,0,ROW()-1,60),ROW()-1,FALSE))</f>
        <v>53.365165689999998</v>
      </c>
      <c r="AA152">
        <f ca="1">IF(AND(ISNUMBER($AA$396),$B$258=1),$AA$396,HLOOKUP(INDIRECT(ADDRESS(2,COLUMN())),OFFSET($BN$2,0,0,ROW()-1,60),ROW()-1,FALSE))</f>
        <v>52.265396389999999</v>
      </c>
      <c r="AB152">
        <f ca="1">IF(AND(ISNUMBER($AB$396),$B$258=1),$AB$396,HLOOKUP(INDIRECT(ADDRESS(2,COLUMN())),OFFSET($BN$2,0,0,ROW()-1,60),ROW()-1,FALSE))</f>
        <v>51.500025800000003</v>
      </c>
      <c r="AC152">
        <f ca="1">IF(AND(ISNUMBER($AC$396),$B$258=1),$AC$396,HLOOKUP(INDIRECT(ADDRESS(2,COLUMN())),OFFSET($BN$2,0,0,ROW()-1,60),ROW()-1,FALSE))</f>
        <v>37.543099460000001</v>
      </c>
      <c r="AD152">
        <f ca="1">IF(AND(ISNUMBER($AD$396),$B$258=1),$AD$396,HLOOKUP(INDIRECT(ADDRESS(2,COLUMN())),OFFSET($BN$2,0,0,ROW()-1,60),ROW()-1,FALSE))</f>
        <v>52.585035939999997</v>
      </c>
      <c r="AE152">
        <f ca="1">IF(AND(ISNUMBER($AE$396),$B$258=1),$AE$396,HLOOKUP(INDIRECT(ADDRESS(2,COLUMN())),OFFSET($BN$2,0,0,ROW()-1,60),ROW()-1,FALSE))</f>
        <v>45.179454309999997</v>
      </c>
      <c r="AF152">
        <f ca="1">IF(AND(ISNUMBER($AF$396),$B$258=1),$AF$396,HLOOKUP(INDIRECT(ADDRESS(2,COLUMN())),OFFSET($BN$2,0,0,ROW()-1,60),ROW()-1,FALSE))</f>
        <v>49.971404059999998</v>
      </c>
      <c r="AG152">
        <f ca="1">IF(AND(ISNUMBER($AG$396),$B$258=1),$AG$396,HLOOKUP(INDIRECT(ADDRESS(2,COLUMN())),OFFSET($BN$2,0,0,ROW()-1,60),ROW()-1,FALSE))</f>
        <v>59.131239530000002</v>
      </c>
      <c r="AH152">
        <f ca="1">IF(AND(ISNUMBER($AH$396),$B$258=1),$AH$396,HLOOKUP(INDIRECT(ADDRESS(2,COLUMN())),OFFSET($BN$2,0,0,ROW()-1,60),ROW()-1,FALSE))</f>
        <v>50.657337920000003</v>
      </c>
      <c r="AI152">
        <f ca="1">IF(AND(ISNUMBER($AI$396),$B$258=1),$AI$396,HLOOKUP(INDIRECT(ADDRESS(2,COLUMN())),OFFSET($BN$2,0,0,ROW()-1,60),ROW()-1,FALSE))</f>
        <v>42.689317109999998</v>
      </c>
      <c r="AJ152">
        <f ca="1">IF(AND(ISNUMBER($AJ$396),$B$258=1),$AJ$396,HLOOKUP(INDIRECT(ADDRESS(2,COLUMN())),OFFSET($BN$2,0,0,ROW()-1,60),ROW()-1,FALSE))</f>
        <v>51.908716849999998</v>
      </c>
      <c r="AK152">
        <f ca="1">IF(AND(ISNUMBER($AK$396),$B$258=1),$AK$396,HLOOKUP(INDIRECT(ADDRESS(2,COLUMN())),OFFSET($BN$2,0,0,ROW()-1,60),ROW()-1,FALSE))</f>
        <v>41.330983189999998</v>
      </c>
      <c r="AL152">
        <f ca="1">IF(AND(ISNUMBER($AL$396),$B$258=1),$AL$396,HLOOKUP(INDIRECT(ADDRESS(2,COLUMN())),OFFSET($BN$2,0,0,ROW()-1,60),ROW()-1,FALSE))</f>
        <v>58.752336030000002</v>
      </c>
      <c r="AM152" t="str">
        <f ca="1">IF(AND(ISNUMBER($AM$396),$B$258=1),$AM$396,HLOOKUP(INDIRECT(ADDRESS(2,COLUMN())),OFFSET($BN$2,0,0,ROW()-1,60),ROW()-1,FALSE))</f>
        <v/>
      </c>
      <c r="AN152" t="str">
        <f ca="1">IF(AND(ISNUMBER($AN$396),$B$258=1),$AN$396,HLOOKUP(INDIRECT(ADDRESS(2,COLUMN())),OFFSET($BN$2,0,0,ROW()-1,60),ROW()-1,FALSE))</f>
        <v/>
      </c>
      <c r="AO152" t="str">
        <f ca="1">IF(AND(ISNUMBER($AO$396),$B$258=1),$AO$396,HLOOKUP(INDIRECT(ADDRESS(2,COLUMN())),OFFSET($BN$2,0,0,ROW()-1,60),ROW()-1,FALSE))</f>
        <v/>
      </c>
      <c r="AP152" t="str">
        <f ca="1">IF(AND(ISNUMBER($AP$396),$B$258=1),$AP$396,HLOOKUP(INDIRECT(ADDRESS(2,COLUMN())),OFFSET($BN$2,0,0,ROW()-1,60),ROW()-1,FALSE))</f>
        <v/>
      </c>
      <c r="AQ152" t="str">
        <f ca="1">IF(AND(ISNUMBER($AQ$396),$B$258=1),$AQ$396,HLOOKUP(INDIRECT(ADDRESS(2,COLUMN())),OFFSET($BN$2,0,0,ROW()-1,60),ROW()-1,FALSE))</f>
        <v/>
      </c>
      <c r="AR152" t="str">
        <f ca="1">IF(AND(ISNUMBER($AR$396),$B$258=1),$AR$396,HLOOKUP(INDIRECT(ADDRESS(2,COLUMN())),OFFSET($BN$2,0,0,ROW()-1,60),ROW()-1,FALSE))</f>
        <v/>
      </c>
      <c r="AS152" t="str">
        <f ca="1">IF(AND(ISNUMBER($AS$396),$B$258=1),$AS$396,HLOOKUP(INDIRECT(ADDRESS(2,COLUMN())),OFFSET($BN$2,0,0,ROW()-1,60),ROW()-1,FALSE))</f>
        <v/>
      </c>
      <c r="AT152" t="str">
        <f ca="1">IF(AND(ISNUMBER($AT$396),$B$258=1),$AT$396,HLOOKUP(INDIRECT(ADDRESS(2,COLUMN())),OFFSET($BN$2,0,0,ROW()-1,60),ROW()-1,FALSE))</f>
        <v/>
      </c>
      <c r="AU152" t="str">
        <f ca="1">IF(AND(ISNUMBER($AU$396),$B$258=1),$AU$396,HLOOKUP(INDIRECT(ADDRESS(2,COLUMN())),OFFSET($BN$2,0,0,ROW()-1,60),ROW()-1,FALSE))</f>
        <v/>
      </c>
      <c r="AV152" t="str">
        <f ca="1">IF(AND(ISNUMBER($AV$396),$B$258=1),$AV$396,HLOOKUP(INDIRECT(ADDRESS(2,COLUMN())),OFFSET($BN$2,0,0,ROW()-1,60),ROW()-1,FALSE))</f>
        <v/>
      </c>
      <c r="AW152" t="str">
        <f ca="1">IF(AND(ISNUMBER($AW$396),$B$258=1),$AW$396,HLOOKUP(INDIRECT(ADDRESS(2,COLUMN())),OFFSET($BN$2,0,0,ROW()-1,60),ROW()-1,FALSE))</f>
        <v/>
      </c>
      <c r="AX152" t="str">
        <f ca="1">IF(AND(ISNUMBER($AX$396),$B$258=1),$AX$396,HLOOKUP(INDIRECT(ADDRESS(2,COLUMN())),OFFSET($BN$2,0,0,ROW()-1,60),ROW()-1,FALSE))</f>
        <v/>
      </c>
      <c r="AY152" t="str">
        <f ca="1">IF(AND(ISNUMBER($AY$396),$B$258=1),$AY$396,HLOOKUP(INDIRECT(ADDRESS(2,COLUMN())),OFFSET($BN$2,0,0,ROW()-1,60),ROW()-1,FALSE))</f>
        <v/>
      </c>
      <c r="AZ152" t="str">
        <f ca="1">IF(AND(ISNUMBER($AZ$396),$B$258=1),$AZ$396,HLOOKUP(INDIRECT(ADDRESS(2,COLUMN())),OFFSET($BN$2,0,0,ROW()-1,60),ROW()-1,FALSE))</f>
        <v/>
      </c>
      <c r="BA152" t="str">
        <f ca="1">IF(AND(ISNUMBER($BA$396),$B$258=1),$BA$396,HLOOKUP(INDIRECT(ADDRESS(2,COLUMN())),OFFSET($BN$2,0,0,ROW()-1,60),ROW()-1,FALSE))</f>
        <v/>
      </c>
      <c r="BB152" t="str">
        <f ca="1">IF(AND(ISNUMBER($BB$396),$B$258=1),$BB$396,HLOOKUP(INDIRECT(ADDRESS(2,COLUMN())),OFFSET($BN$2,0,0,ROW()-1,60),ROW()-1,FALSE))</f>
        <v/>
      </c>
      <c r="BC152" t="str">
        <f ca="1">IF(AND(ISNUMBER($BC$396),$B$258=1),$BC$396,HLOOKUP(INDIRECT(ADDRESS(2,COLUMN())),OFFSET($BN$2,0,0,ROW()-1,60),ROW()-1,FALSE))</f>
        <v/>
      </c>
      <c r="BD152" t="str">
        <f ca="1">IF(AND(ISNUMBER($BD$396),$B$258=1),$BD$396,HLOOKUP(INDIRECT(ADDRESS(2,COLUMN())),OFFSET($BN$2,0,0,ROW()-1,60),ROW()-1,FALSE))</f>
        <v/>
      </c>
      <c r="BE152" t="str">
        <f ca="1">IF(AND(ISNUMBER($BE$396),$B$258=1),$BE$396,HLOOKUP(INDIRECT(ADDRESS(2,COLUMN())),OFFSET($BN$2,0,0,ROW()-1,60),ROW()-1,FALSE))</f>
        <v/>
      </c>
      <c r="BF152" t="str">
        <f ca="1">IF(AND(ISNUMBER($BF$396),$B$258=1),$BF$396,HLOOKUP(INDIRECT(ADDRESS(2,COLUMN())),OFFSET($BN$2,0,0,ROW()-1,60),ROW()-1,FALSE))</f>
        <v/>
      </c>
      <c r="BG152" t="str">
        <f ca="1">IF(AND(ISNUMBER($BG$396),$B$258=1),$BG$396,HLOOKUP(INDIRECT(ADDRESS(2,COLUMN())),OFFSET($BN$2,0,0,ROW()-1,60),ROW()-1,FALSE))</f>
        <v/>
      </c>
      <c r="BH152" t="str">
        <f ca="1">IF(AND(ISNUMBER($BH$396),$B$258=1),$BH$396,HLOOKUP(INDIRECT(ADDRESS(2,COLUMN())),OFFSET($BN$2,0,0,ROW()-1,60),ROW()-1,FALSE))</f>
        <v/>
      </c>
      <c r="BI152" t="str">
        <f ca="1">IF(AND(ISNUMBER($BI$396),$B$258=1),$BI$396,HLOOKUP(INDIRECT(ADDRESS(2,COLUMN())),OFFSET($BN$2,0,0,ROW()-1,60),ROW()-1,FALSE))</f>
        <v/>
      </c>
      <c r="BJ152" t="str">
        <f ca="1">IF(AND(ISNUMBER($BJ$396),$B$258=1),$BJ$396,HLOOKUP(INDIRECT(ADDRESS(2,COLUMN())),OFFSET($BN$2,0,0,ROW()-1,60),ROW()-1,FALSE))</f>
        <v/>
      </c>
      <c r="BK152" t="str">
        <f ca="1">IF(AND(ISNUMBER($BK$396),$B$258=1),$BK$396,HLOOKUP(INDIRECT(ADDRESS(2,COLUMN())),OFFSET($BN$2,0,0,ROW()-1,60),ROW()-1,FALSE))</f>
        <v/>
      </c>
      <c r="BL152" t="str">
        <f ca="1">IF(AND(ISNUMBER($BL$396),$B$258=1),$BL$396,HLOOKUP(INDIRECT(ADDRESS(2,COLUMN())),OFFSET($BN$2,0,0,ROW()-1,60),ROW()-1,FALSE))</f>
        <v/>
      </c>
      <c r="BM152" t="str">
        <f ca="1">IF(AND(ISNUMBER($BM$396),$B$258=1),$BM$396,HLOOKUP(INDIRECT(ADDRESS(2,COLUMN())),OFFSET($BN$2,0,0,ROW()-1,60),ROW()-1,FALSE))</f>
        <v/>
      </c>
      <c r="BN152" t="str">
        <f>""</f>
        <v/>
      </c>
      <c r="BO152">
        <f>58.16711745</f>
        <v>58.167117449999999</v>
      </c>
      <c r="BP152">
        <f>62.01859154</f>
        <v>62.018591540000003</v>
      </c>
      <c r="BQ152">
        <f>54.82452691</f>
        <v>54.824526910000003</v>
      </c>
      <c r="BR152">
        <f>60.9399503</f>
        <v>60.9399503</v>
      </c>
      <c r="BS152">
        <f>58.33626955</f>
        <v>58.336269549999997</v>
      </c>
      <c r="BT152">
        <f>61.29964509</f>
        <v>61.299645089999999</v>
      </c>
      <c r="BU152">
        <f>60.78651288</f>
        <v>60.786512879999997</v>
      </c>
      <c r="BV152">
        <f>60.23295905</f>
        <v>60.232959049999998</v>
      </c>
      <c r="BW152">
        <f>61.73210908</f>
        <v>61.732109080000001</v>
      </c>
      <c r="BX152">
        <f>59.67077793</f>
        <v>59.67077793</v>
      </c>
      <c r="BY152">
        <f>61.51785804</f>
        <v>61.51785804</v>
      </c>
      <c r="BZ152">
        <f>59.97157937</f>
        <v>59.971579370000001</v>
      </c>
      <c r="CA152">
        <f>61.9952419</f>
        <v>61.995241900000003</v>
      </c>
      <c r="CB152">
        <f>59.29512006</f>
        <v>59.295120060000002</v>
      </c>
      <c r="CC152">
        <f>56.99947586</f>
        <v>56.999475859999997</v>
      </c>
      <c r="CD152">
        <f>58.71484272</f>
        <v>58.71484272</v>
      </c>
      <c r="CE152">
        <f>59.32463272</f>
        <v>59.324632719999997</v>
      </c>
      <c r="CF152">
        <f>59.21905477</f>
        <v>59.21905477</v>
      </c>
      <c r="CG152">
        <f>61.25682779</f>
        <v>61.256827790000003</v>
      </c>
      <c r="CH152">
        <f>53.36516569</f>
        <v>53.365165689999998</v>
      </c>
      <c r="CI152">
        <f>52.26539639</f>
        <v>52.265396389999999</v>
      </c>
      <c r="CJ152">
        <f>51.5000258</f>
        <v>51.500025800000003</v>
      </c>
      <c r="CK152">
        <f>37.54309946</f>
        <v>37.543099460000001</v>
      </c>
      <c r="CL152">
        <f>52.58503594</f>
        <v>52.585035939999997</v>
      </c>
      <c r="CM152">
        <f>45.17945431</f>
        <v>45.179454309999997</v>
      </c>
      <c r="CN152">
        <f>49.97140406</f>
        <v>49.971404059999998</v>
      </c>
      <c r="CO152">
        <f>59.13123953</f>
        <v>59.131239530000002</v>
      </c>
      <c r="CP152">
        <f>50.65733792</f>
        <v>50.657337920000003</v>
      </c>
      <c r="CQ152">
        <f>42.68931711</f>
        <v>42.689317109999998</v>
      </c>
      <c r="CR152">
        <f>51.90871685</f>
        <v>51.908716849999998</v>
      </c>
      <c r="CS152">
        <f>41.33098319</f>
        <v>41.330983189999998</v>
      </c>
      <c r="CT152">
        <f>58.75233603</f>
        <v>58.752336030000002</v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>
      <c r="A153" t="str">
        <f>"    Medical Properties Trust Inc"</f>
        <v xml:space="preserve">    Medical Properties Trust Inc</v>
      </c>
      <c r="B153" t="str">
        <f>"MPW US Equity"</f>
        <v>MPW US Equity</v>
      </c>
      <c r="C153" t="str">
        <f t="shared" si="36"/>
        <v>RX225</v>
      </c>
      <c r="D153" t="str">
        <f t="shared" si="37"/>
        <v>EBITDA_TO_REVENUE</v>
      </c>
      <c r="E153" t="str">
        <f t="shared" si="38"/>
        <v>动态</v>
      </c>
      <c r="F153" t="str">
        <f ca="1">IF(AND(ISNUMBER($F$397),$B$258=1),$F$397,HLOOKUP(INDIRECT(ADDRESS(2,COLUMN())),OFFSET($BN$2,0,0,ROW()-1,60),ROW()-1,FALSE))</f>
        <v/>
      </c>
      <c r="G153">
        <f ca="1">IF(AND(ISNUMBER($G$397),$B$258=1),$G$397,HLOOKUP(INDIRECT(ADDRESS(2,COLUMN())),OFFSET($BN$2,0,0,ROW()-1,60),ROW()-1,FALSE))</f>
        <v>88.431945589999998</v>
      </c>
      <c r="H153">
        <f ca="1">IF(AND(ISNUMBER($H$397),$B$258=1),$H$397,HLOOKUP(INDIRECT(ADDRESS(2,COLUMN())),OFFSET($BN$2,0,0,ROW()-1,60),ROW()-1,FALSE))</f>
        <v>87.598255750000007</v>
      </c>
      <c r="I153">
        <f ca="1">IF(AND(ISNUMBER($I$397),$B$258=1),$I$397,HLOOKUP(INDIRECT(ADDRESS(2,COLUMN())),OFFSET($BN$2,0,0,ROW()-1,60),ROW()-1,FALSE))</f>
        <v>84.616952530000006</v>
      </c>
      <c r="J153">
        <f ca="1">IF(AND(ISNUMBER($J$397),$B$258=1),$J$397,HLOOKUP(INDIRECT(ADDRESS(2,COLUMN())),OFFSET($BN$2,0,0,ROW()-1,60),ROW()-1,FALSE))</f>
        <v>89.825252399999997</v>
      </c>
      <c r="K153">
        <f ca="1">IF(AND(ISNUMBER($K$397),$B$258=1),$K$397,HLOOKUP(INDIRECT(ADDRESS(2,COLUMN())),OFFSET($BN$2,0,0,ROW()-1,60),ROW()-1,FALSE))</f>
        <v>65.631544270000006</v>
      </c>
      <c r="L153">
        <f ca="1">IF(AND(ISNUMBER($L$397),$B$258=1),$L$397,HLOOKUP(INDIRECT(ADDRESS(2,COLUMN())),OFFSET($BN$2,0,0,ROW()-1,60),ROW()-1,FALSE))</f>
        <v>88.830943070000004</v>
      </c>
      <c r="M153">
        <f ca="1">IF(AND(ISNUMBER($M$397),$B$258=1),$M$397,HLOOKUP(INDIRECT(ADDRESS(2,COLUMN())),OFFSET($BN$2,0,0,ROW()-1,60),ROW()-1,FALSE))</f>
        <v>80.738717339999994</v>
      </c>
      <c r="N153">
        <f ca="1">IF(AND(ISNUMBER($N$397),$B$258=1),$N$397,HLOOKUP(INDIRECT(ADDRESS(2,COLUMN())),OFFSET($BN$2,0,0,ROW()-1,60),ROW()-1,FALSE))</f>
        <v>92.033274320000004</v>
      </c>
      <c r="O153">
        <f ca="1">IF(AND(ISNUMBER($O$397),$B$258=1),$O$397,HLOOKUP(INDIRECT(ADDRESS(2,COLUMN())),OFFSET($BN$2,0,0,ROW()-1,60),ROW()-1,FALSE))</f>
        <v>87.605096320000001</v>
      </c>
      <c r="P153">
        <f ca="1">IF(AND(ISNUMBER($P$397),$B$258=1),$P$397,HLOOKUP(INDIRECT(ADDRESS(2,COLUMN())),OFFSET($BN$2,0,0,ROW()-1,60),ROW()-1,FALSE))</f>
        <v>67.805708300000006</v>
      </c>
      <c r="Q153">
        <f ca="1">IF(AND(ISNUMBER($Q$397),$B$258=1),$Q$397,HLOOKUP(INDIRECT(ADDRESS(2,COLUMN())),OFFSET($BN$2,0,0,ROW()-1,60),ROW()-1,FALSE))</f>
        <v>63.48032585</v>
      </c>
      <c r="R153">
        <f ca="1">IF(AND(ISNUMBER($R$397),$B$258=1),$R$397,HLOOKUP(INDIRECT(ADDRESS(2,COLUMN())),OFFSET($BN$2,0,0,ROW()-1,60),ROW()-1,FALSE))</f>
        <v>82.100019799999998</v>
      </c>
      <c r="S153">
        <f ca="1">IF(AND(ISNUMBER($S$397),$B$258=1),$S$397,HLOOKUP(INDIRECT(ADDRESS(2,COLUMN())),OFFSET($BN$2,0,0,ROW()-1,60),ROW()-1,FALSE))</f>
        <v>63.41647167</v>
      </c>
      <c r="T153">
        <f ca="1">IF(AND(ISNUMBER($T$397),$B$258=1),$T$397,HLOOKUP(INDIRECT(ADDRESS(2,COLUMN())),OFFSET($BN$2,0,0,ROW()-1,60),ROW()-1,FALSE))</f>
        <v>82.762420000000006</v>
      </c>
      <c r="U153">
        <f ca="1">IF(AND(ISNUMBER($U$397),$B$258=1),$U$397,HLOOKUP(INDIRECT(ADDRESS(2,COLUMN())),OFFSET($BN$2,0,0,ROW()-1,60),ROW()-1,FALSE))</f>
        <v>47.710292580000001</v>
      </c>
      <c r="V153">
        <f ca="1">IF(AND(ISNUMBER($V$397),$B$258=1),$V$397,HLOOKUP(INDIRECT(ADDRESS(2,COLUMN())),OFFSET($BN$2,0,0,ROW()-1,60),ROW()-1,FALSE))</f>
        <v>58.306995579999999</v>
      </c>
      <c r="W153">
        <f ca="1">IF(AND(ISNUMBER($W$397),$B$258=1),$W$397,HLOOKUP(INDIRECT(ADDRESS(2,COLUMN())),OFFSET($BN$2,0,0,ROW()-1,60),ROW()-1,FALSE))</f>
        <v>67.190023679999996</v>
      </c>
      <c r="X153">
        <f ca="1">IF(AND(ISNUMBER($X$397),$B$258=1),$X$397,HLOOKUP(INDIRECT(ADDRESS(2,COLUMN())),OFFSET($BN$2,0,0,ROW()-1,60),ROW()-1,FALSE))</f>
        <v>82.426047319999995</v>
      </c>
      <c r="Y153">
        <f ca="1">IF(AND(ISNUMBER($Y$397),$B$258=1),$Y$397,HLOOKUP(INDIRECT(ADDRESS(2,COLUMN())),OFFSET($BN$2,0,0,ROW()-1,60),ROW()-1,FALSE))</f>
        <v>83.381765979999997</v>
      </c>
      <c r="Z153">
        <f ca="1">IF(AND(ISNUMBER($Z$397),$B$258=1),$Z$397,HLOOKUP(INDIRECT(ADDRESS(2,COLUMN())),OFFSET($BN$2,0,0,ROW()-1,60),ROW()-1,FALSE))</f>
        <v>85.886865810000003</v>
      </c>
      <c r="AA153">
        <f ca="1">IF(AND(ISNUMBER($AA$397),$B$258=1),$AA$397,HLOOKUP(INDIRECT(ADDRESS(2,COLUMN())),OFFSET($BN$2,0,0,ROW()-1,60),ROW()-1,FALSE))</f>
        <v>84.831410160000004</v>
      </c>
      <c r="AB153">
        <f ca="1">IF(AND(ISNUMBER($AB$397),$B$258=1),$AB$397,HLOOKUP(INDIRECT(ADDRESS(2,COLUMN())),OFFSET($BN$2,0,0,ROW()-1,60),ROW()-1,FALSE))</f>
        <v>86.714093809999994</v>
      </c>
      <c r="AC153">
        <f ca="1">IF(AND(ISNUMBER($AC$397),$B$258=1),$AC$397,HLOOKUP(INDIRECT(ADDRESS(2,COLUMN())),OFFSET($BN$2,0,0,ROW()-1,60),ROW()-1,FALSE))</f>
        <v>85.954045550000004</v>
      </c>
      <c r="AD153">
        <f ca="1">IF(AND(ISNUMBER($AD$397),$B$258=1),$AD$397,HLOOKUP(INDIRECT(ADDRESS(2,COLUMN())),OFFSET($BN$2,0,0,ROW()-1,60),ROW()-1,FALSE))</f>
        <v>74.245765379999995</v>
      </c>
      <c r="AE153">
        <f ca="1">IF(AND(ISNUMBER($AE$397),$B$258=1),$AE$397,HLOOKUP(INDIRECT(ADDRESS(2,COLUMN())),OFFSET($BN$2,0,0,ROW()-1,60),ROW()-1,FALSE))</f>
        <v>80.866046150000003</v>
      </c>
      <c r="AF153">
        <f ca="1">IF(AND(ISNUMBER($AF$397),$B$258=1),$AF$397,HLOOKUP(INDIRECT(ADDRESS(2,COLUMN())),OFFSET($BN$2,0,0,ROW()-1,60),ROW()-1,FALSE))</f>
        <v>83.824208819999996</v>
      </c>
      <c r="AG153">
        <f ca="1">IF(AND(ISNUMBER($AG$397),$B$258=1),$AG$397,HLOOKUP(INDIRECT(ADDRESS(2,COLUMN())),OFFSET($BN$2,0,0,ROW()-1,60),ROW()-1,FALSE))</f>
        <v>75.454857540000006</v>
      </c>
      <c r="AH153">
        <f ca="1">IF(AND(ISNUMBER($AH$397),$B$258=1),$AH$397,HLOOKUP(INDIRECT(ADDRESS(2,COLUMN())),OFFSET($BN$2,0,0,ROW()-1,60),ROW()-1,FALSE))</f>
        <v>75.374850789999996</v>
      </c>
      <c r="AI153">
        <f ca="1">IF(AND(ISNUMBER($AI$397),$B$258=1),$AI$397,HLOOKUP(INDIRECT(ADDRESS(2,COLUMN())),OFFSET($BN$2,0,0,ROW()-1,60),ROW()-1,FALSE))</f>
        <v>72.566904559999998</v>
      </c>
      <c r="AJ153">
        <f ca="1">IF(AND(ISNUMBER($AJ$397),$B$258=1),$AJ$397,HLOOKUP(INDIRECT(ADDRESS(2,COLUMN())),OFFSET($BN$2,0,0,ROW()-1,60),ROW()-1,FALSE))</f>
        <v>77.05976819</v>
      </c>
      <c r="AK153">
        <f ca="1">IF(AND(ISNUMBER($AK$397),$B$258=1),$AK$397,HLOOKUP(INDIRECT(ADDRESS(2,COLUMN())),OFFSET($BN$2,0,0,ROW()-1,60),ROW()-1,FALSE))</f>
        <v>67.276828030000004</v>
      </c>
      <c r="AL153">
        <f ca="1">IF(AND(ISNUMBER($AL$397),$B$258=1),$AL$397,HLOOKUP(INDIRECT(ADDRESS(2,COLUMN())),OFFSET($BN$2,0,0,ROW()-1,60),ROW()-1,FALSE))</f>
        <v>42.368267549999999</v>
      </c>
      <c r="AM153">
        <f ca="1">IF(AND(ISNUMBER($AM$397),$B$258=1),$AM$397,HLOOKUP(INDIRECT(ADDRESS(2,COLUMN())),OFFSET($BN$2,0,0,ROW()-1,60),ROW()-1,FALSE))</f>
        <v>84.126235070000007</v>
      </c>
      <c r="AN153">
        <f ca="1">IF(AND(ISNUMBER($AN$397),$B$258=1),$AN$397,HLOOKUP(INDIRECT(ADDRESS(2,COLUMN())),OFFSET($BN$2,0,0,ROW()-1,60),ROW()-1,FALSE))</f>
        <v>83.174319539999999</v>
      </c>
      <c r="AO153">
        <f ca="1">IF(AND(ISNUMBER($AO$397),$B$258=1),$AO$397,HLOOKUP(INDIRECT(ADDRESS(2,COLUMN())),OFFSET($BN$2,0,0,ROW()-1,60),ROW()-1,FALSE))</f>
        <v>78.875255620000004</v>
      </c>
      <c r="AP153">
        <f ca="1">IF(AND(ISNUMBER($AP$397),$B$258=1),$AP$397,HLOOKUP(INDIRECT(ADDRESS(2,COLUMN())),OFFSET($BN$2,0,0,ROW()-1,60),ROW()-1,FALSE))</f>
        <v>79.87677103</v>
      </c>
      <c r="AQ153">
        <f ca="1">IF(AND(ISNUMBER($AQ$397),$B$258=1),$AQ$397,HLOOKUP(INDIRECT(ADDRESS(2,COLUMN())),OFFSET($BN$2,0,0,ROW()-1,60),ROW()-1,FALSE))</f>
        <v>64.65568322</v>
      </c>
      <c r="AR153">
        <f ca="1">IF(AND(ISNUMBER($AR$397),$B$258=1),$AR$397,HLOOKUP(INDIRECT(ADDRESS(2,COLUMN())),OFFSET($BN$2,0,0,ROW()-1,60),ROW()-1,FALSE))</f>
        <v>86.973457740000001</v>
      </c>
      <c r="AS153">
        <f ca="1">IF(AND(ISNUMBER($AS$397),$B$258=1),$AS$397,HLOOKUP(INDIRECT(ADDRESS(2,COLUMN())),OFFSET($BN$2,0,0,ROW()-1,60),ROW()-1,FALSE))</f>
        <v>85.563504539999997</v>
      </c>
      <c r="AT153">
        <f ca="1">IF(AND(ISNUMBER($AT$397),$B$258=1),$AT$397,HLOOKUP(INDIRECT(ADDRESS(2,COLUMN())),OFFSET($BN$2,0,0,ROW()-1,60),ROW()-1,FALSE))</f>
        <v>83.162675120000003</v>
      </c>
      <c r="AU153">
        <f ca="1">IF(AND(ISNUMBER($AU$397),$B$258=1),$AU$397,HLOOKUP(INDIRECT(ADDRESS(2,COLUMN())),OFFSET($BN$2,0,0,ROW()-1,60),ROW()-1,FALSE))</f>
        <v>83.755059450000005</v>
      </c>
      <c r="AV153">
        <f ca="1">IF(AND(ISNUMBER($AV$397),$B$258=1),$AV$397,HLOOKUP(INDIRECT(ADDRESS(2,COLUMN())),OFFSET($BN$2,0,0,ROW()-1,60),ROW()-1,FALSE))</f>
        <v>87.548813170000003</v>
      </c>
      <c r="AW153">
        <f ca="1">IF(AND(ISNUMBER($AW$397),$B$258=1),$AW$397,HLOOKUP(INDIRECT(ADDRESS(2,COLUMN())),OFFSET($BN$2,0,0,ROW()-1,60),ROW()-1,FALSE))</f>
        <v>89.215167859999994</v>
      </c>
      <c r="AX153">
        <f ca="1">IF(AND(ISNUMBER($AX$397),$B$258=1),$AX$397,HLOOKUP(INDIRECT(ADDRESS(2,COLUMN())),OFFSET($BN$2,0,0,ROW()-1,60),ROW()-1,FALSE))</f>
        <v>73.746121070000001</v>
      </c>
      <c r="AY153">
        <f ca="1">IF(AND(ISNUMBER($AY$397),$B$258=1),$AY$397,HLOOKUP(INDIRECT(ADDRESS(2,COLUMN())),OFFSET($BN$2,0,0,ROW()-1,60),ROW()-1,FALSE))</f>
        <v>88.287826390000006</v>
      </c>
      <c r="AZ153">
        <f ca="1">IF(AND(ISNUMBER($AZ$397),$B$258=1),$AZ$397,HLOOKUP(INDIRECT(ADDRESS(2,COLUMN())),OFFSET($BN$2,0,0,ROW()-1,60),ROW()-1,FALSE))</f>
        <v>89.472133670000005</v>
      </c>
      <c r="BA153">
        <f ca="1">IF(AND(ISNUMBER($BA$397),$B$258=1),$BA$397,HLOOKUP(INDIRECT(ADDRESS(2,COLUMN())),OFFSET($BN$2,0,0,ROW()-1,60),ROW()-1,FALSE))</f>
        <v>78.313695289999998</v>
      </c>
      <c r="BB153">
        <f ca="1">IF(AND(ISNUMBER($BB$397),$B$258=1),$BB$397,HLOOKUP(INDIRECT(ADDRESS(2,COLUMN())),OFFSET($BN$2,0,0,ROW()-1,60),ROW()-1,FALSE))</f>
        <v>80.397088049999994</v>
      </c>
      <c r="BC153">
        <f ca="1">IF(AND(ISNUMBER($BC$397),$B$258=1),$BC$397,HLOOKUP(INDIRECT(ADDRESS(2,COLUMN())),OFFSET($BN$2,0,0,ROW()-1,60),ROW()-1,FALSE))</f>
        <v>78.081480900000003</v>
      </c>
      <c r="BD153">
        <f ca="1">IF(AND(ISNUMBER($BD$397),$B$258=1),$BD$397,HLOOKUP(INDIRECT(ADDRESS(2,COLUMN())),OFFSET($BN$2,0,0,ROW()-1,60),ROW()-1,FALSE))</f>
        <v>72.148338910000007</v>
      </c>
      <c r="BE153">
        <f ca="1">IF(AND(ISNUMBER($BE$397),$B$258=1),$BE$397,HLOOKUP(INDIRECT(ADDRESS(2,COLUMN())),OFFSET($BN$2,0,0,ROW()-1,60),ROW()-1,FALSE))</f>
        <v>81.873542979999996</v>
      </c>
      <c r="BF153">
        <f ca="1">IF(AND(ISNUMBER($BF$397),$B$258=1),$BF$397,HLOOKUP(INDIRECT(ADDRESS(2,COLUMN())),OFFSET($BN$2,0,0,ROW()-1,60),ROW()-1,FALSE))</f>
        <v>74.981786839999998</v>
      </c>
      <c r="BG153" t="str">
        <f ca="1">IF(AND(ISNUMBER($BG$397),$B$258=1),$BG$397,HLOOKUP(INDIRECT(ADDRESS(2,COLUMN())),OFFSET($BN$2,0,0,ROW()-1,60),ROW()-1,FALSE))</f>
        <v/>
      </c>
      <c r="BH153" t="str">
        <f ca="1">IF(AND(ISNUMBER($BH$397),$B$258=1),$BH$397,HLOOKUP(INDIRECT(ADDRESS(2,COLUMN())),OFFSET($BN$2,0,0,ROW()-1,60),ROW()-1,FALSE))</f>
        <v/>
      </c>
      <c r="BI153" t="str">
        <f ca="1">IF(AND(ISNUMBER($BI$397),$B$258=1),$BI$397,HLOOKUP(INDIRECT(ADDRESS(2,COLUMN())),OFFSET($BN$2,0,0,ROW()-1,60),ROW()-1,FALSE))</f>
        <v/>
      </c>
      <c r="BJ153" t="str">
        <f ca="1">IF(AND(ISNUMBER($BJ$397),$B$258=1),$BJ$397,HLOOKUP(INDIRECT(ADDRESS(2,COLUMN())),OFFSET($BN$2,0,0,ROW()-1,60),ROW()-1,FALSE))</f>
        <v/>
      </c>
      <c r="BK153" t="str">
        <f ca="1">IF(AND(ISNUMBER($BK$397),$B$258=1),$BK$397,HLOOKUP(INDIRECT(ADDRESS(2,COLUMN())),OFFSET($BN$2,0,0,ROW()-1,60),ROW()-1,FALSE))</f>
        <v/>
      </c>
      <c r="BL153" t="str">
        <f ca="1">IF(AND(ISNUMBER($BL$397),$B$258=1),$BL$397,HLOOKUP(INDIRECT(ADDRESS(2,COLUMN())),OFFSET($BN$2,0,0,ROW()-1,60),ROW()-1,FALSE))</f>
        <v/>
      </c>
      <c r="BM153" t="str">
        <f ca="1">IF(AND(ISNUMBER($BM$397),$B$258=1),$BM$397,HLOOKUP(INDIRECT(ADDRESS(2,COLUMN())),OFFSET($BN$2,0,0,ROW()-1,60),ROW()-1,FALSE))</f>
        <v/>
      </c>
      <c r="BN153" t="str">
        <f>""</f>
        <v/>
      </c>
      <c r="BO153">
        <f>88.43194559</f>
        <v>88.431945589999998</v>
      </c>
      <c r="BP153">
        <f>87.59825575</f>
        <v>87.598255750000007</v>
      </c>
      <c r="BQ153">
        <f>84.61695253</f>
        <v>84.616952530000006</v>
      </c>
      <c r="BR153">
        <f>89.8252524</f>
        <v>89.825252399999997</v>
      </c>
      <c r="BS153">
        <f>65.63154427</f>
        <v>65.631544270000006</v>
      </c>
      <c r="BT153">
        <f>88.83094307</f>
        <v>88.830943070000004</v>
      </c>
      <c r="BU153">
        <f>80.73871734</f>
        <v>80.738717339999994</v>
      </c>
      <c r="BV153">
        <f>92.03327432</f>
        <v>92.033274320000004</v>
      </c>
      <c r="BW153">
        <f>87.60509632</f>
        <v>87.605096320000001</v>
      </c>
      <c r="BX153">
        <f>67.8057083</f>
        <v>67.805708300000006</v>
      </c>
      <c r="BY153">
        <f>63.48032585</f>
        <v>63.48032585</v>
      </c>
      <c r="BZ153">
        <f>82.1000198</f>
        <v>82.100019799999998</v>
      </c>
      <c r="CA153">
        <f>63.41647167</f>
        <v>63.41647167</v>
      </c>
      <c r="CB153">
        <f>82.76242</f>
        <v>82.762420000000006</v>
      </c>
      <c r="CC153">
        <f>47.71029258</f>
        <v>47.710292580000001</v>
      </c>
      <c r="CD153">
        <f>58.30699558</f>
        <v>58.306995579999999</v>
      </c>
      <c r="CE153">
        <f>67.19002368</f>
        <v>67.190023679999996</v>
      </c>
      <c r="CF153">
        <f>82.42604732</f>
        <v>82.426047319999995</v>
      </c>
      <c r="CG153">
        <f>83.38176598</f>
        <v>83.381765979999997</v>
      </c>
      <c r="CH153">
        <f>85.88686581</f>
        <v>85.886865810000003</v>
      </c>
      <c r="CI153">
        <f>84.83141016</f>
        <v>84.831410160000004</v>
      </c>
      <c r="CJ153">
        <f>86.71409381</f>
        <v>86.714093809999994</v>
      </c>
      <c r="CK153">
        <f>85.95404555</f>
        <v>85.954045550000004</v>
      </c>
      <c r="CL153">
        <f>74.24576538</f>
        <v>74.245765379999995</v>
      </c>
      <c r="CM153">
        <f>80.86604615</f>
        <v>80.866046150000003</v>
      </c>
      <c r="CN153">
        <f>83.82420882</f>
        <v>83.824208819999996</v>
      </c>
      <c r="CO153">
        <f>75.45485754</f>
        <v>75.454857540000006</v>
      </c>
      <c r="CP153">
        <f>75.37485079</f>
        <v>75.374850789999996</v>
      </c>
      <c r="CQ153">
        <f>72.56690456</f>
        <v>72.566904559999998</v>
      </c>
      <c r="CR153">
        <f>77.05976819</f>
        <v>77.05976819</v>
      </c>
      <c r="CS153">
        <f>67.27682803</f>
        <v>67.276828030000004</v>
      </c>
      <c r="CT153">
        <f>42.36826755</f>
        <v>42.368267549999999</v>
      </c>
      <c r="CU153">
        <f>84.12623507</f>
        <v>84.126235070000007</v>
      </c>
      <c r="CV153">
        <f>83.17431954</f>
        <v>83.174319539999999</v>
      </c>
      <c r="CW153">
        <f>78.87525562</f>
        <v>78.875255620000004</v>
      </c>
      <c r="CX153">
        <f>79.87677103</f>
        <v>79.87677103</v>
      </c>
      <c r="CY153">
        <f>64.65568322</f>
        <v>64.65568322</v>
      </c>
      <c r="CZ153">
        <f>86.97345774</f>
        <v>86.973457740000001</v>
      </c>
      <c r="DA153">
        <f>85.56350454</f>
        <v>85.563504539999997</v>
      </c>
      <c r="DB153">
        <f>83.16267512</f>
        <v>83.162675120000003</v>
      </c>
      <c r="DC153">
        <f>83.75505945</f>
        <v>83.755059450000005</v>
      </c>
      <c r="DD153">
        <f>87.54881317</f>
        <v>87.548813170000003</v>
      </c>
      <c r="DE153">
        <f>89.21516786</f>
        <v>89.215167859999994</v>
      </c>
      <c r="DF153">
        <f>73.74612107</f>
        <v>73.746121070000001</v>
      </c>
      <c r="DG153">
        <f>88.28782639</f>
        <v>88.287826390000006</v>
      </c>
      <c r="DH153">
        <f>89.47213367</f>
        <v>89.472133670000005</v>
      </c>
      <c r="DI153">
        <f>78.31369529</f>
        <v>78.313695289999998</v>
      </c>
      <c r="DJ153">
        <f>80.39708805</f>
        <v>80.397088049999994</v>
      </c>
      <c r="DK153">
        <f>78.0814809</f>
        <v>78.081480900000003</v>
      </c>
      <c r="DL153">
        <f>72.14833891</f>
        <v>72.148338910000007</v>
      </c>
      <c r="DM153">
        <f>81.87354298</f>
        <v>81.873542979999996</v>
      </c>
      <c r="DN153">
        <f>74.98178684</f>
        <v>74.981786839999998</v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>
      <c r="A154" t="str">
        <f>"    Omega Healthcare Investors Inc"</f>
        <v xml:space="preserve">    Omega Healthcare Investors Inc</v>
      </c>
      <c r="B154" t="str">
        <f>"OHI US Equity"</f>
        <v>OHI US Equity</v>
      </c>
      <c r="C154" t="str">
        <f t="shared" si="36"/>
        <v>RX225</v>
      </c>
      <c r="D154" t="str">
        <f t="shared" si="37"/>
        <v>EBITDA_TO_REVENUE</v>
      </c>
      <c r="E154" t="str">
        <f t="shared" si="38"/>
        <v>动态</v>
      </c>
      <c r="F154" t="str">
        <f ca="1">IF(AND(ISNUMBER($F$398),$B$258=1),$F$398,HLOOKUP(INDIRECT(ADDRESS(2,COLUMN())),OFFSET($BN$2,0,0,ROW()-1,60),ROW()-1,FALSE))</f>
        <v/>
      </c>
      <c r="G154">
        <f ca="1">IF(AND(ISNUMBER($G$398),$B$258=1),$G$398,HLOOKUP(INDIRECT(ADDRESS(2,COLUMN())),OFFSET($BN$2,0,0,ROW()-1,60),ROW()-1,FALSE))</f>
        <v>65.33367088</v>
      </c>
      <c r="H154">
        <f ca="1">IF(AND(ISNUMBER($H$398),$B$258=1),$H$398,HLOOKUP(INDIRECT(ADDRESS(2,COLUMN())),OFFSET($BN$2,0,0,ROW()-1,60),ROW()-1,FALSE))</f>
        <v>-7.4290423329999999</v>
      </c>
      <c r="I154">
        <f ca="1">IF(AND(ISNUMBER($I$398),$B$258=1),$I$398,HLOOKUP(INDIRECT(ADDRESS(2,COLUMN())),OFFSET($BN$2,0,0,ROW()-1,60),ROW()-1,FALSE))</f>
        <v>89.665687009999999</v>
      </c>
      <c r="J154">
        <f ca="1">IF(AND(ISNUMBER($J$398),$B$258=1),$J$398,HLOOKUP(INDIRECT(ADDRESS(2,COLUMN())),OFFSET($BN$2,0,0,ROW()-1,60),ROW()-1,FALSE))</f>
        <v>90.280223000000007</v>
      </c>
      <c r="K154">
        <f ca="1">IF(AND(ISNUMBER($K$398),$B$258=1),$K$398,HLOOKUP(INDIRECT(ADDRESS(2,COLUMN())),OFFSET($BN$2,0,0,ROW()-1,60),ROW()-1,FALSE))</f>
        <v>92.738159210000006</v>
      </c>
      <c r="L154">
        <f ca="1">IF(AND(ISNUMBER($L$398),$B$258=1),$L$398,HLOOKUP(INDIRECT(ADDRESS(2,COLUMN())),OFFSET($BN$2,0,0,ROW()-1,60),ROW()-1,FALSE))</f>
        <v>85.750852480000006</v>
      </c>
      <c r="M154">
        <f ca="1">IF(AND(ISNUMBER($M$398),$B$258=1),$M$398,HLOOKUP(INDIRECT(ADDRESS(2,COLUMN())),OFFSET($BN$2,0,0,ROW()-1,60),ROW()-1,FALSE))</f>
        <v>90.789864699999995</v>
      </c>
      <c r="N154">
        <f ca="1">IF(AND(ISNUMBER($N$398),$B$258=1),$N$398,HLOOKUP(INDIRECT(ADDRESS(2,COLUMN())),OFFSET($BN$2,0,0,ROW()-1,60),ROW()-1,FALSE))</f>
        <v>74.676694269999999</v>
      </c>
      <c r="O154">
        <f ca="1">IF(AND(ISNUMBER($O$398),$B$258=1),$O$398,HLOOKUP(INDIRECT(ADDRESS(2,COLUMN())),OFFSET($BN$2,0,0,ROW()-1,60),ROW()-1,FALSE))</f>
        <v>88.255776389999994</v>
      </c>
      <c r="P154">
        <f ca="1">IF(AND(ISNUMBER($P$398),$B$258=1),$P$398,HLOOKUP(INDIRECT(ADDRESS(2,COLUMN())),OFFSET($BN$2,0,0,ROW()-1,60),ROW()-1,FALSE))</f>
        <v>92.197510570000006</v>
      </c>
      <c r="Q154">
        <f ca="1">IF(AND(ISNUMBER($Q$398),$B$258=1),$Q$398,HLOOKUP(INDIRECT(ADDRESS(2,COLUMN())),OFFSET($BN$2,0,0,ROW()-1,60),ROW()-1,FALSE))</f>
        <v>67.477277439999995</v>
      </c>
      <c r="R154">
        <f ca="1">IF(AND(ISNUMBER($R$398),$B$258=1),$R$398,HLOOKUP(INDIRECT(ADDRESS(2,COLUMN())),OFFSET($BN$2,0,0,ROW()-1,60),ROW()-1,FALSE))</f>
        <v>87.361714890000002</v>
      </c>
      <c r="S154">
        <f ca="1">IF(AND(ISNUMBER($S$398),$B$258=1),$S$398,HLOOKUP(INDIRECT(ADDRESS(2,COLUMN())),OFFSET($BN$2,0,0,ROW()-1,60),ROW()-1,FALSE))</f>
        <v>91.890862850000005</v>
      </c>
      <c r="T154">
        <f ca="1">IF(AND(ISNUMBER($T$398),$B$258=1),$T$398,HLOOKUP(INDIRECT(ADDRESS(2,COLUMN())),OFFSET($BN$2,0,0,ROW()-1,60),ROW()-1,FALSE))</f>
        <v>93.622622739999997</v>
      </c>
      <c r="U154">
        <f ca="1">IF(AND(ISNUMBER($U$398),$B$258=1),$U$398,HLOOKUP(INDIRECT(ADDRESS(2,COLUMN())),OFFSET($BN$2,0,0,ROW()-1,60),ROW()-1,FALSE))</f>
        <v>91.247126440000002</v>
      </c>
      <c r="V154">
        <f ca="1">IF(AND(ISNUMBER($V$398),$B$258=1),$V$398,HLOOKUP(INDIRECT(ADDRESS(2,COLUMN())),OFFSET($BN$2,0,0,ROW()-1,60),ROW()-1,FALSE))</f>
        <v>94.56533417</v>
      </c>
      <c r="W154">
        <f ca="1">IF(AND(ISNUMBER($W$398),$B$258=1),$W$398,HLOOKUP(INDIRECT(ADDRESS(2,COLUMN())),OFFSET($BN$2,0,0,ROW()-1,60),ROW()-1,FALSE))</f>
        <v>94.846900669999997</v>
      </c>
      <c r="X154">
        <f ca="1">IF(AND(ISNUMBER($X$398),$B$258=1),$X$398,HLOOKUP(INDIRECT(ADDRESS(2,COLUMN())),OFFSET($BN$2,0,0,ROW()-1,60),ROW()-1,FALSE))</f>
        <v>92.474419420000004</v>
      </c>
      <c r="Y154">
        <f ca="1">IF(AND(ISNUMBER($Y$398),$B$258=1),$Y$398,HLOOKUP(INDIRECT(ADDRESS(2,COLUMN())),OFFSET($BN$2,0,0,ROW()-1,60),ROW()-1,FALSE))</f>
        <v>94.579329849999993</v>
      </c>
      <c r="Z154">
        <f ca="1">IF(AND(ISNUMBER($Z$398),$B$258=1),$Z$398,HLOOKUP(INDIRECT(ADDRESS(2,COLUMN())),OFFSET($BN$2,0,0,ROW()-1,60),ROW()-1,FALSE))</f>
        <v>94.761254309999998</v>
      </c>
      <c r="AA154">
        <f ca="1">IF(AND(ISNUMBER($AA$398),$B$258=1),$AA$398,HLOOKUP(INDIRECT(ADDRESS(2,COLUMN())),OFFSET($BN$2,0,0,ROW()-1,60),ROW()-1,FALSE))</f>
        <v>93.790258069999993</v>
      </c>
      <c r="AB154">
        <f ca="1">IF(AND(ISNUMBER($AB$398),$B$258=1),$AB$398,HLOOKUP(INDIRECT(ADDRESS(2,COLUMN())),OFFSET($BN$2,0,0,ROW()-1,60),ROW()-1,FALSE))</f>
        <v>93.506910959999999</v>
      </c>
      <c r="AC154">
        <f ca="1">IF(AND(ISNUMBER($AC$398),$B$258=1),$AC$398,HLOOKUP(INDIRECT(ADDRESS(2,COLUMN())),OFFSET($BN$2,0,0,ROW()-1,60),ROW()-1,FALSE))</f>
        <v>93.973158369999993</v>
      </c>
      <c r="AD154">
        <f ca="1">IF(AND(ISNUMBER($AD$398),$B$258=1),$AD$398,HLOOKUP(INDIRECT(ADDRESS(2,COLUMN())),OFFSET($BN$2,0,0,ROW()-1,60),ROW()-1,FALSE))</f>
        <v>93.015441050000007</v>
      </c>
      <c r="AE154">
        <f ca="1">IF(AND(ISNUMBER($AE$398),$B$258=1),$AE$398,HLOOKUP(INDIRECT(ADDRESS(2,COLUMN())),OFFSET($BN$2,0,0,ROW()-1,60),ROW()-1,FALSE))</f>
        <v>87.202505770000002</v>
      </c>
      <c r="AF154">
        <f ca="1">IF(AND(ISNUMBER($AF$398),$B$258=1),$AF$398,HLOOKUP(INDIRECT(ADDRESS(2,COLUMN())),OFFSET($BN$2,0,0,ROW()-1,60),ROW()-1,FALSE))</f>
        <v>93.763904530000005</v>
      </c>
      <c r="AG154">
        <f ca="1">IF(AND(ISNUMBER($AG$398),$B$258=1),$AG$398,HLOOKUP(INDIRECT(ADDRESS(2,COLUMN())),OFFSET($BN$2,0,0,ROW()-1,60),ROW()-1,FALSE))</f>
        <v>87.199405010000007</v>
      </c>
      <c r="AH154">
        <f ca="1">IF(AND(ISNUMBER($AH$398),$B$258=1),$AH$398,HLOOKUP(INDIRECT(ADDRESS(2,COLUMN())),OFFSET($BN$2,0,0,ROW()-1,60),ROW()-1,FALSE))</f>
        <v>56.76258584</v>
      </c>
      <c r="AI154">
        <f ca="1">IF(AND(ISNUMBER($AI$398),$B$258=1),$AI$398,HLOOKUP(INDIRECT(ADDRESS(2,COLUMN())),OFFSET($BN$2,0,0,ROW()-1,60),ROW()-1,FALSE))</f>
        <v>95.065669209999996</v>
      </c>
      <c r="AJ154">
        <f ca="1">IF(AND(ISNUMBER($AJ$398),$B$258=1),$AJ$398,HLOOKUP(INDIRECT(ADDRESS(2,COLUMN())),OFFSET($BN$2,0,0,ROW()-1,60),ROW()-1,FALSE))</f>
        <v>92.923527050000004</v>
      </c>
      <c r="AK154">
        <f ca="1">IF(AND(ISNUMBER($AK$398),$B$258=1),$AK$398,HLOOKUP(INDIRECT(ADDRESS(2,COLUMN())),OFFSET($BN$2,0,0,ROW()-1,60),ROW()-1,FALSE))</f>
        <v>86.708613209999996</v>
      </c>
      <c r="AL154">
        <f ca="1">IF(AND(ISNUMBER($AL$398),$B$258=1),$AL$398,HLOOKUP(INDIRECT(ADDRESS(2,COLUMN())),OFFSET($BN$2,0,0,ROW()-1,60),ROW()-1,FALSE))</f>
        <v>85.510753600000001</v>
      </c>
      <c r="AM154">
        <f ca="1">IF(AND(ISNUMBER($AM$398),$B$258=1),$AM$398,HLOOKUP(INDIRECT(ADDRESS(2,COLUMN())),OFFSET($BN$2,0,0,ROW()-1,60),ROW()-1,FALSE))</f>
        <v>75.634456080000007</v>
      </c>
      <c r="AN154">
        <f ca="1">IF(AND(ISNUMBER($AN$398),$B$258=1),$AN$398,HLOOKUP(INDIRECT(ADDRESS(2,COLUMN())),OFFSET($BN$2,0,0,ROW()-1,60),ROW()-1,FALSE))</f>
        <v>84.597913689999999</v>
      </c>
      <c r="AO154">
        <f ca="1">IF(AND(ISNUMBER($AO$398),$B$258=1),$AO$398,HLOOKUP(INDIRECT(ADDRESS(2,COLUMN())),OFFSET($BN$2,0,0,ROW()-1,60),ROW()-1,FALSE))</f>
        <v>82.535807289999994</v>
      </c>
      <c r="AP154">
        <f ca="1">IF(AND(ISNUMBER($AP$398),$B$258=1),$AP$398,HLOOKUP(INDIRECT(ADDRESS(2,COLUMN())),OFFSET($BN$2,0,0,ROW()-1,60),ROW()-1,FALSE))</f>
        <v>82.542717659999994</v>
      </c>
      <c r="AQ154">
        <f ca="1">IF(AND(ISNUMBER($AQ$398),$B$258=1),$AQ$398,HLOOKUP(INDIRECT(ADDRESS(2,COLUMN())),OFFSET($BN$2,0,0,ROW()-1,60),ROW()-1,FALSE))</f>
        <v>80.759529720000003</v>
      </c>
      <c r="AR154">
        <f ca="1">IF(AND(ISNUMBER($AR$398),$B$258=1),$AR$398,HLOOKUP(INDIRECT(ADDRESS(2,COLUMN())),OFFSET($BN$2,0,0,ROW()-1,60),ROW()-1,FALSE))</f>
        <v>60.402673380000003</v>
      </c>
      <c r="AS154">
        <f ca="1">IF(AND(ISNUMBER($AS$398),$B$258=1),$AS$398,HLOOKUP(INDIRECT(ADDRESS(2,COLUMN())),OFFSET($BN$2,0,0,ROW()-1,60),ROW()-1,FALSE))</f>
        <v>83.44803933</v>
      </c>
      <c r="AT154">
        <f ca="1">IF(AND(ISNUMBER($AT$398),$B$258=1),$AT$398,HLOOKUP(INDIRECT(ADDRESS(2,COLUMN())),OFFSET($BN$2,0,0,ROW()-1,60),ROW()-1,FALSE))</f>
        <v>92.44093719</v>
      </c>
      <c r="AU154">
        <f ca="1">IF(AND(ISNUMBER($AU$398),$B$258=1),$AU$398,HLOOKUP(INDIRECT(ADDRESS(2,COLUMN())),OFFSET($BN$2,0,0,ROW()-1,60),ROW()-1,FALSE))</f>
        <v>96.019336809999999</v>
      </c>
      <c r="AV154">
        <f ca="1">IF(AND(ISNUMBER($AV$398),$B$258=1),$AV$398,HLOOKUP(INDIRECT(ADDRESS(2,COLUMN())),OFFSET($BN$2,0,0,ROW()-1,60),ROW()-1,FALSE))</f>
        <v>93.033622010000002</v>
      </c>
      <c r="AW154">
        <f ca="1">IF(AND(ISNUMBER($AW$398),$B$258=1),$AW$398,HLOOKUP(INDIRECT(ADDRESS(2,COLUMN())),OFFSET($BN$2,0,0,ROW()-1,60),ROW()-1,FALSE))</f>
        <v>92.772253849999998</v>
      </c>
      <c r="AX154">
        <f ca="1">IF(AND(ISNUMBER($AX$398),$B$258=1),$AX$398,HLOOKUP(INDIRECT(ADDRESS(2,COLUMN())),OFFSET($BN$2,0,0,ROW()-1,60),ROW()-1,FALSE))</f>
        <v>93.994796429999994</v>
      </c>
      <c r="AY154">
        <f ca="1">IF(AND(ISNUMBER($AY$398),$B$258=1),$AY$398,HLOOKUP(INDIRECT(ADDRESS(2,COLUMN())),OFFSET($BN$2,0,0,ROW()-1,60),ROW()-1,FALSE))</f>
        <v>127.8251009</v>
      </c>
      <c r="AZ154">
        <f ca="1">IF(AND(ISNUMBER($AZ$398),$B$258=1),$AZ$398,HLOOKUP(INDIRECT(ADDRESS(2,COLUMN())),OFFSET($BN$2,0,0,ROW()-1,60),ROW()-1,FALSE))</f>
        <v>56.597251739999997</v>
      </c>
      <c r="BA154">
        <f ca="1">IF(AND(ISNUMBER($BA$398),$B$258=1),$BA$398,HLOOKUP(INDIRECT(ADDRESS(2,COLUMN())),OFFSET($BN$2,0,0,ROW()-1,60),ROW()-1,FALSE))</f>
        <v>92.955963190000006</v>
      </c>
      <c r="BB154">
        <f ca="1">IF(AND(ISNUMBER($BB$398),$B$258=1),$BB$398,HLOOKUP(INDIRECT(ADDRESS(2,COLUMN())),OFFSET($BN$2,0,0,ROW()-1,60),ROW()-1,FALSE))</f>
        <v>92.830950900000005</v>
      </c>
      <c r="BC154">
        <f ca="1">IF(AND(ISNUMBER($BC$398),$B$258=1),$BC$398,HLOOKUP(INDIRECT(ADDRESS(2,COLUMN())),OFFSET($BN$2,0,0,ROW()-1,60),ROW()-1,FALSE))</f>
        <v>95.277153060000003</v>
      </c>
      <c r="BD154">
        <f ca="1">IF(AND(ISNUMBER($BD$398),$B$258=1),$BD$398,HLOOKUP(INDIRECT(ADDRESS(2,COLUMN())),OFFSET($BN$2,0,0,ROW()-1,60),ROW()-1,FALSE))</f>
        <v>92.623192680000002</v>
      </c>
      <c r="BE154">
        <f ca="1">IF(AND(ISNUMBER($BE$398),$B$258=1),$BE$398,HLOOKUP(INDIRECT(ADDRESS(2,COLUMN())),OFFSET($BN$2,0,0,ROW()-1,60),ROW()-1,FALSE))</f>
        <v>91.410170300000004</v>
      </c>
      <c r="BF154">
        <f ca="1">IF(AND(ISNUMBER($BF$398),$B$258=1),$BF$398,HLOOKUP(INDIRECT(ADDRESS(2,COLUMN())),OFFSET($BN$2,0,0,ROW()-1,60),ROW()-1,FALSE))</f>
        <v>94.272252080000001</v>
      </c>
      <c r="BG154">
        <f ca="1">IF(AND(ISNUMBER($BG$398),$B$258=1),$BG$398,HLOOKUP(INDIRECT(ADDRESS(2,COLUMN())),OFFSET($BN$2,0,0,ROW()-1,60),ROW()-1,FALSE))</f>
        <v>97.322989509999999</v>
      </c>
      <c r="BH154">
        <f ca="1">IF(AND(ISNUMBER($BH$398),$B$258=1),$BH$398,HLOOKUP(INDIRECT(ADDRESS(2,COLUMN())),OFFSET($BN$2,0,0,ROW()-1,60),ROW()-1,FALSE))</f>
        <v>91.285885969999995</v>
      </c>
      <c r="BI154">
        <f ca="1">IF(AND(ISNUMBER($BI$398),$B$258=1),$BI$398,HLOOKUP(INDIRECT(ADDRESS(2,COLUMN())),OFFSET($BN$2,0,0,ROW()-1,60),ROW()-1,FALSE))</f>
        <v>90.870442839999995</v>
      </c>
      <c r="BJ154">
        <f ca="1">IF(AND(ISNUMBER($BJ$398),$B$258=1),$BJ$398,HLOOKUP(INDIRECT(ADDRESS(2,COLUMN())),OFFSET($BN$2,0,0,ROW()-1,60),ROW()-1,FALSE))</f>
        <v>91.163637690000002</v>
      </c>
      <c r="BK154">
        <f ca="1">IF(AND(ISNUMBER($BK$398),$B$258=1),$BK$398,HLOOKUP(INDIRECT(ADDRESS(2,COLUMN())),OFFSET($BN$2,0,0,ROW()-1,60),ROW()-1,FALSE))</f>
        <v>88.152318280000003</v>
      </c>
      <c r="BL154">
        <f ca="1">IF(AND(ISNUMBER($BL$398),$B$258=1),$BL$398,HLOOKUP(INDIRECT(ADDRESS(2,COLUMN())),OFFSET($BN$2,0,0,ROW()-1,60),ROW()-1,FALSE))</f>
        <v>120.3287711</v>
      </c>
      <c r="BM154">
        <f ca="1">IF(AND(ISNUMBER($BM$398),$B$258=1),$BM$398,HLOOKUP(INDIRECT(ADDRESS(2,COLUMN())),OFFSET($BN$2,0,0,ROW()-1,60),ROW()-1,FALSE))</f>
        <v>87.921498229999997</v>
      </c>
      <c r="BN154" t="str">
        <f>""</f>
        <v/>
      </c>
      <c r="BO154">
        <f>65.33367088</f>
        <v>65.33367088</v>
      </c>
      <c r="BP154">
        <f>-7.429042333</f>
        <v>-7.4290423329999999</v>
      </c>
      <c r="BQ154">
        <f>89.66568701</f>
        <v>89.665687009999999</v>
      </c>
      <c r="BR154">
        <f>90.280223</f>
        <v>90.280223000000007</v>
      </c>
      <c r="BS154">
        <f>92.73815921</f>
        <v>92.738159210000006</v>
      </c>
      <c r="BT154">
        <f>85.75085248</f>
        <v>85.750852480000006</v>
      </c>
      <c r="BU154">
        <f>90.7898647</f>
        <v>90.789864699999995</v>
      </c>
      <c r="BV154">
        <f>74.67669427</f>
        <v>74.676694269999999</v>
      </c>
      <c r="BW154">
        <f>88.25577639</f>
        <v>88.255776389999994</v>
      </c>
      <c r="BX154">
        <f>92.19751057</f>
        <v>92.197510570000006</v>
      </c>
      <c r="BY154">
        <f>67.47727744</f>
        <v>67.477277439999995</v>
      </c>
      <c r="BZ154">
        <f>87.36171489</f>
        <v>87.361714890000002</v>
      </c>
      <c r="CA154">
        <f>91.89086285</f>
        <v>91.890862850000005</v>
      </c>
      <c r="CB154">
        <f>93.62262274</f>
        <v>93.622622739999997</v>
      </c>
      <c r="CC154">
        <f>91.24712644</f>
        <v>91.247126440000002</v>
      </c>
      <c r="CD154">
        <f>94.56533417</f>
        <v>94.56533417</v>
      </c>
      <c r="CE154">
        <f>94.84690067</f>
        <v>94.846900669999997</v>
      </c>
      <c r="CF154">
        <f>92.47441942</f>
        <v>92.474419420000004</v>
      </c>
      <c r="CG154">
        <f>94.57932985</f>
        <v>94.579329849999993</v>
      </c>
      <c r="CH154">
        <f>94.76125431</f>
        <v>94.761254309999998</v>
      </c>
      <c r="CI154">
        <f>93.79025807</f>
        <v>93.790258069999993</v>
      </c>
      <c r="CJ154">
        <f>93.50691096</f>
        <v>93.506910959999999</v>
      </c>
      <c r="CK154">
        <f>93.97315837</f>
        <v>93.973158369999993</v>
      </c>
      <c r="CL154">
        <f>93.01544105</f>
        <v>93.015441050000007</v>
      </c>
      <c r="CM154">
        <f>87.20250577</f>
        <v>87.202505770000002</v>
      </c>
      <c r="CN154">
        <f>93.76390453</f>
        <v>93.763904530000005</v>
      </c>
      <c r="CO154">
        <f>87.19940501</f>
        <v>87.199405010000007</v>
      </c>
      <c r="CP154">
        <f>56.76258584</f>
        <v>56.76258584</v>
      </c>
      <c r="CQ154">
        <f>95.06566921</f>
        <v>95.065669209999996</v>
      </c>
      <c r="CR154">
        <f>92.92352705</f>
        <v>92.923527050000004</v>
      </c>
      <c r="CS154">
        <f>86.70861321</f>
        <v>86.708613209999996</v>
      </c>
      <c r="CT154">
        <f>85.5107536</f>
        <v>85.510753600000001</v>
      </c>
      <c r="CU154">
        <f>75.63445608</f>
        <v>75.634456080000007</v>
      </c>
      <c r="CV154">
        <f>84.59791369</f>
        <v>84.597913689999999</v>
      </c>
      <c r="CW154">
        <f>82.53580729</f>
        <v>82.535807289999994</v>
      </c>
      <c r="CX154">
        <f>82.54271766</f>
        <v>82.542717659999994</v>
      </c>
      <c r="CY154">
        <f>80.75952972</f>
        <v>80.759529720000003</v>
      </c>
      <c r="CZ154">
        <f>60.40267338</f>
        <v>60.402673380000003</v>
      </c>
      <c r="DA154">
        <f>83.44803933</f>
        <v>83.44803933</v>
      </c>
      <c r="DB154">
        <f>92.44093719</f>
        <v>92.44093719</v>
      </c>
      <c r="DC154">
        <f>96.01933681</f>
        <v>96.019336809999999</v>
      </c>
      <c r="DD154">
        <f>93.03362201</f>
        <v>93.033622010000002</v>
      </c>
      <c r="DE154">
        <f>92.77225385</f>
        <v>92.772253849999998</v>
      </c>
      <c r="DF154">
        <f>93.99479643</f>
        <v>93.994796429999994</v>
      </c>
      <c r="DG154">
        <f>127.8251009</f>
        <v>127.8251009</v>
      </c>
      <c r="DH154">
        <f>56.59725174</f>
        <v>56.597251739999997</v>
      </c>
      <c r="DI154">
        <f>92.95596319</f>
        <v>92.955963190000006</v>
      </c>
      <c r="DJ154">
        <f>92.8309509</f>
        <v>92.830950900000005</v>
      </c>
      <c r="DK154">
        <f>95.27715306</f>
        <v>95.277153060000003</v>
      </c>
      <c r="DL154">
        <f>92.62319268</f>
        <v>92.623192680000002</v>
      </c>
      <c r="DM154">
        <f>91.4101703</f>
        <v>91.410170300000004</v>
      </c>
      <c r="DN154">
        <f>94.27225208</f>
        <v>94.272252080000001</v>
      </c>
      <c r="DO154">
        <f>97.32298951</f>
        <v>97.322989509999999</v>
      </c>
      <c r="DP154">
        <f>91.28588597</f>
        <v>91.285885969999995</v>
      </c>
      <c r="DQ154">
        <f>90.87044284</f>
        <v>90.870442839999995</v>
      </c>
      <c r="DR154">
        <f>91.16363769</f>
        <v>91.163637690000002</v>
      </c>
      <c r="DS154">
        <f>88.15231828</f>
        <v>88.152318280000003</v>
      </c>
      <c r="DT154">
        <f>120.3287711</f>
        <v>120.3287711</v>
      </c>
      <c r="DU154">
        <f>87.92149823</f>
        <v>87.921498229999997</v>
      </c>
    </row>
    <row r="155" spans="1:125">
      <c r="A155" t="str">
        <f>"    Sabra Health Care REIT Inc"</f>
        <v xml:space="preserve">    Sabra Health Care REIT Inc</v>
      </c>
      <c r="B155" t="str">
        <f>"SBRA US Equity"</f>
        <v>SBRA US Equity</v>
      </c>
      <c r="C155" t="str">
        <f t="shared" si="36"/>
        <v>RX225</v>
      </c>
      <c r="D155" t="str">
        <f t="shared" si="37"/>
        <v>EBITDA_TO_REVENUE</v>
      </c>
      <c r="E155" t="str">
        <f t="shared" si="38"/>
        <v>动态</v>
      </c>
      <c r="F155" t="str">
        <f ca="1">IF(AND(ISNUMBER($F$399),$B$258=1),$F$399,HLOOKUP(INDIRECT(ADDRESS(2,COLUMN())),OFFSET($BN$2,0,0,ROW()-1,60),ROW()-1,FALSE))</f>
        <v/>
      </c>
      <c r="G155">
        <f ca="1">IF(AND(ISNUMBER($G$399),$B$258=1),$G$399,HLOOKUP(INDIRECT(ADDRESS(2,COLUMN())),OFFSET($BN$2,0,0,ROW()-1,60),ROW()-1,FALSE))</f>
        <v>84.584194339999996</v>
      </c>
      <c r="H155">
        <f ca="1">IF(AND(ISNUMBER($H$399),$B$258=1),$H$399,HLOOKUP(INDIRECT(ADDRESS(2,COLUMN())),OFFSET($BN$2,0,0,ROW()-1,60),ROW()-1,FALSE))</f>
        <v>58.409145799999997</v>
      </c>
      <c r="I155">
        <f ca="1">IF(AND(ISNUMBER($I$399),$B$258=1),$I$399,HLOOKUP(INDIRECT(ADDRESS(2,COLUMN())),OFFSET($BN$2,0,0,ROW()-1,60),ROW()-1,FALSE))</f>
        <v>75.143660409999995</v>
      </c>
      <c r="J155">
        <f ca="1">IF(AND(ISNUMBER($J$399),$B$258=1),$J$399,HLOOKUP(INDIRECT(ADDRESS(2,COLUMN())),OFFSET($BN$2,0,0,ROW()-1,60),ROW()-1,FALSE))</f>
        <v>82.341580210000004</v>
      </c>
      <c r="K155">
        <f ca="1">IF(AND(ISNUMBER($K$399),$B$258=1),$K$399,HLOOKUP(INDIRECT(ADDRESS(2,COLUMN())),OFFSET($BN$2,0,0,ROW()-1,60),ROW()-1,FALSE))</f>
        <v>86.889676489999999</v>
      </c>
      <c r="L155">
        <f ca="1">IF(AND(ISNUMBER($L$399),$B$258=1),$L$399,HLOOKUP(INDIRECT(ADDRESS(2,COLUMN())),OFFSET($BN$2,0,0,ROW()-1,60),ROW()-1,FALSE))</f>
        <v>86.895861260000004</v>
      </c>
      <c r="M155">
        <f ca="1">IF(AND(ISNUMBER($M$399),$B$258=1),$M$399,HLOOKUP(INDIRECT(ADDRESS(2,COLUMN())),OFFSET($BN$2,0,0,ROW()-1,60),ROW()-1,FALSE))</f>
        <v>91.516384059999993</v>
      </c>
      <c r="N155">
        <f ca="1">IF(AND(ISNUMBER($N$399),$B$258=1),$N$399,HLOOKUP(INDIRECT(ADDRESS(2,COLUMN())),OFFSET($BN$2,0,0,ROW()-1,60),ROW()-1,FALSE))</f>
        <v>38.522035199999998</v>
      </c>
      <c r="O155">
        <f ca="1">IF(AND(ISNUMBER($O$399),$B$258=1),$O$399,HLOOKUP(INDIRECT(ADDRESS(2,COLUMN())),OFFSET($BN$2,0,0,ROW()-1,60),ROW()-1,FALSE))</f>
        <v>82.079314679999996</v>
      </c>
      <c r="P155">
        <f ca="1">IF(AND(ISNUMBER($P$399),$B$258=1),$P$399,HLOOKUP(INDIRECT(ADDRESS(2,COLUMN())),OFFSET($BN$2,0,0,ROW()-1,60),ROW()-1,FALSE))</f>
        <v>89.188106919999996</v>
      </c>
      <c r="Q155">
        <f ca="1">IF(AND(ISNUMBER($Q$399),$B$258=1),$Q$399,HLOOKUP(INDIRECT(ADDRESS(2,COLUMN())),OFFSET($BN$2,0,0,ROW()-1,60),ROW()-1,FALSE))</f>
        <v>77.319478320000002</v>
      </c>
      <c r="R155">
        <f ca="1">IF(AND(ISNUMBER($R$399),$B$258=1),$R$399,HLOOKUP(INDIRECT(ADDRESS(2,COLUMN())),OFFSET($BN$2,0,0,ROW()-1,60),ROW()-1,FALSE))</f>
        <v>85.598862740000001</v>
      </c>
      <c r="S155">
        <f ca="1">IF(AND(ISNUMBER($S$399),$B$258=1),$S$399,HLOOKUP(INDIRECT(ADDRESS(2,COLUMN())),OFFSET($BN$2,0,0,ROW()-1,60),ROW()-1,FALSE))</f>
        <v>83.245678589999997</v>
      </c>
      <c r="T155">
        <f ca="1">IF(AND(ISNUMBER($T$399),$B$258=1),$T$399,HLOOKUP(INDIRECT(ADDRESS(2,COLUMN())),OFFSET($BN$2,0,0,ROW()-1,60),ROW()-1,FALSE))</f>
        <v>85.844852669999995</v>
      </c>
      <c r="U155">
        <f ca="1">IF(AND(ISNUMBER($U$399),$B$258=1),$U$399,HLOOKUP(INDIRECT(ADDRESS(2,COLUMN())),OFFSET($BN$2,0,0,ROW()-1,60),ROW()-1,FALSE))</f>
        <v>81.555860659999993</v>
      </c>
      <c r="V155">
        <f ca="1">IF(AND(ISNUMBER($V$399),$B$258=1),$V$399,HLOOKUP(INDIRECT(ADDRESS(2,COLUMN())),OFFSET($BN$2,0,0,ROW()-1,60),ROW()-1,FALSE))</f>
        <v>85.671970619999996</v>
      </c>
      <c r="W155">
        <f ca="1">IF(AND(ISNUMBER($W$399),$B$258=1),$W$399,HLOOKUP(INDIRECT(ADDRESS(2,COLUMN())),OFFSET($BN$2,0,0,ROW()-1,60),ROW()-1,FALSE))</f>
        <v>86.082487950000001</v>
      </c>
      <c r="X155">
        <f ca="1">IF(AND(ISNUMBER($X$399),$B$258=1),$X$399,HLOOKUP(INDIRECT(ADDRESS(2,COLUMN())),OFFSET($BN$2,0,0,ROW()-1,60),ROW()-1,FALSE))</f>
        <v>90.715543949999997</v>
      </c>
      <c r="Y155">
        <f ca="1">IF(AND(ISNUMBER($Y$399),$B$258=1),$Y$399,HLOOKUP(INDIRECT(ADDRESS(2,COLUMN())),OFFSET($BN$2,0,0,ROW()-1,60),ROW()-1,FALSE))</f>
        <v>89.397366379999994</v>
      </c>
      <c r="Z155">
        <f ca="1">IF(AND(ISNUMBER($Z$399),$B$258=1),$Z$399,HLOOKUP(INDIRECT(ADDRESS(2,COLUMN())),OFFSET($BN$2,0,0,ROW()-1,60),ROW()-1,FALSE))</f>
        <v>85.269502220000007</v>
      </c>
      <c r="AA155">
        <f ca="1">IF(AND(ISNUMBER($AA$399),$B$258=1),$AA$399,HLOOKUP(INDIRECT(ADDRESS(2,COLUMN())),OFFSET($BN$2,0,0,ROW()-1,60),ROW()-1,FALSE))</f>
        <v>75.26513009</v>
      </c>
      <c r="AB155">
        <f ca="1">IF(AND(ISNUMBER($AB$399),$B$258=1),$AB$399,HLOOKUP(INDIRECT(ADDRESS(2,COLUMN())),OFFSET($BN$2,0,0,ROW()-1,60),ROW()-1,FALSE))</f>
        <v>85.490437049999997</v>
      </c>
      <c r="AC155">
        <f ca="1">IF(AND(ISNUMBER($AC$399),$B$258=1),$AC$399,HLOOKUP(INDIRECT(ADDRESS(2,COLUMN())),OFFSET($BN$2,0,0,ROW()-1,60),ROW()-1,FALSE))</f>
        <v>86.109009830000005</v>
      </c>
      <c r="AD155">
        <f ca="1">IF(AND(ISNUMBER($AD$399),$B$258=1),$AD$399,HLOOKUP(INDIRECT(ADDRESS(2,COLUMN())),OFFSET($BN$2,0,0,ROW()-1,60),ROW()-1,FALSE))</f>
        <v>81.788679560000006</v>
      </c>
      <c r="AE155">
        <f ca="1">IF(AND(ISNUMBER($AE$399),$B$258=1),$AE$399,HLOOKUP(INDIRECT(ADDRESS(2,COLUMN())),OFFSET($BN$2,0,0,ROW()-1,60),ROW()-1,FALSE))</f>
        <v>83.946259819999995</v>
      </c>
      <c r="AF155">
        <f ca="1">IF(AND(ISNUMBER($AF$399),$B$258=1),$AF$399,HLOOKUP(INDIRECT(ADDRESS(2,COLUMN())),OFFSET($BN$2,0,0,ROW()-1,60),ROW()-1,FALSE))</f>
        <v>78.332557059999999</v>
      </c>
      <c r="AG155">
        <f ca="1">IF(AND(ISNUMBER($AG$399),$B$258=1),$AG$399,HLOOKUP(INDIRECT(ADDRESS(2,COLUMN())),OFFSET($BN$2,0,0,ROW()-1,60),ROW()-1,FALSE))</f>
        <v>84.461579369999995</v>
      </c>
      <c r="AH155">
        <f ca="1">IF(AND(ISNUMBER($AH$399),$B$258=1),$AH$399,HLOOKUP(INDIRECT(ADDRESS(2,COLUMN())),OFFSET($BN$2,0,0,ROW()-1,60),ROW()-1,FALSE))</f>
        <v>84.830407359999995</v>
      </c>
      <c r="AI155" t="str">
        <f ca="1">IF(AND(ISNUMBER($AI$399),$B$258=1),$AI$399,HLOOKUP(INDIRECT(ADDRESS(2,COLUMN())),OFFSET($BN$2,0,0,ROW()-1,60),ROW()-1,FALSE))</f>
        <v/>
      </c>
      <c r="AJ155" t="str">
        <f ca="1">IF(AND(ISNUMBER($AJ$399),$B$258=1),$AJ$399,HLOOKUP(INDIRECT(ADDRESS(2,COLUMN())),OFFSET($BN$2,0,0,ROW()-1,60),ROW()-1,FALSE))</f>
        <v/>
      </c>
      <c r="AK155" t="str">
        <f ca="1">IF(AND(ISNUMBER($AK$399),$B$258=1),$AK$399,HLOOKUP(INDIRECT(ADDRESS(2,COLUMN())),OFFSET($BN$2,0,0,ROW()-1,60),ROW()-1,FALSE))</f>
        <v/>
      </c>
      <c r="AL155" t="str">
        <f ca="1">IF(AND(ISNUMBER($AL$399),$B$258=1),$AL$399,HLOOKUP(INDIRECT(ADDRESS(2,COLUMN())),OFFSET($BN$2,0,0,ROW()-1,60),ROW()-1,FALSE))</f>
        <v/>
      </c>
      <c r="AM155" t="str">
        <f ca="1">IF(AND(ISNUMBER($AM$399),$B$258=1),$AM$399,HLOOKUP(INDIRECT(ADDRESS(2,COLUMN())),OFFSET($BN$2,0,0,ROW()-1,60),ROW()-1,FALSE))</f>
        <v/>
      </c>
      <c r="AN155" t="str">
        <f ca="1">IF(AND(ISNUMBER($AN$399),$B$258=1),$AN$399,HLOOKUP(INDIRECT(ADDRESS(2,COLUMN())),OFFSET($BN$2,0,0,ROW()-1,60),ROW()-1,FALSE))</f>
        <v/>
      </c>
      <c r="AO155" t="str">
        <f ca="1">IF(AND(ISNUMBER($AO$399),$B$258=1),$AO$399,HLOOKUP(INDIRECT(ADDRESS(2,COLUMN())),OFFSET($BN$2,0,0,ROW()-1,60),ROW()-1,FALSE))</f>
        <v/>
      </c>
      <c r="AP155" t="str">
        <f ca="1">IF(AND(ISNUMBER($AP$399),$B$258=1),$AP$399,HLOOKUP(INDIRECT(ADDRESS(2,COLUMN())),OFFSET($BN$2,0,0,ROW()-1,60),ROW()-1,FALSE))</f>
        <v/>
      </c>
      <c r="AQ155" t="str">
        <f ca="1">IF(AND(ISNUMBER($AQ$399),$B$258=1),$AQ$399,HLOOKUP(INDIRECT(ADDRESS(2,COLUMN())),OFFSET($BN$2,0,0,ROW()-1,60),ROW()-1,FALSE))</f>
        <v/>
      </c>
      <c r="AR155" t="str">
        <f ca="1">IF(AND(ISNUMBER($AR$399),$B$258=1),$AR$399,HLOOKUP(INDIRECT(ADDRESS(2,COLUMN())),OFFSET($BN$2,0,0,ROW()-1,60),ROW()-1,FALSE))</f>
        <v/>
      </c>
      <c r="AS155" t="str">
        <f ca="1">IF(AND(ISNUMBER($AS$399),$B$258=1),$AS$399,HLOOKUP(INDIRECT(ADDRESS(2,COLUMN())),OFFSET($BN$2,0,0,ROW()-1,60),ROW()-1,FALSE))</f>
        <v/>
      </c>
      <c r="AT155" t="str">
        <f ca="1">IF(AND(ISNUMBER($AT$399),$B$258=1),$AT$399,HLOOKUP(INDIRECT(ADDRESS(2,COLUMN())),OFFSET($BN$2,0,0,ROW()-1,60),ROW()-1,FALSE))</f>
        <v/>
      </c>
      <c r="AU155" t="str">
        <f ca="1">IF(AND(ISNUMBER($AU$399),$B$258=1),$AU$399,HLOOKUP(INDIRECT(ADDRESS(2,COLUMN())),OFFSET($BN$2,0,0,ROW()-1,60),ROW()-1,FALSE))</f>
        <v/>
      </c>
      <c r="AV155" t="str">
        <f ca="1">IF(AND(ISNUMBER($AV$399),$B$258=1),$AV$399,HLOOKUP(INDIRECT(ADDRESS(2,COLUMN())),OFFSET($BN$2,0,0,ROW()-1,60),ROW()-1,FALSE))</f>
        <v/>
      </c>
      <c r="AW155" t="str">
        <f ca="1">IF(AND(ISNUMBER($AW$399),$B$258=1),$AW$399,HLOOKUP(INDIRECT(ADDRESS(2,COLUMN())),OFFSET($BN$2,0,0,ROW()-1,60),ROW()-1,FALSE))</f>
        <v/>
      </c>
      <c r="AX155" t="str">
        <f ca="1">IF(AND(ISNUMBER($AX$399),$B$258=1),$AX$399,HLOOKUP(INDIRECT(ADDRESS(2,COLUMN())),OFFSET($BN$2,0,0,ROW()-1,60),ROW()-1,FALSE))</f>
        <v/>
      </c>
      <c r="AY155" t="str">
        <f ca="1">IF(AND(ISNUMBER($AY$399),$B$258=1),$AY$399,HLOOKUP(INDIRECT(ADDRESS(2,COLUMN())),OFFSET($BN$2,0,0,ROW()-1,60),ROW()-1,FALSE))</f>
        <v/>
      </c>
      <c r="AZ155" t="str">
        <f ca="1">IF(AND(ISNUMBER($AZ$399),$B$258=1),$AZ$399,HLOOKUP(INDIRECT(ADDRESS(2,COLUMN())),OFFSET($BN$2,0,0,ROW()-1,60),ROW()-1,FALSE))</f>
        <v/>
      </c>
      <c r="BA155" t="str">
        <f ca="1">IF(AND(ISNUMBER($BA$399),$B$258=1),$BA$399,HLOOKUP(INDIRECT(ADDRESS(2,COLUMN())),OFFSET($BN$2,0,0,ROW()-1,60),ROW()-1,FALSE))</f>
        <v/>
      </c>
      <c r="BB155" t="str">
        <f ca="1">IF(AND(ISNUMBER($BB$399),$B$258=1),$BB$399,HLOOKUP(INDIRECT(ADDRESS(2,COLUMN())),OFFSET($BN$2,0,0,ROW()-1,60),ROW()-1,FALSE))</f>
        <v/>
      </c>
      <c r="BC155" t="str">
        <f ca="1">IF(AND(ISNUMBER($BC$399),$B$258=1),$BC$399,HLOOKUP(INDIRECT(ADDRESS(2,COLUMN())),OFFSET($BN$2,0,0,ROW()-1,60),ROW()-1,FALSE))</f>
        <v/>
      </c>
      <c r="BD155" t="str">
        <f ca="1">IF(AND(ISNUMBER($BD$399),$B$258=1),$BD$399,HLOOKUP(INDIRECT(ADDRESS(2,COLUMN())),OFFSET($BN$2,0,0,ROW()-1,60),ROW()-1,FALSE))</f>
        <v/>
      </c>
      <c r="BE155" t="str">
        <f ca="1">IF(AND(ISNUMBER($BE$399),$B$258=1),$BE$399,HLOOKUP(INDIRECT(ADDRESS(2,COLUMN())),OFFSET($BN$2,0,0,ROW()-1,60),ROW()-1,FALSE))</f>
        <v/>
      </c>
      <c r="BF155" t="str">
        <f ca="1">IF(AND(ISNUMBER($BF$399),$B$258=1),$BF$399,HLOOKUP(INDIRECT(ADDRESS(2,COLUMN())),OFFSET($BN$2,0,0,ROW()-1,60),ROW()-1,FALSE))</f>
        <v/>
      </c>
      <c r="BG155" t="str">
        <f ca="1">IF(AND(ISNUMBER($BG$399),$B$258=1),$BG$399,HLOOKUP(INDIRECT(ADDRESS(2,COLUMN())),OFFSET($BN$2,0,0,ROW()-1,60),ROW()-1,FALSE))</f>
        <v/>
      </c>
      <c r="BH155" t="str">
        <f ca="1">IF(AND(ISNUMBER($BH$399),$B$258=1),$BH$399,HLOOKUP(INDIRECT(ADDRESS(2,COLUMN())),OFFSET($BN$2,0,0,ROW()-1,60),ROW()-1,FALSE))</f>
        <v/>
      </c>
      <c r="BI155" t="str">
        <f ca="1">IF(AND(ISNUMBER($BI$399),$B$258=1),$BI$399,HLOOKUP(INDIRECT(ADDRESS(2,COLUMN())),OFFSET($BN$2,0,0,ROW()-1,60),ROW()-1,FALSE))</f>
        <v/>
      </c>
      <c r="BJ155" t="str">
        <f ca="1">IF(AND(ISNUMBER($BJ$399),$B$258=1),$BJ$399,HLOOKUP(INDIRECT(ADDRESS(2,COLUMN())),OFFSET($BN$2,0,0,ROW()-1,60),ROW()-1,FALSE))</f>
        <v/>
      </c>
      <c r="BK155" t="str">
        <f ca="1">IF(AND(ISNUMBER($BK$399),$B$258=1),$BK$399,HLOOKUP(INDIRECT(ADDRESS(2,COLUMN())),OFFSET($BN$2,0,0,ROW()-1,60),ROW()-1,FALSE))</f>
        <v/>
      </c>
      <c r="BL155" t="str">
        <f ca="1">IF(AND(ISNUMBER($BL$399),$B$258=1),$BL$399,HLOOKUP(INDIRECT(ADDRESS(2,COLUMN())),OFFSET($BN$2,0,0,ROW()-1,60),ROW()-1,FALSE))</f>
        <v/>
      </c>
      <c r="BM155" t="str">
        <f ca="1">IF(AND(ISNUMBER($BM$399),$B$258=1),$BM$399,HLOOKUP(INDIRECT(ADDRESS(2,COLUMN())),OFFSET($BN$2,0,0,ROW()-1,60),ROW()-1,FALSE))</f>
        <v/>
      </c>
      <c r="BN155" t="str">
        <f>""</f>
        <v/>
      </c>
      <c r="BO155">
        <f>84.58419434</f>
        <v>84.584194339999996</v>
      </c>
      <c r="BP155">
        <f>58.4091458</f>
        <v>58.409145799999997</v>
      </c>
      <c r="BQ155">
        <f>75.14366041</f>
        <v>75.143660409999995</v>
      </c>
      <c r="BR155">
        <f>82.34158021</f>
        <v>82.341580210000004</v>
      </c>
      <c r="BS155">
        <f>86.88967649</f>
        <v>86.889676489999999</v>
      </c>
      <c r="BT155">
        <f>86.89586126</f>
        <v>86.895861260000004</v>
      </c>
      <c r="BU155">
        <f>91.51638406</f>
        <v>91.516384059999993</v>
      </c>
      <c r="BV155">
        <f>38.5220352</f>
        <v>38.522035199999998</v>
      </c>
      <c r="BW155">
        <f>82.07931468</f>
        <v>82.079314679999996</v>
      </c>
      <c r="BX155">
        <f>89.18810692</f>
        <v>89.188106919999996</v>
      </c>
      <c r="BY155">
        <f>77.31947832</f>
        <v>77.319478320000002</v>
      </c>
      <c r="BZ155">
        <f>85.59886274</f>
        <v>85.598862740000001</v>
      </c>
      <c r="CA155">
        <f>83.24567859</f>
        <v>83.245678589999997</v>
      </c>
      <c r="CB155">
        <f>85.84485267</f>
        <v>85.844852669999995</v>
      </c>
      <c r="CC155">
        <f>81.55586066</f>
        <v>81.555860659999993</v>
      </c>
      <c r="CD155">
        <f>85.67197062</f>
        <v>85.671970619999996</v>
      </c>
      <c r="CE155">
        <f>86.08248795</f>
        <v>86.082487950000001</v>
      </c>
      <c r="CF155">
        <f>90.71554395</f>
        <v>90.715543949999997</v>
      </c>
      <c r="CG155">
        <f>89.39736638</f>
        <v>89.397366379999994</v>
      </c>
      <c r="CH155">
        <f>85.26950222</f>
        <v>85.269502220000007</v>
      </c>
      <c r="CI155">
        <f>75.26513009</f>
        <v>75.26513009</v>
      </c>
      <c r="CJ155">
        <f>85.49043705</f>
        <v>85.490437049999997</v>
      </c>
      <c r="CK155">
        <f>86.10900983</f>
        <v>86.109009830000005</v>
      </c>
      <c r="CL155">
        <f>81.78867956</f>
        <v>81.788679560000006</v>
      </c>
      <c r="CM155">
        <f>83.94625982</f>
        <v>83.946259819999995</v>
      </c>
      <c r="CN155">
        <f>78.33255706</f>
        <v>78.332557059999999</v>
      </c>
      <c r="CO155">
        <f>84.46157937</f>
        <v>84.461579369999995</v>
      </c>
      <c r="CP155">
        <f>84.83040736</f>
        <v>84.830407359999995</v>
      </c>
      <c r="CQ155" t="str">
        <f>""</f>
        <v/>
      </c>
      <c r="CR155" t="str">
        <f>""</f>
        <v/>
      </c>
      <c r="CS155" t="str">
        <f>""</f>
        <v/>
      </c>
      <c r="CT155" t="str">
        <f>""</f>
        <v/>
      </c>
      <c r="CU155" t="str">
        <f>""</f>
        <v/>
      </c>
      <c r="CV155" t="str">
        <f>""</f>
        <v/>
      </c>
      <c r="CW155" t="str">
        <f>""</f>
        <v/>
      </c>
      <c r="CX155" t="str">
        <f>""</f>
        <v/>
      </c>
      <c r="CY155" t="str">
        <f>""</f>
        <v/>
      </c>
      <c r="CZ155" t="str">
        <f>""</f>
        <v/>
      </c>
      <c r="DA155" t="str">
        <f>""</f>
        <v/>
      </c>
      <c r="DB155" t="str">
        <f>""</f>
        <v/>
      </c>
      <c r="DC155" t="str">
        <f>""</f>
        <v/>
      </c>
      <c r="DD155" t="str">
        <f>""</f>
        <v/>
      </c>
      <c r="DE155" t="str">
        <f>""</f>
        <v/>
      </c>
      <c r="DF155" t="str">
        <f>""</f>
        <v/>
      </c>
      <c r="DG155" t="str">
        <f>""</f>
        <v/>
      </c>
      <c r="DH155" t="str">
        <f>""</f>
        <v/>
      </c>
      <c r="DI155" t="str">
        <f>""</f>
        <v/>
      </c>
      <c r="DJ155" t="str">
        <f>""</f>
        <v/>
      </c>
      <c r="DK155" t="str">
        <f>""</f>
        <v/>
      </c>
      <c r="DL155" t="str">
        <f>""</f>
        <v/>
      </c>
      <c r="DM155" t="str">
        <f>""</f>
        <v/>
      </c>
      <c r="DN155" t="str">
        <f>""</f>
        <v/>
      </c>
      <c r="DO155" t="str">
        <f>""</f>
        <v/>
      </c>
      <c r="DP155" t="str">
        <f>""</f>
        <v/>
      </c>
      <c r="DQ155" t="str">
        <f>""</f>
        <v/>
      </c>
      <c r="DR155" t="str">
        <f>""</f>
        <v/>
      </c>
      <c r="DS155" t="str">
        <f>""</f>
        <v/>
      </c>
      <c r="DT155" t="str">
        <f>""</f>
        <v/>
      </c>
      <c r="DU155" t="str">
        <f>""</f>
        <v/>
      </c>
    </row>
    <row r="156" spans="1:125">
      <c r="A156" t="str">
        <f>"    Senior Housing Properties Trus"</f>
        <v xml:space="preserve">    Senior Housing Properties Trus</v>
      </c>
      <c r="B156" t="str">
        <f>"SNH US Equity"</f>
        <v>SNH US Equity</v>
      </c>
      <c r="C156" t="str">
        <f t="shared" si="36"/>
        <v>RX225</v>
      </c>
      <c r="D156" t="str">
        <f t="shared" si="37"/>
        <v>EBITDA_TO_REVENUE</v>
      </c>
      <c r="E156" t="str">
        <f t="shared" si="38"/>
        <v>动态</v>
      </c>
      <c r="F156" t="str">
        <f ca="1">IF(AND(ISNUMBER($F$400),$B$258=1),$F$400,HLOOKUP(INDIRECT(ADDRESS(2,COLUMN())),OFFSET($BN$2,0,0,ROW()-1,60),ROW()-1,FALSE))</f>
        <v/>
      </c>
      <c r="G156">
        <f ca="1">IF(AND(ISNUMBER($G$400),$B$258=1),$G$400,HLOOKUP(INDIRECT(ADDRESS(2,COLUMN())),OFFSET($BN$2,0,0,ROW()-1,60),ROW()-1,FALSE))</f>
        <v>45.817867219999997</v>
      </c>
      <c r="H156">
        <f ca="1">IF(AND(ISNUMBER($H$400),$B$258=1),$H$400,HLOOKUP(INDIRECT(ADDRESS(2,COLUMN())),OFFSET($BN$2,0,0,ROW()-1,60),ROW()-1,FALSE))</f>
        <v>53.278285879999999</v>
      </c>
      <c r="I156">
        <f ca="1">IF(AND(ISNUMBER($I$400),$B$258=1),$I$400,HLOOKUP(INDIRECT(ADDRESS(2,COLUMN())),OFFSET($BN$2,0,0,ROW()-1,60),ROW()-1,FALSE))</f>
        <v>50.644308019999997</v>
      </c>
      <c r="J156">
        <f ca="1">IF(AND(ISNUMBER($J$400),$B$258=1),$J$400,HLOOKUP(INDIRECT(ADDRESS(2,COLUMN())),OFFSET($BN$2,0,0,ROW()-1,60),ROW()-1,FALSE))</f>
        <v>55.990489910000001</v>
      </c>
      <c r="K156">
        <f ca="1">IF(AND(ISNUMBER($K$400),$B$258=1),$K$400,HLOOKUP(INDIRECT(ADDRESS(2,COLUMN())),OFFSET($BN$2,0,0,ROW()-1,60),ROW()-1,FALSE))</f>
        <v>58.065010059999999</v>
      </c>
      <c r="L156">
        <f ca="1">IF(AND(ISNUMBER($L$400),$B$258=1),$L$400,HLOOKUP(INDIRECT(ADDRESS(2,COLUMN())),OFFSET($BN$2,0,0,ROW()-1,60),ROW()-1,FALSE))</f>
        <v>54.218264050000002</v>
      </c>
      <c r="M156">
        <f ca="1">IF(AND(ISNUMBER($M$400),$B$258=1),$M$400,HLOOKUP(INDIRECT(ADDRESS(2,COLUMN())),OFFSET($BN$2,0,0,ROW()-1,60),ROW()-1,FALSE))</f>
        <v>56.160877229999997</v>
      </c>
      <c r="N156">
        <f ca="1">IF(AND(ISNUMBER($N$400),$B$258=1),$N$400,HLOOKUP(INDIRECT(ADDRESS(2,COLUMN())),OFFSET($BN$2,0,0,ROW()-1,60),ROW()-1,FALSE))</f>
        <v>54.855926459999999</v>
      </c>
      <c r="O156">
        <f ca="1">IF(AND(ISNUMBER($O$400),$B$258=1),$O$400,HLOOKUP(INDIRECT(ADDRESS(2,COLUMN())),OFFSET($BN$2,0,0,ROW()-1,60),ROW()-1,FALSE))</f>
        <v>58.073632150000002</v>
      </c>
      <c r="P156">
        <f ca="1">IF(AND(ISNUMBER($P$400),$B$258=1),$P$400,HLOOKUP(INDIRECT(ADDRESS(2,COLUMN())),OFFSET($BN$2,0,0,ROW()-1,60),ROW()-1,FALSE))</f>
        <v>57.736950350000001</v>
      </c>
      <c r="Q156">
        <f ca="1">IF(AND(ISNUMBER($Q$400),$B$258=1),$Q$400,HLOOKUP(INDIRECT(ADDRESS(2,COLUMN())),OFFSET($BN$2,0,0,ROW()-1,60),ROW()-1,FALSE))</f>
        <v>55.585241830000001</v>
      </c>
      <c r="R156">
        <f ca="1">IF(AND(ISNUMBER($R$400),$B$258=1),$R$400,HLOOKUP(INDIRECT(ADDRESS(2,COLUMN())),OFFSET($BN$2,0,0,ROW()-1,60),ROW()-1,FALSE))</f>
        <v>57.333415000000002</v>
      </c>
      <c r="S156">
        <f ca="1">IF(AND(ISNUMBER($S$400),$B$258=1),$S$400,HLOOKUP(INDIRECT(ADDRESS(2,COLUMN())),OFFSET($BN$2,0,0,ROW()-1,60),ROW()-1,FALSE))</f>
        <v>57.83063327</v>
      </c>
      <c r="T156">
        <f ca="1">IF(AND(ISNUMBER($T$400),$B$258=1),$T$400,HLOOKUP(INDIRECT(ADDRESS(2,COLUMN())),OFFSET($BN$2,0,0,ROW()-1,60),ROW()-1,FALSE))</f>
        <v>57.069344729999997</v>
      </c>
      <c r="U156">
        <f ca="1">IF(AND(ISNUMBER($U$400),$B$258=1),$U$400,HLOOKUP(INDIRECT(ADDRESS(2,COLUMN())),OFFSET($BN$2,0,0,ROW()-1,60),ROW()-1,FALSE))</f>
        <v>55.553244190000001</v>
      </c>
      <c r="V156">
        <f ca="1">IF(AND(ISNUMBER($V$400),$B$258=1),$V$400,HLOOKUP(INDIRECT(ADDRESS(2,COLUMN())),OFFSET($BN$2,0,0,ROW()-1,60),ROW()-1,FALSE))</f>
        <v>54.978929170000001</v>
      </c>
      <c r="W156">
        <f ca="1">IF(AND(ISNUMBER($W$400),$B$258=1),$W$400,HLOOKUP(INDIRECT(ADDRESS(2,COLUMN())),OFFSET($BN$2,0,0,ROW()-1,60),ROW()-1,FALSE))</f>
        <v>56.007906720000001</v>
      </c>
      <c r="X156">
        <f ca="1">IF(AND(ISNUMBER($X$400),$B$258=1),$X$400,HLOOKUP(INDIRECT(ADDRESS(2,COLUMN())),OFFSET($BN$2,0,0,ROW()-1,60),ROW()-1,FALSE))</f>
        <v>55.720503030000003</v>
      </c>
      <c r="Y156">
        <f ca="1">IF(AND(ISNUMBER($Y$400),$B$258=1),$Y$400,HLOOKUP(INDIRECT(ADDRESS(2,COLUMN())),OFFSET($BN$2,0,0,ROW()-1,60),ROW()-1,FALSE))</f>
        <v>53.396494910000001</v>
      </c>
      <c r="Z156">
        <f ca="1">IF(AND(ISNUMBER($Z$400),$B$258=1),$Z$400,HLOOKUP(INDIRECT(ADDRESS(2,COLUMN())),OFFSET($BN$2,0,0,ROW()-1,60),ROW()-1,FALSE))</f>
        <v>54.557857339999998</v>
      </c>
      <c r="AA156">
        <f ca="1">IF(AND(ISNUMBER($AA$400),$B$258=1),$AA$400,HLOOKUP(INDIRECT(ADDRESS(2,COLUMN())),OFFSET($BN$2,0,0,ROW()-1,60),ROW()-1,FALSE))</f>
        <v>57.057435980000001</v>
      </c>
      <c r="AB156">
        <f ca="1">IF(AND(ISNUMBER($AB$400),$B$258=1),$AB$400,HLOOKUP(INDIRECT(ADDRESS(2,COLUMN())),OFFSET($BN$2,0,0,ROW()-1,60),ROW()-1,FALSE))</f>
        <v>62.301739820000002</v>
      </c>
      <c r="AC156">
        <f ca="1">IF(AND(ISNUMBER($AC$400),$B$258=1),$AC$400,HLOOKUP(INDIRECT(ADDRESS(2,COLUMN())),OFFSET($BN$2,0,0,ROW()-1,60),ROW()-1,FALSE))</f>
        <v>65.989348509999999</v>
      </c>
      <c r="AD156">
        <f ca="1">IF(AND(ISNUMBER($AD$400),$B$258=1),$AD$400,HLOOKUP(INDIRECT(ADDRESS(2,COLUMN())),OFFSET($BN$2,0,0,ROW()-1,60),ROW()-1,FALSE))</f>
        <v>64.998311200000003</v>
      </c>
      <c r="AE156">
        <f ca="1">IF(AND(ISNUMBER($AE$400),$B$258=1),$AE$400,HLOOKUP(INDIRECT(ADDRESS(2,COLUMN())),OFFSET($BN$2,0,0,ROW()-1,60),ROW()-1,FALSE))</f>
        <v>70.648521630000005</v>
      </c>
      <c r="AF156">
        <f ca="1">IF(AND(ISNUMBER($AF$400),$B$258=1),$AF$400,HLOOKUP(INDIRECT(ADDRESS(2,COLUMN())),OFFSET($BN$2,0,0,ROW()-1,60),ROW()-1,FALSE))</f>
        <v>73.293755500000003</v>
      </c>
      <c r="AG156">
        <f ca="1">IF(AND(ISNUMBER($AG$400),$B$258=1),$AG$400,HLOOKUP(INDIRECT(ADDRESS(2,COLUMN())),OFFSET($BN$2,0,0,ROW()-1,60),ROW()-1,FALSE))</f>
        <v>79.331171780000005</v>
      </c>
      <c r="AH156">
        <f ca="1">IF(AND(ISNUMBER($AH$400),$B$258=1),$AH$400,HLOOKUP(INDIRECT(ADDRESS(2,COLUMN())),OFFSET($BN$2,0,0,ROW()-1,60),ROW()-1,FALSE))</f>
        <v>81.86946992</v>
      </c>
      <c r="AI156">
        <f ca="1">IF(AND(ISNUMBER($AI$400),$B$258=1),$AI$400,HLOOKUP(INDIRECT(ADDRESS(2,COLUMN())),OFFSET($BN$2,0,0,ROW()-1,60),ROW()-1,FALSE))</f>
        <v>79.967749560000001</v>
      </c>
      <c r="AJ156">
        <f ca="1">IF(AND(ISNUMBER($AJ$400),$B$258=1),$AJ$400,HLOOKUP(INDIRECT(ADDRESS(2,COLUMN())),OFFSET($BN$2,0,0,ROW()-1,60),ROW()-1,FALSE))</f>
        <v>87.117253989999995</v>
      </c>
      <c r="AK156">
        <f ca="1">IF(AND(ISNUMBER($AK$400),$B$258=1),$AK$400,HLOOKUP(INDIRECT(ADDRESS(2,COLUMN())),OFFSET($BN$2,0,0,ROW()-1,60),ROW()-1,FALSE))</f>
        <v>87.666687300000007</v>
      </c>
      <c r="AL156">
        <f ca="1">IF(AND(ISNUMBER($AL$400),$B$258=1),$AL$400,HLOOKUP(INDIRECT(ADDRESS(2,COLUMN())),OFFSET($BN$2,0,0,ROW()-1,60),ROW()-1,FALSE))</f>
        <v>87.680087510000007</v>
      </c>
      <c r="AM156">
        <f ca="1">IF(AND(ISNUMBER($AM$400),$B$258=1),$AM$400,HLOOKUP(INDIRECT(ADDRESS(2,COLUMN())),OFFSET($BN$2,0,0,ROW()-1,60),ROW()-1,FALSE))</f>
        <v>84.735377970000002</v>
      </c>
      <c r="AN156">
        <f ca="1">IF(AND(ISNUMBER($AN$400),$B$258=1),$AN$400,HLOOKUP(INDIRECT(ADDRESS(2,COLUMN())),OFFSET($BN$2,0,0,ROW()-1,60),ROW()-1,FALSE))</f>
        <v>71.330370779999996</v>
      </c>
      <c r="AO156">
        <f ca="1">IF(AND(ISNUMBER($AO$400),$B$258=1),$AO$400,HLOOKUP(INDIRECT(ADDRESS(2,COLUMN())),OFFSET($BN$2,0,0,ROW()-1,60),ROW()-1,FALSE))</f>
        <v>87.82403205</v>
      </c>
      <c r="AP156">
        <f ca="1">IF(AND(ISNUMBER($AP$400),$B$258=1),$AP$400,HLOOKUP(INDIRECT(ADDRESS(2,COLUMN())),OFFSET($BN$2,0,0,ROW()-1,60),ROW()-1,FALSE))</f>
        <v>88.629217429999997</v>
      </c>
      <c r="AQ156">
        <f ca="1">IF(AND(ISNUMBER($AQ$400),$B$258=1),$AQ$400,HLOOKUP(INDIRECT(ADDRESS(2,COLUMN())),OFFSET($BN$2,0,0,ROW()-1,60),ROW()-1,FALSE))</f>
        <v>91.361884779999997</v>
      </c>
      <c r="AR156">
        <f ca="1">IF(AND(ISNUMBER($AR$400),$B$258=1),$AR$400,HLOOKUP(INDIRECT(ADDRESS(2,COLUMN())),OFFSET($BN$2,0,0,ROW()-1,60),ROW()-1,FALSE))</f>
        <v>91.203726979999999</v>
      </c>
      <c r="AS156">
        <f ca="1">IF(AND(ISNUMBER($AS$400),$B$258=1),$AS$400,HLOOKUP(INDIRECT(ADDRESS(2,COLUMN())),OFFSET($BN$2,0,0,ROW()-1,60),ROW()-1,FALSE))</f>
        <v>91.371043270000001</v>
      </c>
      <c r="AT156">
        <f ca="1">IF(AND(ISNUMBER($AT$400),$B$258=1),$AT$400,HLOOKUP(INDIRECT(ADDRESS(2,COLUMN())),OFFSET($BN$2,0,0,ROW()-1,60),ROW()-1,FALSE))</f>
        <v>92.541319400000006</v>
      </c>
      <c r="AU156">
        <f ca="1">IF(AND(ISNUMBER($AU$400),$B$258=1),$AU$400,HLOOKUP(INDIRECT(ADDRESS(2,COLUMN())),OFFSET($BN$2,0,0,ROW()-1,60),ROW()-1,FALSE))</f>
        <v>93.553613139999996</v>
      </c>
      <c r="AV156">
        <f ca="1">IF(AND(ISNUMBER($AV$400),$B$258=1),$AV$400,HLOOKUP(INDIRECT(ADDRESS(2,COLUMN())),OFFSET($BN$2,0,0,ROW()-1,60),ROW()-1,FALSE))</f>
        <v>92.112595080000006</v>
      </c>
      <c r="AW156">
        <f ca="1">IF(AND(ISNUMBER($AW$400),$B$258=1),$AW$400,HLOOKUP(INDIRECT(ADDRESS(2,COLUMN())),OFFSET($BN$2,0,0,ROW()-1,60),ROW()-1,FALSE))</f>
        <v>92.329077889999994</v>
      </c>
      <c r="AX156">
        <f ca="1">IF(AND(ISNUMBER($AX$400),$B$258=1),$AX$400,HLOOKUP(INDIRECT(ADDRESS(2,COLUMN())),OFFSET($BN$2,0,0,ROW()-1,60),ROW()-1,FALSE))</f>
        <v>91.696460490000007</v>
      </c>
      <c r="AY156">
        <f ca="1">IF(AND(ISNUMBER($AY$400),$B$258=1),$AY$400,HLOOKUP(INDIRECT(ADDRESS(2,COLUMN())),OFFSET($BN$2,0,0,ROW()-1,60),ROW()-1,FALSE))</f>
        <v>93.143666879999998</v>
      </c>
      <c r="AZ156">
        <f ca="1">IF(AND(ISNUMBER($AZ$400),$B$258=1),$AZ$400,HLOOKUP(INDIRECT(ADDRESS(2,COLUMN())),OFFSET($BN$2,0,0,ROW()-1,60),ROW()-1,FALSE))</f>
        <v>90.339579839999999</v>
      </c>
      <c r="BA156">
        <f ca="1">IF(AND(ISNUMBER($BA$400),$B$258=1),$BA$400,HLOOKUP(INDIRECT(ADDRESS(2,COLUMN())),OFFSET($BN$2,0,0,ROW()-1,60),ROW()-1,FALSE))</f>
        <v>91.803953870000001</v>
      </c>
      <c r="BB156">
        <f ca="1">IF(AND(ISNUMBER($BB$400),$B$258=1),$BB$400,HLOOKUP(INDIRECT(ADDRESS(2,COLUMN())),OFFSET($BN$2,0,0,ROW()-1,60),ROW()-1,FALSE))</f>
        <v>91.741358790000007</v>
      </c>
      <c r="BC156">
        <f ca="1">IF(AND(ISNUMBER($BC$400),$B$258=1),$BC$400,HLOOKUP(INDIRECT(ADDRESS(2,COLUMN())),OFFSET($BN$2,0,0,ROW()-1,60),ROW()-1,FALSE))</f>
        <v>92.391920380000002</v>
      </c>
      <c r="BD156">
        <f ca="1">IF(AND(ISNUMBER($BD$400),$B$258=1),$BD$400,HLOOKUP(INDIRECT(ADDRESS(2,COLUMN())),OFFSET($BN$2,0,0,ROW()-1,60),ROW()-1,FALSE))</f>
        <v>91.847233810000006</v>
      </c>
      <c r="BE156">
        <f ca="1">IF(AND(ISNUMBER($BE$400),$B$258=1),$BE$400,HLOOKUP(INDIRECT(ADDRESS(2,COLUMN())),OFFSET($BN$2,0,0,ROW()-1,60),ROW()-1,FALSE))</f>
        <v>92.205529780000006</v>
      </c>
      <c r="BF156">
        <f ca="1">IF(AND(ISNUMBER($BF$400),$B$258=1),$BF$400,HLOOKUP(INDIRECT(ADDRESS(2,COLUMN())),OFFSET($BN$2,0,0,ROW()-1,60),ROW()-1,FALSE))</f>
        <v>91.350341720000003</v>
      </c>
      <c r="BG156">
        <f ca="1">IF(AND(ISNUMBER($BG$400),$B$258=1),$BG$400,HLOOKUP(INDIRECT(ADDRESS(2,COLUMN())),OFFSET($BN$2,0,0,ROW()-1,60),ROW()-1,FALSE))</f>
        <v>92.622145840000002</v>
      </c>
      <c r="BH156">
        <f ca="1">IF(AND(ISNUMBER($BH$400),$B$258=1),$BH$400,HLOOKUP(INDIRECT(ADDRESS(2,COLUMN())),OFFSET($BN$2,0,0,ROW()-1,60),ROW()-1,FALSE))</f>
        <v>92.174910550000007</v>
      </c>
      <c r="BI156">
        <f ca="1">IF(AND(ISNUMBER($BI$400),$B$258=1),$BI$400,HLOOKUP(INDIRECT(ADDRESS(2,COLUMN())),OFFSET($BN$2,0,0,ROW()-1,60),ROW()-1,FALSE))</f>
        <v>92.277360049999999</v>
      </c>
      <c r="BJ156">
        <f ca="1">IF(AND(ISNUMBER($BJ$400),$B$258=1),$BJ$400,HLOOKUP(INDIRECT(ADDRESS(2,COLUMN())),OFFSET($BN$2,0,0,ROW()-1,60),ROW()-1,FALSE))</f>
        <v>93.038339149999999</v>
      </c>
      <c r="BK156">
        <f ca="1">IF(AND(ISNUMBER($BK$400),$B$258=1),$BK$400,HLOOKUP(INDIRECT(ADDRESS(2,COLUMN())),OFFSET($BN$2,0,0,ROW()-1,60),ROW()-1,FALSE))</f>
        <v>91.970437189999998</v>
      </c>
      <c r="BL156">
        <f ca="1">IF(AND(ISNUMBER($BL$400),$B$258=1),$BL$400,HLOOKUP(INDIRECT(ADDRESS(2,COLUMN())),OFFSET($BN$2,0,0,ROW()-1,60),ROW()-1,FALSE))</f>
        <v>90.047039029999993</v>
      </c>
      <c r="BM156">
        <f ca="1">IF(AND(ISNUMBER($BM$400),$B$258=1),$BM$400,HLOOKUP(INDIRECT(ADDRESS(2,COLUMN())),OFFSET($BN$2,0,0,ROW()-1,60),ROW()-1,FALSE))</f>
        <v>90.484266059999996</v>
      </c>
      <c r="BN156" t="str">
        <f>""</f>
        <v/>
      </c>
      <c r="BO156">
        <f>45.81786722</f>
        <v>45.817867219999997</v>
      </c>
      <c r="BP156">
        <f>53.27828588</f>
        <v>53.278285879999999</v>
      </c>
      <c r="BQ156">
        <f>50.64430802</f>
        <v>50.644308019999997</v>
      </c>
      <c r="BR156">
        <f>55.99048991</f>
        <v>55.990489910000001</v>
      </c>
      <c r="BS156">
        <f>58.06501006</f>
        <v>58.065010059999999</v>
      </c>
      <c r="BT156">
        <f>54.21826405</f>
        <v>54.218264050000002</v>
      </c>
      <c r="BU156">
        <f>56.16087723</f>
        <v>56.160877229999997</v>
      </c>
      <c r="BV156">
        <f>54.85592646</f>
        <v>54.855926459999999</v>
      </c>
      <c r="BW156">
        <f>58.07363215</f>
        <v>58.073632150000002</v>
      </c>
      <c r="BX156">
        <f>57.73695035</f>
        <v>57.736950350000001</v>
      </c>
      <c r="BY156">
        <f>55.58524183</f>
        <v>55.585241830000001</v>
      </c>
      <c r="BZ156">
        <f>57.333415</f>
        <v>57.333415000000002</v>
      </c>
      <c r="CA156">
        <f>57.83063327</f>
        <v>57.83063327</v>
      </c>
      <c r="CB156">
        <f>57.06934473</f>
        <v>57.069344729999997</v>
      </c>
      <c r="CC156">
        <f>55.55324419</f>
        <v>55.553244190000001</v>
      </c>
      <c r="CD156">
        <f>54.97892917</f>
        <v>54.978929170000001</v>
      </c>
      <c r="CE156">
        <f>56.00790672</f>
        <v>56.007906720000001</v>
      </c>
      <c r="CF156">
        <f>55.72050303</f>
        <v>55.720503030000003</v>
      </c>
      <c r="CG156">
        <f>53.39649491</f>
        <v>53.396494910000001</v>
      </c>
      <c r="CH156">
        <f>54.55785734</f>
        <v>54.557857339999998</v>
      </c>
      <c r="CI156">
        <f>57.05743598</f>
        <v>57.057435980000001</v>
      </c>
      <c r="CJ156">
        <f>62.30173982</f>
        <v>62.301739820000002</v>
      </c>
      <c r="CK156">
        <f>65.98934851</f>
        <v>65.989348509999999</v>
      </c>
      <c r="CL156">
        <f>64.9983112</f>
        <v>64.998311200000003</v>
      </c>
      <c r="CM156">
        <f>70.64852163</f>
        <v>70.648521630000005</v>
      </c>
      <c r="CN156">
        <f>73.2937555</f>
        <v>73.293755500000003</v>
      </c>
      <c r="CO156">
        <f>79.33117178</f>
        <v>79.331171780000005</v>
      </c>
      <c r="CP156">
        <f>81.86946992</f>
        <v>81.86946992</v>
      </c>
      <c r="CQ156">
        <f>79.96774956</f>
        <v>79.967749560000001</v>
      </c>
      <c r="CR156">
        <f>87.11725399</f>
        <v>87.117253989999995</v>
      </c>
      <c r="CS156">
        <f>87.6666873</f>
        <v>87.666687300000007</v>
      </c>
      <c r="CT156">
        <f>87.68008751</f>
        <v>87.680087510000007</v>
      </c>
      <c r="CU156">
        <f>84.73537797</f>
        <v>84.735377970000002</v>
      </c>
      <c r="CV156">
        <f>71.33037078</f>
        <v>71.330370779999996</v>
      </c>
      <c r="CW156">
        <f>87.82403205</f>
        <v>87.82403205</v>
      </c>
      <c r="CX156">
        <f>88.62921743</f>
        <v>88.629217429999997</v>
      </c>
      <c r="CY156">
        <f>91.36188478</f>
        <v>91.361884779999997</v>
      </c>
      <c r="CZ156">
        <f>91.20372698</f>
        <v>91.203726979999999</v>
      </c>
      <c r="DA156">
        <f>91.37104327</f>
        <v>91.371043270000001</v>
      </c>
      <c r="DB156">
        <f>92.5413194</f>
        <v>92.541319400000006</v>
      </c>
      <c r="DC156">
        <f>93.55361314</f>
        <v>93.553613139999996</v>
      </c>
      <c r="DD156">
        <f>92.11259508</f>
        <v>92.112595080000006</v>
      </c>
      <c r="DE156">
        <f>92.32907789</f>
        <v>92.329077889999994</v>
      </c>
      <c r="DF156">
        <f>91.69646049</f>
        <v>91.696460490000007</v>
      </c>
      <c r="DG156">
        <f>93.14366688</f>
        <v>93.143666879999998</v>
      </c>
      <c r="DH156">
        <f>90.33957984</f>
        <v>90.339579839999999</v>
      </c>
      <c r="DI156">
        <f>91.80395387</f>
        <v>91.803953870000001</v>
      </c>
      <c r="DJ156">
        <f>91.74135879</f>
        <v>91.741358790000007</v>
      </c>
      <c r="DK156">
        <f>92.39192038</f>
        <v>92.391920380000002</v>
      </c>
      <c r="DL156">
        <f>91.84723381</f>
        <v>91.847233810000006</v>
      </c>
      <c r="DM156">
        <f>92.20552978</f>
        <v>92.205529780000006</v>
      </c>
      <c r="DN156">
        <f>91.35034172</f>
        <v>91.350341720000003</v>
      </c>
      <c r="DO156">
        <f>92.62214584</f>
        <v>92.622145840000002</v>
      </c>
      <c r="DP156">
        <f>92.17491055</f>
        <v>92.174910550000007</v>
      </c>
      <c r="DQ156">
        <f>92.27736005</f>
        <v>92.277360049999999</v>
      </c>
      <c r="DR156">
        <f>93.03833915</f>
        <v>93.038339149999999</v>
      </c>
      <c r="DS156">
        <f>91.97043719</f>
        <v>91.970437189999998</v>
      </c>
      <c r="DT156">
        <f>90.04703903</f>
        <v>90.047039029999993</v>
      </c>
      <c r="DU156">
        <f>90.48426606</f>
        <v>90.484266059999996</v>
      </c>
    </row>
    <row r="157" spans="1:125">
      <c r="A157" t="str">
        <f>"    Ventas Inc"</f>
        <v xml:space="preserve">    Ventas Inc</v>
      </c>
      <c r="B157" t="str">
        <f>"VTR US Equity"</f>
        <v>VTR US Equity</v>
      </c>
      <c r="C157" t="str">
        <f t="shared" si="36"/>
        <v>RX225</v>
      </c>
      <c r="D157" t="str">
        <f t="shared" si="37"/>
        <v>EBITDA_TO_REVENUE</v>
      </c>
      <c r="E157" t="str">
        <f t="shared" si="38"/>
        <v>动态</v>
      </c>
      <c r="F157" t="str">
        <f ca="1">IF(AND(ISNUMBER($F$401),$B$258=1),$F$401,HLOOKUP(INDIRECT(ADDRESS(2,COLUMN())),OFFSET($BN$2,0,0,ROW()-1,60),ROW()-1,FALSE))</f>
        <v/>
      </c>
      <c r="G157">
        <f ca="1">IF(AND(ISNUMBER($G$401),$B$258=1),$G$401,HLOOKUP(INDIRECT(ADDRESS(2,COLUMN())),OFFSET($BN$2,0,0,ROW()-1,60),ROW()-1,FALSE))</f>
        <v>54.171953610000003</v>
      </c>
      <c r="H157">
        <f ca="1">IF(AND(ISNUMBER($H$401),$B$258=1),$H$401,HLOOKUP(INDIRECT(ADDRESS(2,COLUMN())),OFFSET($BN$2,0,0,ROW()-1,60),ROW()-1,FALSE))</f>
        <v>54.357904189999999</v>
      </c>
      <c r="I157">
        <f ca="1">IF(AND(ISNUMBER($I$401),$B$258=1),$I$401,HLOOKUP(INDIRECT(ADDRESS(2,COLUMN())),OFFSET($BN$2,0,0,ROW()-1,60),ROW()-1,FALSE))</f>
        <v>54.694413109999999</v>
      </c>
      <c r="J157">
        <f ca="1">IF(AND(ISNUMBER($J$401),$B$258=1),$J$401,HLOOKUP(INDIRECT(ADDRESS(2,COLUMN())),OFFSET($BN$2,0,0,ROW()-1,60),ROW()-1,FALSE))</f>
        <v>54.072645319999999</v>
      </c>
      <c r="K157">
        <f ca="1">IF(AND(ISNUMBER($K$401),$B$258=1),$K$401,HLOOKUP(INDIRECT(ADDRESS(2,COLUMN())),OFFSET($BN$2,0,0,ROW()-1,60),ROW()-1,FALSE))</f>
        <v>54.602478210000001</v>
      </c>
      <c r="L157">
        <f ca="1">IF(AND(ISNUMBER($L$401),$B$258=1),$L$401,HLOOKUP(INDIRECT(ADDRESS(2,COLUMN())),OFFSET($BN$2,0,0,ROW()-1,60),ROW()-1,FALSE))</f>
        <v>52.731237800000002</v>
      </c>
      <c r="M157">
        <f ca="1">IF(AND(ISNUMBER($M$401),$B$258=1),$M$401,HLOOKUP(INDIRECT(ADDRESS(2,COLUMN())),OFFSET($BN$2,0,0,ROW()-1,60),ROW()-1,FALSE))</f>
        <v>53.662995459999998</v>
      </c>
      <c r="N157">
        <f ca="1">IF(AND(ISNUMBER($N$401),$B$258=1),$N$401,HLOOKUP(INDIRECT(ADDRESS(2,COLUMN())),OFFSET($BN$2,0,0,ROW()-1,60),ROW()-1,FALSE))</f>
        <v>53.885243150000001</v>
      </c>
      <c r="O157">
        <f ca="1">IF(AND(ISNUMBER($O$401),$B$258=1),$O$401,HLOOKUP(INDIRECT(ADDRESS(2,COLUMN())),OFFSET($BN$2,0,0,ROW()-1,60),ROW()-1,FALSE))</f>
        <v>54.193283039999997</v>
      </c>
      <c r="P157">
        <f ca="1">IF(AND(ISNUMBER($P$401),$B$258=1),$P$401,HLOOKUP(INDIRECT(ADDRESS(2,COLUMN())),OFFSET($BN$2,0,0,ROW()-1,60),ROW()-1,FALSE))</f>
        <v>47.482014390000003</v>
      </c>
      <c r="Q157">
        <f ca="1">IF(AND(ISNUMBER($Q$401),$B$258=1),$Q$401,HLOOKUP(INDIRECT(ADDRESS(2,COLUMN())),OFFSET($BN$2,0,0,ROW()-1,60),ROW()-1,FALSE))</f>
        <v>55.64168884</v>
      </c>
      <c r="R157">
        <f ca="1">IF(AND(ISNUMBER($R$401),$B$258=1),$R$401,HLOOKUP(INDIRECT(ADDRESS(2,COLUMN())),OFFSET($BN$2,0,0,ROW()-1,60),ROW()-1,FALSE))</f>
        <v>52.653556739999999</v>
      </c>
      <c r="S157">
        <f ca="1">IF(AND(ISNUMBER($S$401),$B$258=1),$S$401,HLOOKUP(INDIRECT(ADDRESS(2,COLUMN())),OFFSET($BN$2,0,0,ROW()-1,60),ROW()-1,FALSE))</f>
        <v>54.633310109999996</v>
      </c>
      <c r="T157">
        <f ca="1">IF(AND(ISNUMBER($T$401),$B$258=1),$T$401,HLOOKUP(INDIRECT(ADDRESS(2,COLUMN())),OFFSET($BN$2,0,0,ROW()-1,60),ROW()-1,FALSE))</f>
        <v>53.396072250000003</v>
      </c>
      <c r="U157">
        <f ca="1">IF(AND(ISNUMBER($U$401),$B$258=1),$U$401,HLOOKUP(INDIRECT(ADDRESS(2,COLUMN())),OFFSET($BN$2,0,0,ROW()-1,60),ROW()-1,FALSE))</f>
        <v>56.06758833</v>
      </c>
      <c r="V157">
        <f ca="1">IF(AND(ISNUMBER($V$401),$B$258=1),$V$401,HLOOKUP(INDIRECT(ADDRESS(2,COLUMN())),OFFSET($BN$2,0,0,ROW()-1,60),ROW()-1,FALSE))</f>
        <v>54.90646958</v>
      </c>
      <c r="W157">
        <f ca="1">IF(AND(ISNUMBER($W$401),$B$258=1),$W$401,HLOOKUP(INDIRECT(ADDRESS(2,COLUMN())),OFFSET($BN$2,0,0,ROW()-1,60),ROW()-1,FALSE))</f>
        <v>55.843204649999997</v>
      </c>
      <c r="X157">
        <f ca="1">IF(AND(ISNUMBER($X$401),$B$258=1),$X$401,HLOOKUP(INDIRECT(ADDRESS(2,COLUMN())),OFFSET($BN$2,0,0,ROW()-1,60),ROW()-1,FALSE))</f>
        <v>56.408374559999999</v>
      </c>
      <c r="Y157">
        <f ca="1">IF(AND(ISNUMBER($Y$401),$B$258=1),$Y$401,HLOOKUP(INDIRECT(ADDRESS(2,COLUMN())),OFFSET($BN$2,0,0,ROW()-1,60),ROW()-1,FALSE))</f>
        <v>58.678514679999999</v>
      </c>
      <c r="Z157">
        <f ca="1">IF(AND(ISNUMBER($Z$401),$B$258=1),$Z$401,HLOOKUP(INDIRECT(ADDRESS(2,COLUMN())),OFFSET($BN$2,0,0,ROW()-1,60),ROW()-1,FALSE))</f>
        <v>57.475886250000002</v>
      </c>
      <c r="AA157">
        <f ca="1">IF(AND(ISNUMBER($AA$401),$B$258=1),$AA$401,HLOOKUP(INDIRECT(ADDRESS(2,COLUMN())),OFFSET($BN$2,0,0,ROW()-1,60),ROW()-1,FALSE))</f>
        <v>57.317188479999999</v>
      </c>
      <c r="AB157">
        <f ca="1">IF(AND(ISNUMBER($AB$401),$B$258=1),$AB$401,HLOOKUP(INDIRECT(ADDRESS(2,COLUMN())),OFFSET($BN$2,0,0,ROW()-1,60),ROW()-1,FALSE))</f>
        <v>56.527546170000001</v>
      </c>
      <c r="AC157">
        <f ca="1">IF(AND(ISNUMBER($AC$401),$B$258=1),$AC$401,HLOOKUP(INDIRECT(ADDRESS(2,COLUMN())),OFFSET($BN$2,0,0,ROW()-1,60),ROW()-1,FALSE))</f>
        <v>52.745586340000003</v>
      </c>
      <c r="AD157">
        <f ca="1">IF(AND(ISNUMBER($AD$401),$B$258=1),$AD$401,HLOOKUP(INDIRECT(ADDRESS(2,COLUMN())),OFFSET($BN$2,0,0,ROW()-1,60),ROW()-1,FALSE))</f>
        <v>56.783434319999998</v>
      </c>
      <c r="AE157">
        <f ca="1">IF(AND(ISNUMBER($AE$401),$B$258=1),$AE$401,HLOOKUP(INDIRECT(ADDRESS(2,COLUMN())),OFFSET($BN$2,0,0,ROW()-1,60),ROW()-1,FALSE))</f>
        <v>22.971525979999999</v>
      </c>
      <c r="AF157">
        <f ca="1">IF(AND(ISNUMBER($AF$401),$B$258=1),$AF$401,HLOOKUP(INDIRECT(ADDRESS(2,COLUMN())),OFFSET($BN$2,0,0,ROW()-1,60),ROW()-1,FALSE))</f>
        <v>60.86395212</v>
      </c>
      <c r="AG157">
        <f ca="1">IF(AND(ISNUMBER($AG$401),$B$258=1),$AG$401,HLOOKUP(INDIRECT(ADDRESS(2,COLUMN())),OFFSET($BN$2,0,0,ROW()-1,60),ROW()-1,FALSE))</f>
        <v>38.440248560000001</v>
      </c>
      <c r="AH157">
        <f ca="1">IF(AND(ISNUMBER($AH$401),$B$258=1),$AH$401,HLOOKUP(INDIRECT(ADDRESS(2,COLUMN())),OFFSET($BN$2,0,0,ROW()-1,60),ROW()-1,FALSE))</f>
        <v>58.751937179999999</v>
      </c>
      <c r="AI157">
        <f ca="1">IF(AND(ISNUMBER($AI$401),$B$258=1),$AI$401,HLOOKUP(INDIRECT(ADDRESS(2,COLUMN())),OFFSET($BN$2,0,0,ROW()-1,60),ROW()-1,FALSE))</f>
        <v>60.178970919999998</v>
      </c>
      <c r="AJ157">
        <f ca="1">IF(AND(ISNUMBER($AJ$401),$B$258=1),$AJ$401,HLOOKUP(INDIRECT(ADDRESS(2,COLUMN())),OFFSET($BN$2,0,0,ROW()-1,60),ROW()-1,FALSE))</f>
        <v>57.935125540000001</v>
      </c>
      <c r="AK157">
        <f ca="1">IF(AND(ISNUMBER($AK$401),$B$258=1),$AK$401,HLOOKUP(INDIRECT(ADDRESS(2,COLUMN())),OFFSET($BN$2,0,0,ROW()-1,60),ROW()-1,FALSE))</f>
        <v>64.289824100000004</v>
      </c>
      <c r="AL157">
        <f ca="1">IF(AND(ISNUMBER($AL$401),$B$258=1),$AL$401,HLOOKUP(INDIRECT(ADDRESS(2,COLUMN())),OFFSET($BN$2,0,0,ROW()-1,60),ROW()-1,FALSE))</f>
        <v>62.844143340000002</v>
      </c>
      <c r="AM157">
        <f ca="1">IF(AND(ISNUMBER($AM$401),$B$258=1),$AM$401,HLOOKUP(INDIRECT(ADDRESS(2,COLUMN())),OFFSET($BN$2,0,0,ROW()-1,60),ROW()-1,FALSE))</f>
        <v>63.065373100000002</v>
      </c>
      <c r="AN157">
        <f ca="1">IF(AND(ISNUMBER($AN$401),$B$258=1),$AN$401,HLOOKUP(INDIRECT(ADDRESS(2,COLUMN())),OFFSET($BN$2,0,0,ROW()-1,60),ROW()-1,FALSE))</f>
        <v>60.994216600000001</v>
      </c>
      <c r="AO157">
        <f ca="1">IF(AND(ISNUMBER($AO$401),$B$258=1),$AO$401,HLOOKUP(INDIRECT(ADDRESS(2,COLUMN())),OFFSET($BN$2,0,0,ROW()-1,60),ROW()-1,FALSE))</f>
        <v>62.775435080000001</v>
      </c>
      <c r="AP157">
        <f ca="1">IF(AND(ISNUMBER($AP$401),$B$258=1),$AP$401,HLOOKUP(INDIRECT(ADDRESS(2,COLUMN())),OFFSET($BN$2,0,0,ROW()-1,60),ROW()-1,FALSE))</f>
        <v>61.68262678</v>
      </c>
      <c r="AQ157">
        <f ca="1">IF(AND(ISNUMBER($AQ$401),$B$258=1),$AQ$401,HLOOKUP(INDIRECT(ADDRESS(2,COLUMN())),OFFSET($BN$2,0,0,ROW()-1,60),ROW()-1,FALSE))</f>
        <v>140.78114719999999</v>
      </c>
      <c r="AR157">
        <f ca="1">IF(AND(ISNUMBER($AR$401),$B$258=1),$AR$401,HLOOKUP(INDIRECT(ADDRESS(2,COLUMN())),OFFSET($BN$2,0,0,ROW()-1,60),ROW()-1,FALSE))</f>
        <v>-14.62778739</v>
      </c>
      <c r="AS157">
        <f ca="1">IF(AND(ISNUMBER($AS$401),$B$258=1),$AS$401,HLOOKUP(INDIRECT(ADDRESS(2,COLUMN())),OFFSET($BN$2,0,0,ROW()-1,60),ROW()-1,FALSE))</f>
        <v>64.347621059999994</v>
      </c>
      <c r="AT157">
        <f ca="1">IF(AND(ISNUMBER($AT$401),$B$258=1),$AT$401,HLOOKUP(INDIRECT(ADDRESS(2,COLUMN())),OFFSET($BN$2,0,0,ROW()-1,60),ROW()-1,FALSE))</f>
        <v>63.985096560000002</v>
      </c>
      <c r="AU157">
        <f ca="1">IF(AND(ISNUMBER($AU$401),$B$258=1),$AU$401,HLOOKUP(INDIRECT(ADDRESS(2,COLUMN())),OFFSET($BN$2,0,0,ROW()-1,60),ROW()-1,FALSE))</f>
        <v>61.121185910000001</v>
      </c>
      <c r="AV157">
        <f ca="1">IF(AND(ISNUMBER($AV$401),$B$258=1),$AV$401,HLOOKUP(INDIRECT(ADDRESS(2,COLUMN())),OFFSET($BN$2,0,0,ROW()-1,60),ROW()-1,FALSE))</f>
        <v>64.431836489999995</v>
      </c>
      <c r="AW157">
        <f ca="1">IF(AND(ISNUMBER($AW$401),$B$258=1),$AW$401,HLOOKUP(INDIRECT(ADDRESS(2,COLUMN())),OFFSET($BN$2,0,0,ROW()-1,60),ROW()-1,FALSE))</f>
        <v>70.301745030000006</v>
      </c>
      <c r="AX157">
        <f ca="1">IF(AND(ISNUMBER($AX$401),$B$258=1),$AX$401,HLOOKUP(INDIRECT(ADDRESS(2,COLUMN())),OFFSET($BN$2,0,0,ROW()-1,60),ROW()-1,FALSE))</f>
        <v>94.670277729999995</v>
      </c>
      <c r="AY157">
        <f ca="1">IF(AND(ISNUMBER($AY$401),$B$258=1),$AY$401,HLOOKUP(INDIRECT(ADDRESS(2,COLUMN())),OFFSET($BN$2,0,0,ROW()-1,60),ROW()-1,FALSE))</f>
        <v>92.274153100000007</v>
      </c>
      <c r="AZ157">
        <f ca="1">IF(AND(ISNUMBER($AZ$401),$B$258=1),$AZ$401,HLOOKUP(INDIRECT(ADDRESS(2,COLUMN())),OFFSET($BN$2,0,0,ROW()-1,60),ROW()-1,FALSE))</f>
        <v>90.646222929999993</v>
      </c>
      <c r="BA157">
        <f ca="1">IF(AND(ISNUMBER($BA$401),$B$258=1),$BA$401,HLOOKUP(INDIRECT(ADDRESS(2,COLUMN())),OFFSET($BN$2,0,0,ROW()-1,60),ROW()-1,FALSE))</f>
        <v>93.458484949999999</v>
      </c>
      <c r="BB157">
        <f ca="1">IF(AND(ISNUMBER($BB$401),$B$258=1),$BB$401,HLOOKUP(INDIRECT(ADDRESS(2,COLUMN())),OFFSET($BN$2,0,0,ROW()-1,60),ROW()-1,FALSE))</f>
        <v>92.584906050000001</v>
      </c>
      <c r="BC157">
        <f ca="1">IF(AND(ISNUMBER($BC$401),$B$258=1),$BC$401,HLOOKUP(INDIRECT(ADDRESS(2,COLUMN())),OFFSET($BN$2,0,0,ROW()-1,60),ROW()-1,FALSE))</f>
        <v>90.560817069999999</v>
      </c>
      <c r="BD157">
        <f ca="1">IF(AND(ISNUMBER($BD$401),$B$258=1),$BD$401,HLOOKUP(INDIRECT(ADDRESS(2,COLUMN())),OFFSET($BN$2,0,0,ROW()-1,60),ROW()-1,FALSE))</f>
        <v>93.939520290000004</v>
      </c>
      <c r="BE157">
        <f ca="1">IF(AND(ISNUMBER($BE$401),$B$258=1),$BE$401,HLOOKUP(INDIRECT(ADDRESS(2,COLUMN())),OFFSET($BN$2,0,0,ROW()-1,60),ROW()-1,FALSE))</f>
        <v>90.561959650000006</v>
      </c>
      <c r="BF157">
        <f ca="1">IF(AND(ISNUMBER($BF$401),$B$258=1),$BF$401,HLOOKUP(INDIRECT(ADDRESS(2,COLUMN())),OFFSET($BN$2,0,0,ROW()-1,60),ROW()-1,FALSE))</f>
        <v>91.294158089999996</v>
      </c>
      <c r="BG157">
        <f ca="1">IF(AND(ISNUMBER($BG$401),$B$258=1),$BG$401,HLOOKUP(INDIRECT(ADDRESS(2,COLUMN())),OFFSET($BN$2,0,0,ROW()-1,60),ROW()-1,FALSE))</f>
        <v>92.713656670000006</v>
      </c>
      <c r="BH157">
        <f ca="1">IF(AND(ISNUMBER($BH$401),$B$258=1),$BH$401,HLOOKUP(INDIRECT(ADDRESS(2,COLUMN())),OFFSET($BN$2,0,0,ROW()-1,60),ROW()-1,FALSE))</f>
        <v>93.767751619999999</v>
      </c>
      <c r="BI157">
        <f ca="1">IF(AND(ISNUMBER($BI$401),$B$258=1),$BI$401,HLOOKUP(INDIRECT(ADDRESS(2,COLUMN())),OFFSET($BN$2,0,0,ROW()-1,60),ROW()-1,FALSE))</f>
        <v>91.075342579999997</v>
      </c>
      <c r="BJ157">
        <f ca="1">IF(AND(ISNUMBER($BJ$401),$B$258=1),$BJ$401,HLOOKUP(INDIRECT(ADDRESS(2,COLUMN())),OFFSET($BN$2,0,0,ROW()-1,60),ROW()-1,FALSE))</f>
        <v>90.471101939999997</v>
      </c>
      <c r="BK157">
        <f ca="1">IF(AND(ISNUMBER($BK$401),$B$258=1),$BK$401,HLOOKUP(INDIRECT(ADDRESS(2,COLUMN())),OFFSET($BN$2,0,0,ROW()-1,60),ROW()-1,FALSE))</f>
        <v>91.949811010000005</v>
      </c>
      <c r="BL157">
        <f ca="1">IF(AND(ISNUMBER($BL$401),$B$258=1),$BL$401,HLOOKUP(INDIRECT(ADDRESS(2,COLUMN())),OFFSET($BN$2,0,0,ROW()-1,60),ROW()-1,FALSE))</f>
        <v>92.248166859999998</v>
      </c>
      <c r="BM157">
        <f ca="1">IF(AND(ISNUMBER($BM$401),$B$258=1),$BM$401,HLOOKUP(INDIRECT(ADDRESS(2,COLUMN())),OFFSET($BN$2,0,0,ROW()-1,60),ROW()-1,FALSE))</f>
        <v>90.332389199999994</v>
      </c>
      <c r="BN157" t="str">
        <f>""</f>
        <v/>
      </c>
      <c r="BO157">
        <f>54.17195361</f>
        <v>54.171953610000003</v>
      </c>
      <c r="BP157">
        <f>54.35790419</f>
        <v>54.357904189999999</v>
      </c>
      <c r="BQ157">
        <f>54.69441311</f>
        <v>54.694413109999999</v>
      </c>
      <c r="BR157">
        <f>54.07264532</f>
        <v>54.072645319999999</v>
      </c>
      <c r="BS157">
        <f>54.60247821</f>
        <v>54.602478210000001</v>
      </c>
      <c r="BT157">
        <f>52.7312378</f>
        <v>52.731237800000002</v>
      </c>
      <c r="BU157">
        <f>53.66299546</f>
        <v>53.662995459999998</v>
      </c>
      <c r="BV157">
        <f>53.88524315</f>
        <v>53.885243150000001</v>
      </c>
      <c r="BW157">
        <f>54.19328304</f>
        <v>54.193283039999997</v>
      </c>
      <c r="BX157">
        <f>47.48201439</f>
        <v>47.482014390000003</v>
      </c>
      <c r="BY157">
        <f>55.64168884</f>
        <v>55.64168884</v>
      </c>
      <c r="BZ157">
        <f>52.65355674</f>
        <v>52.653556739999999</v>
      </c>
      <c r="CA157">
        <f>54.63331011</f>
        <v>54.633310109999996</v>
      </c>
      <c r="CB157">
        <f>53.39607225</f>
        <v>53.396072250000003</v>
      </c>
      <c r="CC157">
        <f>56.06758833</f>
        <v>56.06758833</v>
      </c>
      <c r="CD157">
        <f>54.90646958</f>
        <v>54.90646958</v>
      </c>
      <c r="CE157">
        <f>55.84320465</f>
        <v>55.843204649999997</v>
      </c>
      <c r="CF157">
        <f>56.40837456</f>
        <v>56.408374559999999</v>
      </c>
      <c r="CG157">
        <f>58.67851468</f>
        <v>58.678514679999999</v>
      </c>
      <c r="CH157">
        <f>57.47588625</f>
        <v>57.475886250000002</v>
      </c>
      <c r="CI157">
        <f>57.31718848</f>
        <v>57.317188479999999</v>
      </c>
      <c r="CJ157">
        <f>56.52754617</f>
        <v>56.527546170000001</v>
      </c>
      <c r="CK157">
        <f>52.74558634</f>
        <v>52.745586340000003</v>
      </c>
      <c r="CL157">
        <f>56.78343432</f>
        <v>56.783434319999998</v>
      </c>
      <c r="CM157">
        <f>22.97152598</f>
        <v>22.971525979999999</v>
      </c>
      <c r="CN157">
        <f>60.86395212</f>
        <v>60.86395212</v>
      </c>
      <c r="CO157">
        <f>38.44024856</f>
        <v>38.440248560000001</v>
      </c>
      <c r="CP157">
        <f>58.75193718</f>
        <v>58.751937179999999</v>
      </c>
      <c r="CQ157">
        <f>60.17897092</f>
        <v>60.178970919999998</v>
      </c>
      <c r="CR157">
        <f>57.93512554</f>
        <v>57.935125540000001</v>
      </c>
      <c r="CS157">
        <f>64.2898241</f>
        <v>64.289824100000004</v>
      </c>
      <c r="CT157">
        <f>62.84414334</f>
        <v>62.844143340000002</v>
      </c>
      <c r="CU157">
        <f>63.0653731</f>
        <v>63.065373100000002</v>
      </c>
      <c r="CV157">
        <f>60.9942166</f>
        <v>60.994216600000001</v>
      </c>
      <c r="CW157">
        <f>62.77543508</f>
        <v>62.775435080000001</v>
      </c>
      <c r="CX157">
        <f>61.68262678</f>
        <v>61.68262678</v>
      </c>
      <c r="CY157">
        <f>140.7811472</f>
        <v>140.78114719999999</v>
      </c>
      <c r="CZ157">
        <f>-14.62778739</f>
        <v>-14.62778739</v>
      </c>
      <c r="DA157">
        <f>64.34762106</f>
        <v>64.347621059999994</v>
      </c>
      <c r="DB157">
        <f>63.98509656</f>
        <v>63.985096560000002</v>
      </c>
      <c r="DC157">
        <f>61.12118591</f>
        <v>61.121185910000001</v>
      </c>
      <c r="DD157">
        <f>64.43183649</f>
        <v>64.431836489999995</v>
      </c>
      <c r="DE157">
        <f>70.30174503</f>
        <v>70.301745030000006</v>
      </c>
      <c r="DF157">
        <f>94.67027773</f>
        <v>94.670277729999995</v>
      </c>
      <c r="DG157">
        <f>92.2741531</f>
        <v>92.274153100000007</v>
      </c>
      <c r="DH157">
        <f>90.64622293</f>
        <v>90.646222929999993</v>
      </c>
      <c r="DI157">
        <f>93.45848495</f>
        <v>93.458484949999999</v>
      </c>
      <c r="DJ157">
        <f>92.58490605</f>
        <v>92.584906050000001</v>
      </c>
      <c r="DK157">
        <f>90.56081707</f>
        <v>90.560817069999999</v>
      </c>
      <c r="DL157">
        <f>93.93952029</f>
        <v>93.939520290000004</v>
      </c>
      <c r="DM157">
        <f>90.56195965</f>
        <v>90.561959650000006</v>
      </c>
      <c r="DN157">
        <f>91.29415809</f>
        <v>91.294158089999996</v>
      </c>
      <c r="DO157">
        <f>92.71365667</f>
        <v>92.713656670000006</v>
      </c>
      <c r="DP157">
        <f>93.76775162</f>
        <v>93.767751619999999</v>
      </c>
      <c r="DQ157">
        <f>91.07534258</f>
        <v>91.075342579999997</v>
      </c>
      <c r="DR157">
        <f>90.47110194</f>
        <v>90.471101939999997</v>
      </c>
      <c r="DS157">
        <f>91.94981101</f>
        <v>91.949811010000005</v>
      </c>
      <c r="DT157">
        <f>92.24816686</f>
        <v>92.248166859999998</v>
      </c>
      <c r="DU157">
        <f>90.3323892</f>
        <v>90.332389199999994</v>
      </c>
    </row>
    <row r="158" spans="1:125">
      <c r="A158" t="str">
        <f>"    Welltower Inc"</f>
        <v xml:space="preserve">    Welltower Inc</v>
      </c>
      <c r="B158" t="str">
        <f>"HCN US Equity"</f>
        <v>HCN US Equity</v>
      </c>
      <c r="C158" t="str">
        <f t="shared" si="36"/>
        <v>RX225</v>
      </c>
      <c r="D158" t="str">
        <f t="shared" si="37"/>
        <v>EBITDA_TO_REVENUE</v>
      </c>
      <c r="E158" t="str">
        <f t="shared" si="38"/>
        <v>动态</v>
      </c>
      <c r="F158" t="str">
        <f ca="1">IF(AND(ISNUMBER($F$402),$B$258=1),$F$402,HLOOKUP(INDIRECT(ADDRESS(2,COLUMN())),OFFSET($BN$2,0,0,ROW()-1,60),ROW()-1,FALSE))</f>
        <v/>
      </c>
      <c r="G158">
        <f ca="1">IF(AND(ISNUMBER($G$402),$B$258=1),$G$402,HLOOKUP(INDIRECT(ADDRESS(2,COLUMN())),OFFSET($BN$2,0,0,ROW()-1,60),ROW()-1,FALSE))</f>
        <v>27.63948972</v>
      </c>
      <c r="H158">
        <f ca="1">IF(AND(ISNUMBER($H$402),$B$258=1),$H$402,HLOOKUP(INDIRECT(ADDRESS(2,COLUMN())),OFFSET($BN$2,0,0,ROW()-1,60),ROW()-1,FALSE))</f>
        <v>40.10928251</v>
      </c>
      <c r="I158">
        <f ca="1">IF(AND(ISNUMBER($I$402),$B$258=1),$I$402,HLOOKUP(INDIRECT(ADDRESS(2,COLUMN())),OFFSET($BN$2,0,0,ROW()-1,60),ROW()-1,FALSE))</f>
        <v>47.55800575</v>
      </c>
      <c r="J158">
        <f ca="1">IF(AND(ISNUMBER($J$402),$B$258=1),$J$402,HLOOKUP(INDIRECT(ADDRESS(2,COLUMN())),OFFSET($BN$2,0,0,ROW()-1,60),ROW()-1,FALSE))</f>
        <v>46.795343680000002</v>
      </c>
      <c r="K158">
        <f ca="1">IF(AND(ISNUMBER($K$402),$B$258=1),$K$402,HLOOKUP(INDIRECT(ADDRESS(2,COLUMN())),OFFSET($BN$2,0,0,ROW()-1,60),ROW()-1,FALSE))</f>
        <v>47.168422020000001</v>
      </c>
      <c r="L158">
        <f ca="1">IF(AND(ISNUMBER($L$402),$B$258=1),$L$402,HLOOKUP(INDIRECT(ADDRESS(2,COLUMN())),OFFSET($BN$2,0,0,ROW()-1,60),ROW()-1,FALSE))</f>
        <v>50.190662320000001</v>
      </c>
      <c r="M158">
        <f ca="1">IF(AND(ISNUMBER($M$402),$B$258=1),$M$402,HLOOKUP(INDIRECT(ADDRESS(2,COLUMN())),OFFSET($BN$2,0,0,ROW()-1,60),ROW()-1,FALSE))</f>
        <v>52.913323370000001</v>
      </c>
      <c r="N158">
        <f ca="1">IF(AND(ISNUMBER($N$402),$B$258=1),$N$402,HLOOKUP(INDIRECT(ADDRESS(2,COLUMN())),OFFSET($BN$2,0,0,ROW()-1,60),ROW()-1,FALSE))</f>
        <v>50.564060929999997</v>
      </c>
      <c r="O158">
        <f ca="1">IF(AND(ISNUMBER($O$402),$B$258=1),$O$402,HLOOKUP(INDIRECT(ADDRESS(2,COLUMN())),OFFSET($BN$2,0,0,ROW()-1,60),ROW()-1,FALSE))</f>
        <v>46.513787489999999</v>
      </c>
      <c r="P158">
        <f ca="1">IF(AND(ISNUMBER($P$402),$B$258=1),$P$402,HLOOKUP(INDIRECT(ADDRESS(2,COLUMN())),OFFSET($BN$2,0,0,ROW()-1,60),ROW()-1,FALSE))</f>
        <v>53.728969550000002</v>
      </c>
      <c r="Q158">
        <f ca="1">IF(AND(ISNUMBER($Q$402),$B$258=1),$Q$402,HLOOKUP(INDIRECT(ADDRESS(2,COLUMN())),OFFSET($BN$2,0,0,ROW()-1,60),ROW()-1,FALSE))</f>
        <v>52.03093707</v>
      </c>
      <c r="R158">
        <f ca="1">IF(AND(ISNUMBER($R$402),$B$258=1),$R$402,HLOOKUP(INDIRECT(ADDRESS(2,COLUMN())),OFFSET($BN$2,0,0,ROW()-1,60),ROW()-1,FALSE))</f>
        <v>48.303300129999997</v>
      </c>
      <c r="S158">
        <f ca="1">IF(AND(ISNUMBER($S$402),$B$258=1),$S$402,HLOOKUP(INDIRECT(ADDRESS(2,COLUMN())),OFFSET($BN$2,0,0,ROW()-1,60),ROW()-1,FALSE))</f>
        <v>49.481140719999999</v>
      </c>
      <c r="T158">
        <f ca="1">IF(AND(ISNUMBER($T$402),$B$258=1),$T$402,HLOOKUP(INDIRECT(ADDRESS(2,COLUMN())),OFFSET($BN$2,0,0,ROW()-1,60),ROW()-1,FALSE))</f>
        <v>51.66656244</v>
      </c>
      <c r="U158">
        <f ca="1">IF(AND(ISNUMBER($U$402),$B$258=1),$U$402,HLOOKUP(INDIRECT(ADDRESS(2,COLUMN())),OFFSET($BN$2,0,0,ROW()-1,60),ROW()-1,FALSE))</f>
        <v>51.31490745</v>
      </c>
      <c r="V158">
        <f ca="1">IF(AND(ISNUMBER($V$402),$B$258=1),$V$402,HLOOKUP(INDIRECT(ADDRESS(2,COLUMN())),OFFSET($BN$2,0,0,ROW()-1,60),ROW()-1,FALSE))</f>
        <v>53.23288522</v>
      </c>
      <c r="W158">
        <f ca="1">IF(AND(ISNUMBER($W$402),$B$258=1),$W$402,HLOOKUP(INDIRECT(ADDRESS(2,COLUMN())),OFFSET($BN$2,0,0,ROW()-1,60),ROW()-1,FALSE))</f>
        <v>75.698758650000002</v>
      </c>
      <c r="X158">
        <f ca="1">IF(AND(ISNUMBER($X$402),$B$258=1),$X$402,HLOOKUP(INDIRECT(ADDRESS(2,COLUMN())),OFFSET($BN$2,0,0,ROW()-1,60),ROW()-1,FALSE))</f>
        <v>49.954894090000003</v>
      </c>
      <c r="Y158">
        <f ca="1">IF(AND(ISNUMBER($Y$402),$B$258=1),$Y$402,HLOOKUP(INDIRECT(ADDRESS(2,COLUMN())),OFFSET($BN$2,0,0,ROW()-1,60),ROW()-1,FALSE))</f>
        <v>51.732929720000001</v>
      </c>
      <c r="Z158">
        <f ca="1">IF(AND(ISNUMBER($Z$402),$B$258=1),$Z$402,HLOOKUP(INDIRECT(ADDRESS(2,COLUMN())),OFFSET($BN$2,0,0,ROW()-1,60),ROW()-1,FALSE))</f>
        <v>55.949590610000001</v>
      </c>
      <c r="AA158">
        <f ca="1">IF(AND(ISNUMBER($AA$402),$B$258=1),$AA$402,HLOOKUP(INDIRECT(ADDRESS(2,COLUMN())),OFFSET($BN$2,0,0,ROW()-1,60),ROW()-1,FALSE))</f>
        <v>60.506193609999997</v>
      </c>
      <c r="AB158">
        <f ca="1">IF(AND(ISNUMBER($AB$402),$B$258=1),$AB$402,HLOOKUP(INDIRECT(ADDRESS(2,COLUMN())),OFFSET($BN$2,0,0,ROW()-1,60),ROW()-1,FALSE))</f>
        <v>57.261174490000002</v>
      </c>
      <c r="AC158">
        <f ca="1">IF(AND(ISNUMBER($AC$402),$B$258=1),$AC$402,HLOOKUP(INDIRECT(ADDRESS(2,COLUMN())),OFFSET($BN$2,0,0,ROW()-1,60),ROW()-1,FALSE))</f>
        <v>57.834285729999998</v>
      </c>
      <c r="AD158">
        <f ca="1">IF(AND(ISNUMBER($AD$402),$B$258=1),$AD$402,HLOOKUP(INDIRECT(ADDRESS(2,COLUMN())),OFFSET($BN$2,0,0,ROW()-1,60),ROW()-1,FALSE))</f>
        <v>62.710647950000002</v>
      </c>
      <c r="AE158">
        <f ca="1">IF(AND(ISNUMBER($AE$402),$B$258=1),$AE$402,HLOOKUP(INDIRECT(ADDRESS(2,COLUMN())),OFFSET($BN$2,0,0,ROW()-1,60),ROW()-1,FALSE))</f>
        <v>63.159673920000003</v>
      </c>
      <c r="AF158">
        <f ca="1">IF(AND(ISNUMBER($AF$402),$B$258=1),$AF$402,HLOOKUP(INDIRECT(ADDRESS(2,COLUMN())),OFFSET($BN$2,0,0,ROW()-1,60),ROW()-1,FALSE))</f>
        <v>65.957165590000002</v>
      </c>
      <c r="AG158">
        <f ca="1">IF(AND(ISNUMBER($AG$402),$B$258=1),$AG$402,HLOOKUP(INDIRECT(ADDRESS(2,COLUMN())),OFFSET($BN$2,0,0,ROW()-1,60),ROW()-1,FALSE))</f>
        <v>64.860579759999993</v>
      </c>
      <c r="AH158">
        <f ca="1">IF(AND(ISNUMBER($AH$402),$B$258=1),$AH$402,HLOOKUP(INDIRECT(ADDRESS(2,COLUMN())),OFFSET($BN$2,0,0,ROW()-1,60),ROW()-1,FALSE))</f>
        <v>53.52178584</v>
      </c>
      <c r="AI158">
        <f ca="1">IF(AND(ISNUMBER($AI$402),$B$258=1),$AI$402,HLOOKUP(INDIRECT(ADDRESS(2,COLUMN())),OFFSET($BN$2,0,0,ROW()-1,60),ROW()-1,FALSE))</f>
        <v>66.560433349999997</v>
      </c>
      <c r="AJ158">
        <f ca="1">IF(AND(ISNUMBER($AJ$402),$B$258=1),$AJ$402,HLOOKUP(INDIRECT(ADDRESS(2,COLUMN())),OFFSET($BN$2,0,0,ROW()-1,60),ROW()-1,FALSE))</f>
        <v>52.945668070000004</v>
      </c>
      <c r="AK158">
        <f ca="1">IF(AND(ISNUMBER($AK$402),$B$258=1),$AK$402,HLOOKUP(INDIRECT(ADDRESS(2,COLUMN())),OFFSET($BN$2,0,0,ROW()-1,60),ROW()-1,FALSE))</f>
        <v>85.694215900000003</v>
      </c>
      <c r="AL158">
        <f ca="1">IF(AND(ISNUMBER($AL$402),$B$258=1),$AL$402,HLOOKUP(INDIRECT(ADDRESS(2,COLUMN())),OFFSET($BN$2,0,0,ROW()-1,60),ROW()-1,FALSE))</f>
        <v>76.195684319999998</v>
      </c>
      <c r="AM158">
        <f ca="1">IF(AND(ISNUMBER($AM$402),$B$258=1),$AM$402,HLOOKUP(INDIRECT(ADDRESS(2,COLUMN())),OFFSET($BN$2,0,0,ROW()-1,60),ROW()-1,FALSE))</f>
        <v>60.817662990000002</v>
      </c>
      <c r="AN158">
        <f ca="1">IF(AND(ISNUMBER($AN$402),$B$258=1),$AN$402,HLOOKUP(INDIRECT(ADDRESS(2,COLUMN())),OFFSET($BN$2,0,0,ROW()-1,60),ROW()-1,FALSE))</f>
        <v>93.653670509999998</v>
      </c>
      <c r="AO158">
        <f ca="1">IF(AND(ISNUMBER($AO$402),$B$258=1),$AO$402,HLOOKUP(INDIRECT(ADDRESS(2,COLUMN())),OFFSET($BN$2,0,0,ROW()-1,60),ROW()-1,FALSE))</f>
        <v>85.576708690000004</v>
      </c>
      <c r="AP158">
        <f ca="1">IF(AND(ISNUMBER($AP$402),$B$258=1),$AP$402,HLOOKUP(INDIRECT(ADDRESS(2,COLUMN())),OFFSET($BN$2,0,0,ROW()-1,60),ROW()-1,FALSE))</f>
        <v>81.434106850000006</v>
      </c>
      <c r="AQ158">
        <f ca="1">IF(AND(ISNUMBER($AQ$402),$B$258=1),$AQ$402,HLOOKUP(INDIRECT(ADDRESS(2,COLUMN())),OFFSET($BN$2,0,0,ROW()-1,60),ROW()-1,FALSE))</f>
        <v>35.676132860000003</v>
      </c>
      <c r="AR158">
        <f ca="1">IF(AND(ISNUMBER($AR$402),$B$258=1),$AR$402,HLOOKUP(INDIRECT(ADDRESS(2,COLUMN())),OFFSET($BN$2,0,0,ROW()-1,60),ROW()-1,FALSE))</f>
        <v>89.971940950000004</v>
      </c>
      <c r="AS158">
        <f ca="1">IF(AND(ISNUMBER($AS$402),$B$258=1),$AS$402,HLOOKUP(INDIRECT(ADDRESS(2,COLUMN())),OFFSET($BN$2,0,0,ROW()-1,60),ROW()-1,FALSE))</f>
        <v>91.541587649999997</v>
      </c>
      <c r="AT158">
        <f ca="1">IF(AND(ISNUMBER($AT$402),$B$258=1),$AT$402,HLOOKUP(INDIRECT(ADDRESS(2,COLUMN())),OFFSET($BN$2,0,0,ROW()-1,60),ROW()-1,FALSE))</f>
        <v>84.147102259999997</v>
      </c>
      <c r="AU158">
        <f ca="1">IF(AND(ISNUMBER($AU$402),$B$258=1),$AU$402,HLOOKUP(INDIRECT(ADDRESS(2,COLUMN())),OFFSET($BN$2,0,0,ROW()-1,60),ROW()-1,FALSE))</f>
        <v>83.184074839999994</v>
      </c>
      <c r="AV158">
        <f ca="1">IF(AND(ISNUMBER($AV$402),$B$258=1),$AV$402,HLOOKUP(INDIRECT(ADDRESS(2,COLUMN())),OFFSET($BN$2,0,0,ROW()-1,60),ROW()-1,FALSE))</f>
        <v>86.561960499999998</v>
      </c>
      <c r="AW158">
        <f ca="1">IF(AND(ISNUMBER($AW$402),$B$258=1),$AW$402,HLOOKUP(INDIRECT(ADDRESS(2,COLUMN())),OFFSET($BN$2,0,0,ROW()-1,60),ROW()-1,FALSE))</f>
        <v>86.868364330000006</v>
      </c>
      <c r="AX158">
        <f ca="1">IF(AND(ISNUMBER($AX$402),$B$258=1),$AX$402,HLOOKUP(INDIRECT(ADDRESS(2,COLUMN())),OFFSET($BN$2,0,0,ROW()-1,60),ROW()-1,FALSE))</f>
        <v>84.126019389999996</v>
      </c>
      <c r="AY158">
        <f ca="1">IF(AND(ISNUMBER($AY$402),$B$258=1),$AY$402,HLOOKUP(INDIRECT(ADDRESS(2,COLUMN())),OFFSET($BN$2,0,0,ROW()-1,60),ROW()-1,FALSE))</f>
        <v>83.944091950000001</v>
      </c>
      <c r="AZ158">
        <f ca="1">IF(AND(ISNUMBER($AZ$402),$B$258=1),$AZ$402,HLOOKUP(INDIRECT(ADDRESS(2,COLUMN())),OFFSET($BN$2,0,0,ROW()-1,60),ROW()-1,FALSE))</f>
        <v>95.326402900000005</v>
      </c>
      <c r="BA158">
        <f ca="1">IF(AND(ISNUMBER($BA$402),$B$258=1),$BA$402,HLOOKUP(INDIRECT(ADDRESS(2,COLUMN())),OFFSET($BN$2,0,0,ROW()-1,60),ROW()-1,FALSE))</f>
        <v>92.038715310000001</v>
      </c>
      <c r="BB158">
        <f ca="1">IF(AND(ISNUMBER($BB$402),$B$258=1),$BB$402,HLOOKUP(INDIRECT(ADDRESS(2,COLUMN())),OFFSET($BN$2,0,0,ROW()-1,60),ROW()-1,FALSE))</f>
        <v>96.983212289999997</v>
      </c>
      <c r="BC158">
        <f ca="1">IF(AND(ISNUMBER($BC$402),$B$258=1),$BC$402,HLOOKUP(INDIRECT(ADDRESS(2,COLUMN())),OFFSET($BN$2,0,0,ROW()-1,60),ROW()-1,FALSE))</f>
        <v>96.763754050000003</v>
      </c>
      <c r="BD158">
        <f ca="1">IF(AND(ISNUMBER($BD$402),$B$258=1),$BD$402,HLOOKUP(INDIRECT(ADDRESS(2,COLUMN())),OFFSET($BN$2,0,0,ROW()-1,60),ROW()-1,FALSE))</f>
        <v>96.373388730000002</v>
      </c>
      <c r="BE158">
        <f ca="1">IF(AND(ISNUMBER($BE$402),$B$258=1),$BE$402,HLOOKUP(INDIRECT(ADDRESS(2,COLUMN())),OFFSET($BN$2,0,0,ROW()-1,60),ROW()-1,FALSE))</f>
        <v>98.018136499999997</v>
      </c>
      <c r="BF158">
        <f ca="1">IF(AND(ISNUMBER($BF$402),$B$258=1),$BF$402,HLOOKUP(INDIRECT(ADDRESS(2,COLUMN())),OFFSET($BN$2,0,0,ROW()-1,60),ROW()-1,FALSE))</f>
        <v>96.438541060000006</v>
      </c>
      <c r="BG158">
        <f ca="1">IF(AND(ISNUMBER($BG$402),$B$258=1),$BG$402,HLOOKUP(INDIRECT(ADDRESS(2,COLUMN())),OFFSET($BN$2,0,0,ROW()-1,60),ROW()-1,FALSE))</f>
        <v>96.305164059999996</v>
      </c>
      <c r="BH158">
        <f ca="1">IF(AND(ISNUMBER($BH$402),$B$258=1),$BH$402,HLOOKUP(INDIRECT(ADDRESS(2,COLUMN())),OFFSET($BN$2,0,0,ROW()-1,60),ROW()-1,FALSE))</f>
        <v>94.181898189999998</v>
      </c>
      <c r="BI158">
        <f ca="1">IF(AND(ISNUMBER($BI$402),$B$258=1),$BI$402,HLOOKUP(INDIRECT(ADDRESS(2,COLUMN())),OFFSET($BN$2,0,0,ROW()-1,60),ROW()-1,FALSE))</f>
        <v>94.252873559999998</v>
      </c>
      <c r="BJ158">
        <f ca="1">IF(AND(ISNUMBER($BJ$402),$B$258=1),$BJ$402,HLOOKUP(INDIRECT(ADDRESS(2,COLUMN())),OFFSET($BN$2,0,0,ROW()-1,60),ROW()-1,FALSE))</f>
        <v>94.698249700000005</v>
      </c>
      <c r="BK158">
        <f ca="1">IF(AND(ISNUMBER($BK$402),$B$258=1),$BK$402,HLOOKUP(INDIRECT(ADDRESS(2,COLUMN())),OFFSET($BN$2,0,0,ROW()-1,60),ROW()-1,FALSE))</f>
        <v>91.941540110000005</v>
      </c>
      <c r="BL158">
        <f ca="1">IF(AND(ISNUMBER($BL$402),$B$258=1),$BL$402,HLOOKUP(INDIRECT(ADDRESS(2,COLUMN())),OFFSET($BN$2,0,0,ROW()-1,60),ROW()-1,FALSE))</f>
        <v>95.167664909999999</v>
      </c>
      <c r="BM158">
        <f ca="1">IF(AND(ISNUMBER($BM$402),$B$258=1),$BM$402,HLOOKUP(INDIRECT(ADDRESS(2,COLUMN())),OFFSET($BN$2,0,0,ROW()-1,60),ROW()-1,FALSE))</f>
        <v>95.609298999999993</v>
      </c>
      <c r="BN158" t="str">
        <f>""</f>
        <v/>
      </c>
      <c r="BO158">
        <f>27.63948972</f>
        <v>27.63948972</v>
      </c>
      <c r="BP158">
        <f>40.10928251</f>
        <v>40.10928251</v>
      </c>
      <c r="BQ158">
        <f>47.55800575</f>
        <v>47.55800575</v>
      </c>
      <c r="BR158">
        <f>46.79534368</f>
        <v>46.795343680000002</v>
      </c>
      <c r="BS158">
        <f>47.16842202</f>
        <v>47.168422020000001</v>
      </c>
      <c r="BT158">
        <f>50.19066232</f>
        <v>50.190662320000001</v>
      </c>
      <c r="BU158">
        <f>52.91332337</f>
        <v>52.913323370000001</v>
      </c>
      <c r="BV158">
        <f>50.56406093</f>
        <v>50.564060929999997</v>
      </c>
      <c r="BW158">
        <f>46.51378749</f>
        <v>46.513787489999999</v>
      </c>
      <c r="BX158">
        <f>53.72896955</f>
        <v>53.728969550000002</v>
      </c>
      <c r="BY158">
        <f>52.03093707</f>
        <v>52.03093707</v>
      </c>
      <c r="BZ158">
        <f>48.30330013</f>
        <v>48.303300129999997</v>
      </c>
      <c r="CA158">
        <f>49.48114072</f>
        <v>49.481140719999999</v>
      </c>
      <c r="CB158">
        <f>51.66656244</f>
        <v>51.66656244</v>
      </c>
      <c r="CC158">
        <f>51.31490745</f>
        <v>51.31490745</v>
      </c>
      <c r="CD158">
        <f>53.23288522</f>
        <v>53.23288522</v>
      </c>
      <c r="CE158">
        <f>75.69875865</f>
        <v>75.698758650000002</v>
      </c>
      <c r="CF158">
        <f>49.95489409</f>
        <v>49.954894090000003</v>
      </c>
      <c r="CG158">
        <f>51.73292972</f>
        <v>51.732929720000001</v>
      </c>
      <c r="CH158">
        <f>55.94959061</f>
        <v>55.949590610000001</v>
      </c>
      <c r="CI158">
        <f>60.50619361</f>
        <v>60.506193609999997</v>
      </c>
      <c r="CJ158">
        <f>57.26117449</f>
        <v>57.261174490000002</v>
      </c>
      <c r="CK158">
        <f>57.83428573</f>
        <v>57.834285729999998</v>
      </c>
      <c r="CL158">
        <f>62.71064795</f>
        <v>62.710647950000002</v>
      </c>
      <c r="CM158">
        <f>63.15967392</f>
        <v>63.159673920000003</v>
      </c>
      <c r="CN158">
        <f>65.95716559</f>
        <v>65.957165590000002</v>
      </c>
      <c r="CO158">
        <f>64.86057976</f>
        <v>64.860579759999993</v>
      </c>
      <c r="CP158">
        <f>53.52178584</f>
        <v>53.52178584</v>
      </c>
      <c r="CQ158">
        <f>66.56043335</f>
        <v>66.560433349999997</v>
      </c>
      <c r="CR158">
        <f>52.94566807</f>
        <v>52.945668070000004</v>
      </c>
      <c r="CS158">
        <f>85.6942159</f>
        <v>85.694215900000003</v>
      </c>
      <c r="CT158">
        <f>76.19568432</f>
        <v>76.195684319999998</v>
      </c>
      <c r="CU158">
        <f>60.81766299</f>
        <v>60.817662990000002</v>
      </c>
      <c r="CV158">
        <f>93.65367051</f>
        <v>93.653670509999998</v>
      </c>
      <c r="CW158">
        <f>85.57670869</f>
        <v>85.576708690000004</v>
      </c>
      <c r="CX158">
        <f>81.43410685</f>
        <v>81.434106850000006</v>
      </c>
      <c r="CY158">
        <f>35.67613286</f>
        <v>35.676132860000003</v>
      </c>
      <c r="CZ158">
        <f>89.97194095</f>
        <v>89.971940950000004</v>
      </c>
      <c r="DA158">
        <f>91.54158765</f>
        <v>91.541587649999997</v>
      </c>
      <c r="DB158">
        <f>84.14710226</f>
        <v>84.147102259999997</v>
      </c>
      <c r="DC158">
        <f>83.18407484</f>
        <v>83.184074839999994</v>
      </c>
      <c r="DD158">
        <f>86.5619605</f>
        <v>86.561960499999998</v>
      </c>
      <c r="DE158">
        <f>86.86836433</f>
        <v>86.868364330000006</v>
      </c>
      <c r="DF158">
        <f>84.12601939</f>
        <v>84.126019389999996</v>
      </c>
      <c r="DG158">
        <f>83.94409195</f>
        <v>83.944091950000001</v>
      </c>
      <c r="DH158">
        <f>95.3264029</f>
        <v>95.326402900000005</v>
      </c>
      <c r="DI158">
        <f>92.03871531</f>
        <v>92.038715310000001</v>
      </c>
      <c r="DJ158">
        <f>96.98321229</f>
        <v>96.983212289999997</v>
      </c>
      <c r="DK158">
        <f>96.76375405</f>
        <v>96.763754050000003</v>
      </c>
      <c r="DL158">
        <f>96.37338873</f>
        <v>96.373388730000002</v>
      </c>
      <c r="DM158">
        <f>98.0181365</f>
        <v>98.018136499999997</v>
      </c>
      <c r="DN158">
        <f>96.43854106</f>
        <v>96.438541060000006</v>
      </c>
      <c r="DO158">
        <f>96.30516406</f>
        <v>96.305164059999996</v>
      </c>
      <c r="DP158">
        <f>94.18189819</f>
        <v>94.181898189999998</v>
      </c>
      <c r="DQ158">
        <f>94.25287356</f>
        <v>94.252873559999998</v>
      </c>
      <c r="DR158">
        <f>94.6982497</f>
        <v>94.698249700000005</v>
      </c>
      <c r="DS158">
        <f>91.94154011</f>
        <v>91.941540110000005</v>
      </c>
      <c r="DT158">
        <f>95.16766491</f>
        <v>95.167664909999999</v>
      </c>
      <c r="DU158">
        <f>95.609299</f>
        <v>95.609298999999993</v>
      </c>
    </row>
    <row r="159" spans="1:125">
      <c r="A159" t="str">
        <f>"资产回报率(NOI/总资产)(%)"</f>
        <v>资产回报率(NOI/总资产)(%)</v>
      </c>
      <c r="B159" t="str">
        <f>""</f>
        <v/>
      </c>
      <c r="E159" t="str">
        <f>"Median"</f>
        <v>Median</v>
      </c>
      <c r="F159" t="str">
        <f ca="1">IF(ISERROR(IF(MEDIAN($F$160:$F$170) = 0, "", MEDIAN($F$160:$F$170))), "", (IF(MEDIAN($F$160:$F$170) = 0, "", MEDIAN($F$160:$F$170))))</f>
        <v/>
      </c>
      <c r="G159">
        <f ca="1">IF(ISERROR(IF(MEDIAN($G$160:$G$170) = 0, "", MEDIAN($G$160:$G$170))), "", (IF(MEDIAN($G$160:$G$170) = 0, "", MEDIAN($G$160:$G$170))))</f>
        <v>6.6116690724999998</v>
      </c>
      <c r="H159">
        <f ca="1">IF(ISERROR(IF(MEDIAN($H$160:$H$170) = 0, "", MEDIAN($H$160:$H$170))), "", (IF(MEDIAN($H$160:$H$170) = 0, "", MEDIAN($H$160:$H$170))))</f>
        <v>6.6783889710000004</v>
      </c>
      <c r="I159">
        <f ca="1">IF(ISERROR(IF(MEDIAN($I$160:$I$170) = 0, "", MEDIAN($I$160:$I$170))), "", (IF(MEDIAN($I$160:$I$170) = 0, "", MEDIAN($I$160:$I$170))))</f>
        <v>7.0991303520000004</v>
      </c>
      <c r="J159">
        <f ca="1">IF(ISERROR(IF(MEDIAN($J$160:$J$170) = 0, "", MEDIAN($J$160:$J$170))), "", (IF(MEDIAN($J$160:$J$170) = 0, "", MEDIAN($J$160:$J$170))))</f>
        <v>7.0718230799999997</v>
      </c>
      <c r="K159">
        <f ca="1">IF(ISERROR(IF(MEDIAN($K$160:$K$170) = 0, "", MEDIAN($K$160:$K$170))), "", (IF(MEDIAN($K$160:$K$170) = 0, "", MEDIAN($K$160:$K$170))))</f>
        <v>7.3209492589999998</v>
      </c>
      <c r="L159">
        <f ca="1">IF(ISERROR(IF(MEDIAN($L$160:$L$170) = 0, "", MEDIAN($L$160:$L$170))), "", (IF(MEDIAN($L$160:$L$170) = 0, "", MEDIAN($L$160:$L$170))))</f>
        <v>7.1603797140000003</v>
      </c>
      <c r="M159">
        <f ca="1">IF(ISERROR(IF(MEDIAN($M$160:$M$170) = 0, "", MEDIAN($M$160:$M$170))), "", (IF(MEDIAN($M$160:$M$170) = 0, "", MEDIAN($M$160:$M$170))))</f>
        <v>7.3587382100000003</v>
      </c>
      <c r="N159">
        <f ca="1">IF(ISERROR(IF(MEDIAN($N$160:$N$170) = 0, "", MEDIAN($N$160:$N$170))), "", (IF(MEDIAN($N$160:$N$170) = 0, "", MEDIAN($N$160:$N$170))))</f>
        <v>7.35409779</v>
      </c>
      <c r="O159">
        <f ca="1">IF(ISERROR(IF(MEDIAN($O$160:$O$170) = 0, "", MEDIAN($O$160:$O$170))), "", (IF(MEDIAN($O$160:$O$170) = 0, "", MEDIAN($O$160:$O$170))))</f>
        <v>7.1339971660000003</v>
      </c>
      <c r="P159">
        <f ca="1">IF(ISERROR(IF(MEDIAN($P$160:$P$170) = 0, "", MEDIAN($P$160:$P$170))), "", (IF(MEDIAN($P$160:$P$170) = 0, "", MEDIAN($P$160:$P$170))))</f>
        <v>7.434408779</v>
      </c>
      <c r="Q159">
        <f ca="1">IF(ISERROR(IF(MEDIAN($Q$160:$Q$170) = 0, "", MEDIAN($Q$160:$Q$170))), "", (IF(MEDIAN($Q$160:$Q$170) = 0, "", MEDIAN($Q$160:$Q$170))))</f>
        <v>7.0264824539999999</v>
      </c>
      <c r="R159">
        <f ca="1">IF(ISERROR(IF(MEDIAN($R$160:$R$170) = 0, "", MEDIAN($R$160:$R$170))), "", (IF(MEDIAN($R$160:$R$170) = 0, "", MEDIAN($R$160:$R$170))))</f>
        <v>6.9399675905000002</v>
      </c>
      <c r="S159">
        <f ca="1">IF(ISERROR(IF(MEDIAN($S$160:$S$170) = 0, "", MEDIAN($S$160:$S$170))), "", (IF(MEDIAN($S$160:$S$170) = 0, "", MEDIAN($S$160:$S$170))))</f>
        <v>7.0311775579999996</v>
      </c>
      <c r="T159">
        <f ca="1">IF(ISERROR(IF(MEDIAN($T$160:$T$170) = 0, "", MEDIAN($T$160:$T$170))), "", (IF(MEDIAN($T$160:$T$170) = 0, "", MEDIAN($T$160:$T$170))))</f>
        <v>7.4651071140000003</v>
      </c>
      <c r="U159">
        <f ca="1">IF(ISERROR(IF(MEDIAN($U$160:$U$170) = 0, "", MEDIAN($U$160:$U$170))), "", (IF(MEDIAN($U$160:$U$170) = 0, "", MEDIAN($U$160:$U$170))))</f>
        <v>7.3113188574999999</v>
      </c>
      <c r="V159">
        <f ca="1">IF(ISERROR(IF(MEDIAN($V$160:$V$170) = 0, "", MEDIAN($V$160:$V$170))), "", (IF(MEDIAN($V$160:$V$170) = 0, "", MEDIAN($V$160:$V$170))))</f>
        <v>7.7196991895</v>
      </c>
      <c r="W159">
        <f ca="1">IF(ISERROR(IF(MEDIAN($W$160:$W$170) = 0, "", MEDIAN($W$160:$W$170))), "", (IF(MEDIAN($W$160:$W$170) = 0, "", MEDIAN($W$160:$W$170))))</f>
        <v>7.4290690179999999</v>
      </c>
      <c r="X159">
        <f ca="1">IF(ISERROR(IF(MEDIAN($X$160:$X$170) = 0, "", MEDIAN($X$160:$X$170))), "", (IF(MEDIAN($X$160:$X$170) = 0, "", MEDIAN($X$160:$X$170))))</f>
        <v>7.3649983744999998</v>
      </c>
      <c r="Y159">
        <f ca="1">IF(ISERROR(IF(MEDIAN($Y$160:$Y$170) = 0, "", MEDIAN($Y$160:$Y$170))), "", (IF(MEDIAN($Y$160:$Y$170) = 0, "", MEDIAN($Y$160:$Y$170))))</f>
        <v>7.2445011560000001</v>
      </c>
      <c r="Z159">
        <f ca="1">IF(ISERROR(IF(MEDIAN($Z$160:$Z$170) = 0, "", MEDIAN($Z$160:$Z$170))), "", (IF(MEDIAN($Z$160:$Z$170) = 0, "", MEDIAN($Z$160:$Z$170))))</f>
        <v>7.4157621305000001</v>
      </c>
      <c r="AA159">
        <f ca="1">IF(ISERROR(IF(MEDIAN($AA$160:$AA$170) = 0, "", MEDIAN($AA$160:$AA$170))), "", (IF(MEDIAN($AA$160:$AA$170) = 0, "", MEDIAN($AA$160:$AA$170))))</f>
        <v>7.1538024359999994</v>
      </c>
      <c r="AB159">
        <f ca="1">IF(ISERROR(IF(MEDIAN($AB$160:$AB$170) = 0, "", MEDIAN($AB$160:$AB$170))), "", (IF(MEDIAN($AB$160:$AB$170) = 0, "", MEDIAN($AB$160:$AB$170))))</f>
        <v>7.0686542350000003</v>
      </c>
      <c r="AC159">
        <f ca="1">IF(ISERROR(IF(MEDIAN($AC$160:$AC$170) = 0, "", MEDIAN($AC$160:$AC$170))), "", (IF(MEDIAN($AC$160:$AC$170) = 0, "", MEDIAN($AC$160:$AC$170))))</f>
        <v>7.0464174939999999</v>
      </c>
      <c r="AD159">
        <f ca="1">IF(ISERROR(IF(MEDIAN($AD$160:$AD$170) = 0, "", MEDIAN($AD$160:$AD$170))), "", (IF(MEDIAN($AD$160:$AD$170) = 0, "", MEDIAN($AD$160:$AD$170))))</f>
        <v>6.9825392439999998</v>
      </c>
      <c r="AE159">
        <f ca="1">IF(ISERROR(IF(MEDIAN($AE$160:$AE$170) = 0, "", MEDIAN($AE$160:$AE$170))), "", (IF(MEDIAN($AE$160:$AE$170) = 0, "", MEDIAN($AE$160:$AE$170))))</f>
        <v>7.3825750750000001</v>
      </c>
      <c r="AF159">
        <f ca="1">IF(ISERROR(IF(MEDIAN($AF$160:$AF$170) = 0, "", MEDIAN($AF$160:$AF$170))), "", (IF(MEDIAN($AF$160:$AF$170) = 0, "", MEDIAN($AF$160:$AF$170))))</f>
        <v>7.1791435979999996</v>
      </c>
      <c r="AG159">
        <f ca="1">IF(ISERROR(IF(MEDIAN($AG$160:$AG$170) = 0, "", MEDIAN($AG$160:$AG$170))), "", (IF(MEDIAN($AG$160:$AG$170) = 0, "", MEDIAN($AG$160:$AG$170))))</f>
        <v>7.4198308399999995</v>
      </c>
      <c r="AH159">
        <f ca="1">IF(ISERROR(IF(MEDIAN($AH$160:$AH$170) = 0, "", MEDIAN($AH$160:$AH$170))), "", (IF(MEDIAN($AH$160:$AH$170) = 0, "", MEDIAN($AH$160:$AH$170))))</f>
        <v>6.6350562029999995</v>
      </c>
      <c r="AI159">
        <f ca="1">IF(ISERROR(IF(MEDIAN($AI$160:$AI$170) = 0, "", MEDIAN($AI$160:$AI$170))), "", (IF(MEDIAN($AI$160:$AI$170) = 0, "", MEDIAN($AI$160:$AI$170))))</f>
        <v>6.8114758689999997</v>
      </c>
      <c r="AJ159">
        <f ca="1">IF(ISERROR(IF(MEDIAN($AJ$160:$AJ$170) = 0, "", MEDIAN($AJ$160:$AJ$170))), "", (IF(MEDIAN($AJ$160:$AJ$170) = 0, "", MEDIAN($AJ$160:$AJ$170))))</f>
        <v>6.5772990774999993</v>
      </c>
      <c r="AK159">
        <f ca="1">IF(ISERROR(IF(MEDIAN($AK$160:$AK$170) = 0, "", MEDIAN($AK$160:$AK$170))), "", (IF(MEDIAN($AK$160:$AK$170) = 0, "", MEDIAN($AK$160:$AK$170))))</f>
        <v>6.541725284</v>
      </c>
      <c r="AL159">
        <f ca="1">IF(ISERROR(IF(MEDIAN($AL$160:$AL$170) = 0, "", MEDIAN($AL$160:$AL$170))), "", (IF(MEDIAN($AL$160:$AL$170) = 0, "", MEDIAN($AL$160:$AL$170))))</f>
        <v>6.9208759640000004</v>
      </c>
      <c r="AM159">
        <f ca="1">IF(ISERROR(IF(MEDIAN($AM$160:$AM$170) = 0, "", MEDIAN($AM$160:$AM$170))), "", (IF(MEDIAN($AM$160:$AM$170) = 0, "", MEDIAN($AM$160:$AM$170))))</f>
        <v>8.2706166060000008</v>
      </c>
      <c r="AN159">
        <f ca="1">IF(ISERROR(IF(MEDIAN($AN$160:$AN$170) = 0, "", MEDIAN($AN$160:$AN$170))), "", (IF(MEDIAN($AN$160:$AN$170) = 0, "", MEDIAN($AN$160:$AN$170))))</f>
        <v>7.6053024909999998</v>
      </c>
      <c r="AO159">
        <f ca="1">IF(ISERROR(IF(MEDIAN($AO$160:$AO$170) = 0, "", MEDIAN($AO$160:$AO$170))), "", (IF(MEDIAN($AO$160:$AO$170) = 0, "", MEDIAN($AO$160:$AO$170))))</f>
        <v>7.7413311829999998</v>
      </c>
      <c r="AP159">
        <f ca="1">IF(ISERROR(IF(MEDIAN($AP$160:$AP$170) = 0, "", MEDIAN($AP$160:$AP$170))), "", (IF(MEDIAN($AP$160:$AP$170) = 0, "", MEDIAN($AP$160:$AP$170))))</f>
        <v>7.9388278220000004</v>
      </c>
      <c r="AQ159">
        <f ca="1">IF(ISERROR(IF(MEDIAN($AQ$160:$AQ$170) = 0, "", MEDIAN($AQ$160:$AQ$170))), "", (IF(MEDIAN($AQ$160:$AQ$170) = 0, "", MEDIAN($AQ$160:$AQ$170))))</f>
        <v>8.0347286570000005</v>
      </c>
      <c r="AR159">
        <f ca="1">IF(ISERROR(IF(MEDIAN($AR$160:$AR$170) = 0, "", MEDIAN($AR$160:$AR$170))), "", (IF(MEDIAN($AR$160:$AR$170) = 0, "", MEDIAN($AR$160:$AR$170))))</f>
        <v>7.4907365044999992</v>
      </c>
      <c r="AS159">
        <f ca="1">IF(ISERROR(IF(MEDIAN($AS$160:$AS$170) = 0, "", MEDIAN($AS$160:$AS$170))), "", (IF(MEDIAN($AS$160:$AS$170) = 0, "", MEDIAN($AS$160:$AS$170))))</f>
        <v>7.1870632185000005</v>
      </c>
      <c r="AT159">
        <f ca="1">IF(ISERROR(IF(MEDIAN($AT$160:$AT$170) = 0, "", MEDIAN($AT$160:$AT$170))), "", (IF(MEDIAN($AT$160:$AT$170) = 0, "", MEDIAN($AT$160:$AT$170))))</f>
        <v>8.4408604789999995</v>
      </c>
      <c r="AU159">
        <f ca="1">IF(ISERROR(IF(MEDIAN($AU$160:$AU$170) = 0, "", MEDIAN($AU$160:$AU$170))), "", (IF(MEDIAN($AU$160:$AU$170) = 0, "", MEDIAN($AU$160:$AU$170))))</f>
        <v>8.6454005980000002</v>
      </c>
      <c r="AV159">
        <f ca="1">IF(ISERROR(IF(MEDIAN($AV$160:$AV$170) = 0, "", MEDIAN($AV$160:$AV$170))), "", (IF(MEDIAN($AV$160:$AV$170) = 0, "", MEDIAN($AV$160:$AV$170))))</f>
        <v>7.2709135304999997</v>
      </c>
      <c r="AW159">
        <f ca="1">IF(ISERROR(IF(MEDIAN($AW$160:$AW$170) = 0, "", MEDIAN($AW$160:$AW$170))), "", (IF(MEDIAN($AW$160:$AW$170) = 0, "", MEDIAN($AW$160:$AW$170))))</f>
        <v>7.7341052065000007</v>
      </c>
      <c r="AX159">
        <f ca="1">IF(ISERROR(IF(MEDIAN($AX$160:$AX$170) = 0, "", MEDIAN($AX$160:$AX$170))), "", (IF(MEDIAN($AX$160:$AX$170) = 0, "", MEDIAN($AX$160:$AX$170))))</f>
        <v>8.7387414559999996</v>
      </c>
      <c r="AY159">
        <f ca="1">IF(ISERROR(IF(MEDIAN($AY$160:$AY$170) = 0, "", MEDIAN($AY$160:$AY$170))), "", (IF(MEDIAN($AY$160:$AY$170) = 0, "", MEDIAN($AY$160:$AY$170))))</f>
        <v>7.2826251610000003</v>
      </c>
      <c r="AZ159">
        <f ca="1">IF(ISERROR(IF(MEDIAN($AZ$160:$AZ$170) = 0, "", MEDIAN($AZ$160:$AZ$170))), "", (IF(MEDIAN($AZ$160:$AZ$170) = 0, "", MEDIAN($AZ$160:$AZ$170))))</f>
        <v>9.2546340239999996</v>
      </c>
      <c r="BA159">
        <f ca="1">IF(ISERROR(IF(MEDIAN($BA$160:$BA$170) = 0, "", MEDIAN($BA$160:$BA$170))), "", (IF(MEDIAN($BA$160:$BA$170) = 0, "", MEDIAN($BA$160:$BA$170))))</f>
        <v>9.5072723779999997</v>
      </c>
      <c r="BB159">
        <f ca="1">IF(ISERROR(IF(MEDIAN($BB$160:$BB$170) = 0, "", MEDIAN($BB$160:$BB$170))), "", (IF(MEDIAN($BB$160:$BB$170) = 0, "", MEDIAN($BB$160:$BB$170))))</f>
        <v>9.4025546989999995</v>
      </c>
      <c r="BC159">
        <f ca="1">IF(ISERROR(IF(MEDIAN($BC$160:$BC$170) = 0, "", MEDIAN($BC$160:$BC$170))), "", (IF(MEDIAN($BC$160:$BC$170) = 0, "", MEDIAN($BC$160:$BC$170))))</f>
        <v>15.27717689</v>
      </c>
      <c r="BD159">
        <f ca="1">IF(ISERROR(IF(MEDIAN($BD$160:$BD$170) = 0, "", MEDIAN($BD$160:$BD$170))), "", (IF(MEDIAN($BD$160:$BD$170) = 0, "", MEDIAN($BD$160:$BD$170))))</f>
        <v>4.4101332900000001</v>
      </c>
      <c r="BE159">
        <f ca="1">IF(ISERROR(IF(MEDIAN($BE$160:$BE$170) = 0, "", MEDIAN($BE$160:$BE$170))), "", (IF(MEDIAN($BE$160:$BE$170) = 0, "", MEDIAN($BE$160:$BE$170))))</f>
        <v>4.5876196509999998</v>
      </c>
      <c r="BF159">
        <f ca="1">IF(ISERROR(IF(MEDIAN($BF$160:$BF$170) = 0, "", MEDIAN($BF$160:$BF$170))), "", (IF(MEDIAN($BF$160:$BF$170) = 0, "", MEDIAN($BF$160:$BF$170))))</f>
        <v>9.8597433799999994</v>
      </c>
      <c r="BG159" t="str">
        <f ca="1">IF(ISERROR(IF(MEDIAN($BG$160:$BG$170) = 0, "", MEDIAN($BG$160:$BG$170))), "", (IF(MEDIAN($BG$160:$BG$170) = 0, "", MEDIAN($BG$160:$BG$170))))</f>
        <v/>
      </c>
      <c r="BH159" t="str">
        <f ca="1">IF(ISERROR(IF(MEDIAN($BH$160:$BH$170) = 0, "", MEDIAN($BH$160:$BH$170))), "", (IF(MEDIAN($BH$160:$BH$170) = 0, "", MEDIAN($BH$160:$BH$170))))</f>
        <v/>
      </c>
      <c r="BI159" t="str">
        <f ca="1">IF(ISERROR(IF(MEDIAN($BI$160:$BI$170) = 0, "", MEDIAN($BI$160:$BI$170))), "", (IF(MEDIAN($BI$160:$BI$170) = 0, "", MEDIAN($BI$160:$BI$170))))</f>
        <v/>
      </c>
      <c r="BJ159" t="str">
        <f ca="1">IF(ISERROR(IF(MEDIAN($BJ$160:$BJ$170) = 0, "", MEDIAN($BJ$160:$BJ$170))), "", (IF(MEDIAN($BJ$160:$BJ$170) = 0, "", MEDIAN($BJ$160:$BJ$170))))</f>
        <v/>
      </c>
      <c r="BK159" t="str">
        <f ca="1">IF(ISERROR(IF(MEDIAN($BK$160:$BK$170) = 0, "", MEDIAN($BK$160:$BK$170))), "", (IF(MEDIAN($BK$160:$BK$170) = 0, "", MEDIAN($BK$160:$BK$170))))</f>
        <v/>
      </c>
      <c r="BL159" t="str">
        <f ca="1">IF(ISERROR(IF(MEDIAN($BL$160:$BL$170) = 0, "", MEDIAN($BL$160:$BL$170))), "", (IF(MEDIAN($BL$160:$BL$170) = 0, "", MEDIAN($BL$160:$BL$170))))</f>
        <v/>
      </c>
      <c r="BM159" t="str">
        <f ca="1">IF(ISERROR(IF(MEDIAN($BM$160:$BM$170) = 0, "", MEDIAN($BM$160:$BM$170))), "", (IF(MEDIAN($BM$160:$BM$170) = 0, "", MEDIAN($BM$160:$BM$170))))</f>
        <v/>
      </c>
      <c r="BN159" t="str">
        <f>""</f>
        <v/>
      </c>
      <c r="BO159">
        <f>6.611669073</f>
        <v>6.6116690729999998</v>
      </c>
      <c r="BP159">
        <f>6.678388971</f>
        <v>6.6783889710000004</v>
      </c>
      <c r="BQ159">
        <f>7.099130352</f>
        <v>7.0991303520000004</v>
      </c>
      <c r="BR159">
        <f>7.07182308</f>
        <v>7.0718230799999997</v>
      </c>
      <c r="BS159">
        <f>7.320949259</f>
        <v>7.3209492589999998</v>
      </c>
      <c r="BT159">
        <f>7.160379714</f>
        <v>7.1603797140000003</v>
      </c>
      <c r="BU159">
        <f>7.35873821</f>
        <v>7.3587382100000003</v>
      </c>
      <c r="BV159">
        <f>7.35409779</f>
        <v>7.35409779</v>
      </c>
      <c r="BW159">
        <f>7.133997166</f>
        <v>7.1339971660000003</v>
      </c>
      <c r="BX159">
        <f>7.434408779</f>
        <v>7.434408779</v>
      </c>
      <c r="BY159">
        <f>7.026482454</f>
        <v>7.0264824539999999</v>
      </c>
      <c r="BZ159">
        <f>6.93996759</f>
        <v>6.9399675900000002</v>
      </c>
      <c r="CA159">
        <f>7.031177558</f>
        <v>7.0311775580000004</v>
      </c>
      <c r="CB159">
        <f>7.465107114</f>
        <v>7.4651071140000003</v>
      </c>
      <c r="CC159">
        <f>7.311318858</f>
        <v>7.3113188579999999</v>
      </c>
      <c r="CD159">
        <f>7.719699189</f>
        <v>7.719699189</v>
      </c>
      <c r="CE159">
        <f>7.429069018</f>
        <v>7.4290690179999999</v>
      </c>
      <c r="CF159">
        <f>7.364998374</f>
        <v>7.3649983739999998</v>
      </c>
      <c r="CG159">
        <f>7.244501156</f>
        <v>7.2445011560000001</v>
      </c>
      <c r="CH159">
        <f>7.41576213</f>
        <v>7.4157621300000001</v>
      </c>
      <c r="CI159">
        <f>7.153802436</f>
        <v>7.1538024360000003</v>
      </c>
      <c r="CJ159">
        <f>7.068654235</f>
        <v>7.0686542350000003</v>
      </c>
      <c r="CK159">
        <f>7.046417494</f>
        <v>7.0464174939999999</v>
      </c>
      <c r="CL159">
        <f>6.982539244</f>
        <v>6.9825392439999998</v>
      </c>
      <c r="CM159">
        <f>7.382575075</f>
        <v>7.3825750750000001</v>
      </c>
      <c r="CN159">
        <f>7.179143598</f>
        <v>7.1791435979999996</v>
      </c>
      <c r="CO159">
        <f>7.41983084</f>
        <v>7.4198308400000004</v>
      </c>
      <c r="CP159">
        <f>6.635056203</f>
        <v>6.6350562030000004</v>
      </c>
      <c r="CQ159">
        <f>6.811475869</f>
        <v>6.8114758689999997</v>
      </c>
      <c r="CR159">
        <f>6.577299077</f>
        <v>6.5772990770000002</v>
      </c>
      <c r="CS159">
        <f>6.541725284</f>
        <v>6.541725284</v>
      </c>
      <c r="CT159">
        <f>6.920875964</f>
        <v>6.9208759640000004</v>
      </c>
      <c r="CU159">
        <f>8.270616606</f>
        <v>8.2706166060000008</v>
      </c>
      <c r="CV159">
        <f>7.605302491</f>
        <v>7.6053024909999998</v>
      </c>
      <c r="CW159">
        <f>7.741331183</f>
        <v>7.7413311829999998</v>
      </c>
      <c r="CX159">
        <f>7.938827822</f>
        <v>7.9388278220000004</v>
      </c>
      <c r="CY159">
        <f>8.034728657</f>
        <v>8.0347286570000005</v>
      </c>
      <c r="CZ159">
        <f>7.490736504</f>
        <v>7.490736504</v>
      </c>
      <c r="DA159">
        <f>7.187063218</f>
        <v>7.1870632179999996</v>
      </c>
      <c r="DB159">
        <f>8.440860479</f>
        <v>8.4408604789999995</v>
      </c>
      <c r="DC159">
        <f>8.645400598</f>
        <v>8.6454005980000002</v>
      </c>
      <c r="DD159">
        <f>7.270913531</f>
        <v>7.2709135309999997</v>
      </c>
      <c r="DE159">
        <f>7.734105207</f>
        <v>7.7341052069999998</v>
      </c>
      <c r="DF159">
        <f>8.738741456</f>
        <v>8.7387414559999996</v>
      </c>
      <c r="DG159">
        <f>7.282625161</f>
        <v>7.2826251610000003</v>
      </c>
      <c r="DH159">
        <f>9.254634024</f>
        <v>9.2546340239999996</v>
      </c>
      <c r="DI159">
        <f>9.507272378</f>
        <v>9.5072723779999997</v>
      </c>
      <c r="DJ159">
        <f>9.402554699</f>
        <v>9.4025546989999995</v>
      </c>
      <c r="DK159">
        <f>15.27717689</f>
        <v>15.27717689</v>
      </c>
      <c r="DL159">
        <f>4.41013329</f>
        <v>4.4101332900000001</v>
      </c>
      <c r="DM159">
        <f>4.587619651</f>
        <v>4.5876196509999998</v>
      </c>
      <c r="DN159">
        <f>9.85974338</f>
        <v>9.8597433799999994</v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>
      <c r="A160" t="str">
        <f>"    Alexandria Real Estate Equitie"</f>
        <v xml:space="preserve">    Alexandria Real Estate Equitie</v>
      </c>
      <c r="B160" t="str">
        <f>"ARE US Equity"</f>
        <v>ARE US Equity</v>
      </c>
      <c r="C160" t="str">
        <f t="shared" ref="C160:C170" si="39">"RX902"</f>
        <v>RX902</v>
      </c>
      <c r="D160" t="str">
        <f t="shared" ref="D160:D170" si="40">"ANN_NOI_GR_AST_NET_RTL_DEV_CTD_%"</f>
        <v>ANN_NOI_GR_AST_NET_RTL_DEV_CTD_%</v>
      </c>
      <c r="E160" t="str">
        <f t="shared" ref="E160:E170" si="41">"动态"</f>
        <v>动态</v>
      </c>
      <c r="F160" t="str">
        <f ca="1">IF(AND(ISNUMBER($F$403),$B$258=1),$F$403,HLOOKUP(INDIRECT(ADDRESS(2,COLUMN())),OFFSET($BN$2,0,0,ROW()-1,60),ROW()-1,FALSE))</f>
        <v/>
      </c>
      <c r="G160">
        <f ca="1">IF(AND(ISNUMBER($G$403),$B$258=1),$G$403,HLOOKUP(INDIRECT(ADDRESS(2,COLUMN())),OFFSET($BN$2,0,0,ROW()-1,60),ROW()-1,FALSE))</f>
        <v>6.029229537</v>
      </c>
      <c r="H160">
        <f ca="1">IF(AND(ISNUMBER($H$403),$B$258=1),$H$403,HLOOKUP(INDIRECT(ADDRESS(2,COLUMN())),OFFSET($BN$2,0,0,ROW()-1,60),ROW()-1,FALSE))</f>
        <v>6.0583455700000002</v>
      </c>
      <c r="I160">
        <f ca="1">IF(AND(ISNUMBER($I$403),$B$258=1),$I$403,HLOOKUP(INDIRECT(ADDRESS(2,COLUMN())),OFFSET($BN$2,0,0,ROW()-1,60),ROW()-1,FALSE))</f>
        <v>6.0612116570000003</v>
      </c>
      <c r="J160">
        <f ca="1">IF(AND(ISNUMBER($J$403),$B$258=1),$J$403,HLOOKUP(INDIRECT(ADDRESS(2,COLUMN())),OFFSET($BN$2,0,0,ROW()-1,60),ROW()-1,FALSE))</f>
        <v>6.2053238850000003</v>
      </c>
      <c r="K160">
        <f ca="1">IF(AND(ISNUMBER($K$403),$B$258=1),$K$403,HLOOKUP(INDIRECT(ADDRESS(2,COLUMN())),OFFSET($BN$2,0,0,ROW()-1,60),ROW()-1,FALSE))</f>
        <v>5.9123724150000001</v>
      </c>
      <c r="L160">
        <f ca="1">IF(AND(ISNUMBER($L$403),$B$258=1),$L$403,HLOOKUP(INDIRECT(ADDRESS(2,COLUMN())),OFFSET($BN$2,0,0,ROW()-1,60),ROW()-1,FALSE))</f>
        <v>5.8838121980000002</v>
      </c>
      <c r="M160">
        <f ca="1">IF(AND(ISNUMBER($M$403),$B$258=1),$M$403,HLOOKUP(INDIRECT(ADDRESS(2,COLUMN())),OFFSET($BN$2,0,0,ROW()-1,60),ROW()-1,FALSE))</f>
        <v>5.8237463800000002</v>
      </c>
      <c r="N160">
        <f ca="1">IF(AND(ISNUMBER($N$403),$B$258=1),$N$403,HLOOKUP(INDIRECT(ADDRESS(2,COLUMN())),OFFSET($BN$2,0,0,ROW()-1,60),ROW()-1,FALSE))</f>
        <v>5.6151240549999999</v>
      </c>
      <c r="O160">
        <f ca="1">IF(AND(ISNUMBER($O$403),$B$258=1),$O$403,HLOOKUP(INDIRECT(ADDRESS(2,COLUMN())),OFFSET($BN$2,0,0,ROW()-1,60),ROW()-1,FALSE))</f>
        <v>6.0916854809999998</v>
      </c>
      <c r="P160">
        <f ca="1">IF(AND(ISNUMBER($P$403),$B$258=1),$P$403,HLOOKUP(INDIRECT(ADDRESS(2,COLUMN())),OFFSET($BN$2,0,0,ROW()-1,60),ROW()-1,FALSE))</f>
        <v>6.0482036560000001</v>
      </c>
      <c r="Q160">
        <f ca="1">IF(AND(ISNUMBER($Q$403),$B$258=1),$Q$403,HLOOKUP(INDIRECT(ADDRESS(2,COLUMN())),OFFSET($BN$2,0,0,ROW()-1,60),ROW()-1,FALSE))</f>
        <v>5.8720753600000002</v>
      </c>
      <c r="R160">
        <f ca="1">IF(AND(ISNUMBER($R$403),$B$258=1),$R$403,HLOOKUP(INDIRECT(ADDRESS(2,COLUMN())),OFFSET($BN$2,0,0,ROW()-1,60),ROW()-1,FALSE))</f>
        <v>5.7226365330000002</v>
      </c>
      <c r="S160">
        <f ca="1">IF(AND(ISNUMBER($S$403),$B$258=1),$S$403,HLOOKUP(INDIRECT(ADDRESS(2,COLUMN())),OFFSET($BN$2,0,0,ROW()-1,60),ROW()-1,FALSE))</f>
        <v>5.7349598610000001</v>
      </c>
      <c r="T160">
        <f ca="1">IF(AND(ISNUMBER($T$403),$B$258=1),$T$403,HLOOKUP(INDIRECT(ADDRESS(2,COLUMN())),OFFSET($BN$2,0,0,ROW()-1,60),ROW()-1,FALSE))</f>
        <v>5.6326573030000002</v>
      </c>
      <c r="U160">
        <f ca="1">IF(AND(ISNUMBER($U$403),$B$258=1),$U$403,HLOOKUP(INDIRECT(ADDRESS(2,COLUMN())),OFFSET($BN$2,0,0,ROW()-1,60),ROW()-1,FALSE))</f>
        <v>5.6032781590000003</v>
      </c>
      <c r="V160">
        <f ca="1">IF(AND(ISNUMBER($V$403),$B$258=1),$V$403,HLOOKUP(INDIRECT(ADDRESS(2,COLUMN())),OFFSET($BN$2,0,0,ROW()-1,60),ROW()-1,FALSE))</f>
        <v>5.6546358000000003</v>
      </c>
      <c r="W160">
        <f ca="1">IF(AND(ISNUMBER($W$403),$B$258=1),$W$403,HLOOKUP(INDIRECT(ADDRESS(2,COLUMN())),OFFSET($BN$2,0,0,ROW()-1,60),ROW()-1,FALSE))</f>
        <v>5.6072540609999999</v>
      </c>
      <c r="X160">
        <f ca="1">IF(AND(ISNUMBER($X$403),$B$258=1),$X$403,HLOOKUP(INDIRECT(ADDRESS(2,COLUMN())),OFFSET($BN$2,0,0,ROW()-1,60),ROW()-1,FALSE))</f>
        <v>5.3484569420000003</v>
      </c>
      <c r="Y160">
        <f ca="1">IF(AND(ISNUMBER($Y$403),$B$258=1),$Y$403,HLOOKUP(INDIRECT(ADDRESS(2,COLUMN())),OFFSET($BN$2,0,0,ROW()-1,60),ROW()-1,FALSE))</f>
        <v>5.2148062460000002</v>
      </c>
      <c r="Z160">
        <f ca="1">IF(AND(ISNUMBER($Z$403),$B$258=1),$Z$403,HLOOKUP(INDIRECT(ADDRESS(2,COLUMN())),OFFSET($BN$2,0,0,ROW()-1,60),ROW()-1,FALSE))</f>
        <v>5.2839445850000004</v>
      </c>
      <c r="AA160">
        <f ca="1">IF(AND(ISNUMBER($AA$403),$B$258=1),$AA$403,HLOOKUP(INDIRECT(ADDRESS(2,COLUMN())),OFFSET($BN$2,0,0,ROW()-1,60),ROW()-1,FALSE))</f>
        <v>5.2385307140000004</v>
      </c>
      <c r="AB160">
        <f ca="1">IF(AND(ISNUMBER($AB$403),$B$258=1),$AB$403,HLOOKUP(INDIRECT(ADDRESS(2,COLUMN())),OFFSET($BN$2,0,0,ROW()-1,60),ROW()-1,FALSE))</f>
        <v>5.1585368550000004</v>
      </c>
      <c r="AC160">
        <f ca="1">IF(AND(ISNUMBER($AC$403),$B$258=1),$AC$403,HLOOKUP(INDIRECT(ADDRESS(2,COLUMN())),OFFSET($BN$2,0,0,ROW()-1,60),ROW()-1,FALSE))</f>
        <v>5.4013330709999998</v>
      </c>
      <c r="AD160">
        <f ca="1">IF(AND(ISNUMBER($AD$403),$B$258=1),$AD$403,HLOOKUP(INDIRECT(ADDRESS(2,COLUMN())),OFFSET($BN$2,0,0,ROW()-1,60),ROW()-1,FALSE))</f>
        <v>5.0822779709999999</v>
      </c>
      <c r="AE160">
        <f ca="1">IF(AND(ISNUMBER($AE$403),$B$258=1),$AE$403,HLOOKUP(INDIRECT(ADDRESS(2,COLUMN())),OFFSET($BN$2,0,0,ROW()-1,60),ROW()-1,FALSE))</f>
        <v>5.3410133359999996</v>
      </c>
      <c r="AF160">
        <f ca="1">IF(AND(ISNUMBER($AF$403),$B$258=1),$AF$403,HLOOKUP(INDIRECT(ADDRESS(2,COLUMN())),OFFSET($BN$2,0,0,ROW()-1,60),ROW()-1,FALSE))</f>
        <v>5.4252389289999998</v>
      </c>
      <c r="AG160">
        <f ca="1">IF(AND(ISNUMBER($AG$403),$B$258=1),$AG$403,HLOOKUP(INDIRECT(ADDRESS(2,COLUMN())),OFFSET($BN$2,0,0,ROW()-1,60),ROW()-1,FALSE))</f>
        <v>5.8513620409999998</v>
      </c>
      <c r="AH160">
        <f ca="1">IF(AND(ISNUMBER($AH$403),$B$258=1),$AH$403,HLOOKUP(INDIRECT(ADDRESS(2,COLUMN())),OFFSET($BN$2,0,0,ROW()-1,60),ROW()-1,FALSE))</f>
        <v>5.9862659389999999</v>
      </c>
      <c r="AI160">
        <f ca="1">IF(AND(ISNUMBER($AI$403),$B$258=1),$AI$403,HLOOKUP(INDIRECT(ADDRESS(2,COLUMN())),OFFSET($BN$2,0,0,ROW()-1,60),ROW()-1,FALSE))</f>
        <v>5.8320714249999996</v>
      </c>
      <c r="AJ160">
        <f ca="1">IF(AND(ISNUMBER($AJ$403),$B$258=1),$AJ$403,HLOOKUP(INDIRECT(ADDRESS(2,COLUMN())),OFFSET($BN$2,0,0,ROW()-1,60),ROW()-1,FALSE))</f>
        <v>5.5018375229999998</v>
      </c>
      <c r="AK160">
        <f ca="1">IF(AND(ISNUMBER($AK$403),$B$258=1),$AK$403,HLOOKUP(INDIRECT(ADDRESS(2,COLUMN())),OFFSET($BN$2,0,0,ROW()-1,60),ROW()-1,FALSE))</f>
        <v>5.657716476</v>
      </c>
      <c r="AL160">
        <f ca="1">IF(AND(ISNUMBER($AL$403),$B$258=1),$AL$403,HLOOKUP(INDIRECT(ADDRESS(2,COLUMN())),OFFSET($BN$2,0,0,ROW()-1,60),ROW()-1,FALSE))</f>
        <v>5.6563029370000004</v>
      </c>
      <c r="AM160" t="str">
        <f ca="1">IF(AND(ISNUMBER($AM$403),$B$258=1),$AM$403,HLOOKUP(INDIRECT(ADDRESS(2,COLUMN())),OFFSET($BN$2,0,0,ROW()-1,60),ROW()-1,FALSE))</f>
        <v/>
      </c>
      <c r="AN160" t="str">
        <f ca="1">IF(AND(ISNUMBER($AN$403),$B$258=1),$AN$403,HLOOKUP(INDIRECT(ADDRESS(2,COLUMN())),OFFSET($BN$2,0,0,ROW()-1,60),ROW()-1,FALSE))</f>
        <v/>
      </c>
      <c r="AO160" t="str">
        <f ca="1">IF(AND(ISNUMBER($AO$403),$B$258=1),$AO$403,HLOOKUP(INDIRECT(ADDRESS(2,COLUMN())),OFFSET($BN$2,0,0,ROW()-1,60),ROW()-1,FALSE))</f>
        <v/>
      </c>
      <c r="AP160" t="str">
        <f ca="1">IF(AND(ISNUMBER($AP$403),$B$258=1),$AP$403,HLOOKUP(INDIRECT(ADDRESS(2,COLUMN())),OFFSET($BN$2,0,0,ROW()-1,60),ROW()-1,FALSE))</f>
        <v/>
      </c>
      <c r="AQ160" t="str">
        <f ca="1">IF(AND(ISNUMBER($AQ$403),$B$258=1),$AQ$403,HLOOKUP(INDIRECT(ADDRESS(2,COLUMN())),OFFSET($BN$2,0,0,ROW()-1,60),ROW()-1,FALSE))</f>
        <v/>
      </c>
      <c r="AR160">
        <f ca="1">IF(AND(ISNUMBER($AR$403),$B$258=1),$AR$403,HLOOKUP(INDIRECT(ADDRESS(2,COLUMN())),OFFSET($BN$2,0,0,ROW()-1,60),ROW()-1,FALSE))</f>
        <v>4.9244428229999997</v>
      </c>
      <c r="AS160">
        <f ca="1">IF(AND(ISNUMBER($AS$403),$B$258=1),$AS$403,HLOOKUP(INDIRECT(ADDRESS(2,COLUMN())),OFFSET($BN$2,0,0,ROW()-1,60),ROW()-1,FALSE))</f>
        <v>4.7875108810000002</v>
      </c>
      <c r="AT160" t="str">
        <f ca="1">IF(AND(ISNUMBER($AT$403),$B$258=1),$AT$403,HLOOKUP(INDIRECT(ADDRESS(2,COLUMN())),OFFSET($BN$2,0,0,ROW()-1,60),ROW()-1,FALSE))</f>
        <v/>
      </c>
      <c r="AU160" t="str">
        <f ca="1">IF(AND(ISNUMBER($AU$403),$B$258=1),$AU$403,HLOOKUP(INDIRECT(ADDRESS(2,COLUMN())),OFFSET($BN$2,0,0,ROW()-1,60),ROW()-1,FALSE))</f>
        <v/>
      </c>
      <c r="AV160">
        <f ca="1">IF(AND(ISNUMBER($AV$403),$B$258=1),$AV$403,HLOOKUP(INDIRECT(ADDRESS(2,COLUMN())),OFFSET($BN$2,0,0,ROW()-1,60),ROW()-1,FALSE))</f>
        <v>5.3615685610000003</v>
      </c>
      <c r="AW160">
        <f ca="1">IF(AND(ISNUMBER($AW$403),$B$258=1),$AW$403,HLOOKUP(INDIRECT(ADDRESS(2,COLUMN())),OFFSET($BN$2,0,0,ROW()-1,60),ROW()-1,FALSE))</f>
        <v>5.7520512500000001</v>
      </c>
      <c r="AX160" t="str">
        <f ca="1">IF(AND(ISNUMBER($AX$403),$B$258=1),$AX$403,HLOOKUP(INDIRECT(ADDRESS(2,COLUMN())),OFFSET($BN$2,0,0,ROW()-1,60),ROW()-1,FALSE))</f>
        <v/>
      </c>
      <c r="AY160" t="str">
        <f ca="1">IF(AND(ISNUMBER($AY$403),$B$258=1),$AY$403,HLOOKUP(INDIRECT(ADDRESS(2,COLUMN())),OFFSET($BN$2,0,0,ROW()-1,60),ROW()-1,FALSE))</f>
        <v/>
      </c>
      <c r="AZ160" t="str">
        <f ca="1">IF(AND(ISNUMBER($AZ$403),$B$258=1),$AZ$403,HLOOKUP(INDIRECT(ADDRESS(2,COLUMN())),OFFSET($BN$2,0,0,ROW()-1,60),ROW()-1,FALSE))</f>
        <v/>
      </c>
      <c r="BA160" t="str">
        <f ca="1">IF(AND(ISNUMBER($BA$403),$B$258=1),$BA$403,HLOOKUP(INDIRECT(ADDRESS(2,COLUMN())),OFFSET($BN$2,0,0,ROW()-1,60),ROW()-1,FALSE))</f>
        <v/>
      </c>
      <c r="BB160" t="str">
        <f ca="1">IF(AND(ISNUMBER($BB$403),$B$258=1),$BB$403,HLOOKUP(INDIRECT(ADDRESS(2,COLUMN())),OFFSET($BN$2,0,0,ROW()-1,60),ROW()-1,FALSE))</f>
        <v/>
      </c>
      <c r="BC160" t="str">
        <f ca="1">IF(AND(ISNUMBER($BC$403),$B$258=1),$BC$403,HLOOKUP(INDIRECT(ADDRESS(2,COLUMN())),OFFSET($BN$2,0,0,ROW()-1,60),ROW()-1,FALSE))</f>
        <v/>
      </c>
      <c r="BD160" t="str">
        <f ca="1">IF(AND(ISNUMBER($BD$403),$B$258=1),$BD$403,HLOOKUP(INDIRECT(ADDRESS(2,COLUMN())),OFFSET($BN$2,0,0,ROW()-1,60),ROW()-1,FALSE))</f>
        <v/>
      </c>
      <c r="BE160" t="str">
        <f ca="1">IF(AND(ISNUMBER($BE$403),$B$258=1),$BE$403,HLOOKUP(INDIRECT(ADDRESS(2,COLUMN())),OFFSET($BN$2,0,0,ROW()-1,60),ROW()-1,FALSE))</f>
        <v/>
      </c>
      <c r="BF160" t="str">
        <f ca="1">IF(AND(ISNUMBER($BF$403),$B$258=1),$BF$403,HLOOKUP(INDIRECT(ADDRESS(2,COLUMN())),OFFSET($BN$2,0,0,ROW()-1,60),ROW()-1,FALSE))</f>
        <v/>
      </c>
      <c r="BG160" t="str">
        <f ca="1">IF(AND(ISNUMBER($BG$403),$B$258=1),$BG$403,HLOOKUP(INDIRECT(ADDRESS(2,COLUMN())),OFFSET($BN$2,0,0,ROW()-1,60),ROW()-1,FALSE))</f>
        <v/>
      </c>
      <c r="BH160" t="str">
        <f ca="1">IF(AND(ISNUMBER($BH$403),$B$258=1),$BH$403,HLOOKUP(INDIRECT(ADDRESS(2,COLUMN())),OFFSET($BN$2,0,0,ROW()-1,60),ROW()-1,FALSE))</f>
        <v/>
      </c>
      <c r="BI160" t="str">
        <f ca="1">IF(AND(ISNUMBER($BI$403),$B$258=1),$BI$403,HLOOKUP(INDIRECT(ADDRESS(2,COLUMN())),OFFSET($BN$2,0,0,ROW()-1,60),ROW()-1,FALSE))</f>
        <v/>
      </c>
      <c r="BJ160" t="str">
        <f ca="1">IF(AND(ISNUMBER($BJ$403),$B$258=1),$BJ$403,HLOOKUP(INDIRECT(ADDRESS(2,COLUMN())),OFFSET($BN$2,0,0,ROW()-1,60),ROW()-1,FALSE))</f>
        <v/>
      </c>
      <c r="BK160" t="str">
        <f ca="1">IF(AND(ISNUMBER($BK$403),$B$258=1),$BK$403,HLOOKUP(INDIRECT(ADDRESS(2,COLUMN())),OFFSET($BN$2,0,0,ROW()-1,60),ROW()-1,FALSE))</f>
        <v/>
      </c>
      <c r="BL160" t="str">
        <f ca="1">IF(AND(ISNUMBER($BL$403),$B$258=1),$BL$403,HLOOKUP(INDIRECT(ADDRESS(2,COLUMN())),OFFSET($BN$2,0,0,ROW()-1,60),ROW()-1,FALSE))</f>
        <v/>
      </c>
      <c r="BM160" t="str">
        <f ca="1">IF(AND(ISNUMBER($BM$403),$B$258=1),$BM$403,HLOOKUP(INDIRECT(ADDRESS(2,COLUMN())),OFFSET($BN$2,0,0,ROW()-1,60),ROW()-1,FALSE))</f>
        <v/>
      </c>
      <c r="BN160" t="str">
        <f>""</f>
        <v/>
      </c>
      <c r="BO160">
        <f>6.029229537</f>
        <v>6.029229537</v>
      </c>
      <c r="BP160">
        <f>6.05834557</f>
        <v>6.0583455700000002</v>
      </c>
      <c r="BQ160">
        <f>6.061211657</f>
        <v>6.0612116570000003</v>
      </c>
      <c r="BR160">
        <f>6.205323885</f>
        <v>6.2053238850000003</v>
      </c>
      <c r="BS160">
        <f>5.912372415</f>
        <v>5.9123724150000001</v>
      </c>
      <c r="BT160">
        <f>5.883812198</f>
        <v>5.8838121980000002</v>
      </c>
      <c r="BU160">
        <f>5.82374638</f>
        <v>5.8237463800000002</v>
      </c>
      <c r="BV160">
        <f>5.615124055</f>
        <v>5.6151240549999999</v>
      </c>
      <c r="BW160">
        <f>6.091685481</f>
        <v>6.0916854809999998</v>
      </c>
      <c r="BX160">
        <f>6.048203656</f>
        <v>6.0482036560000001</v>
      </c>
      <c r="BY160">
        <f>5.87207536</f>
        <v>5.8720753600000002</v>
      </c>
      <c r="BZ160">
        <f>5.722636533</f>
        <v>5.7226365330000002</v>
      </c>
      <c r="CA160">
        <f>5.734959861</f>
        <v>5.7349598610000001</v>
      </c>
      <c r="CB160">
        <f>5.632657303</f>
        <v>5.6326573030000002</v>
      </c>
      <c r="CC160">
        <f>5.603278159</f>
        <v>5.6032781590000003</v>
      </c>
      <c r="CD160">
        <f>5.6546358</f>
        <v>5.6546358000000003</v>
      </c>
      <c r="CE160">
        <f>5.607254061</f>
        <v>5.6072540609999999</v>
      </c>
      <c r="CF160">
        <f>5.348456942</f>
        <v>5.3484569420000003</v>
      </c>
      <c r="CG160">
        <f>5.214806246</f>
        <v>5.2148062460000002</v>
      </c>
      <c r="CH160">
        <f>5.283944585</f>
        <v>5.2839445850000004</v>
      </c>
      <c r="CI160">
        <f>5.238530714</f>
        <v>5.2385307140000004</v>
      </c>
      <c r="CJ160">
        <f>5.158536855</f>
        <v>5.1585368550000004</v>
      </c>
      <c r="CK160">
        <f>5.401333071</f>
        <v>5.4013330709999998</v>
      </c>
      <c r="CL160">
        <f>5.082277971</f>
        <v>5.0822779709999999</v>
      </c>
      <c r="CM160">
        <f>5.341013336</f>
        <v>5.3410133359999996</v>
      </c>
      <c r="CN160">
        <f>5.425238929</f>
        <v>5.4252389289999998</v>
      </c>
      <c r="CO160">
        <f>5.851362041</f>
        <v>5.8513620409999998</v>
      </c>
      <c r="CP160">
        <f>5.986265939</f>
        <v>5.9862659389999999</v>
      </c>
      <c r="CQ160">
        <f>5.832071425</f>
        <v>5.8320714249999996</v>
      </c>
      <c r="CR160">
        <f>5.501837523</f>
        <v>5.5018375229999998</v>
      </c>
      <c r="CS160">
        <f>5.657716476</f>
        <v>5.657716476</v>
      </c>
      <c r="CT160">
        <f>5.656302937</f>
        <v>5.6563029370000004</v>
      </c>
      <c r="CU160" t="str">
        <f>""</f>
        <v/>
      </c>
      <c r="CV160" t="str">
        <f>""</f>
        <v/>
      </c>
      <c r="CW160" t="str">
        <f>""</f>
        <v/>
      </c>
      <c r="CX160" t="str">
        <f>""</f>
        <v/>
      </c>
      <c r="CY160" t="str">
        <f>""</f>
        <v/>
      </c>
      <c r="CZ160">
        <f>4.924442823</f>
        <v>4.9244428229999997</v>
      </c>
      <c r="DA160">
        <f>4.787510881</f>
        <v>4.7875108810000002</v>
      </c>
      <c r="DB160" t="str">
        <f>""</f>
        <v/>
      </c>
      <c r="DC160" t="str">
        <f>""</f>
        <v/>
      </c>
      <c r="DD160">
        <f>5.361568561</f>
        <v>5.3615685610000003</v>
      </c>
      <c r="DE160">
        <f>5.75205125</f>
        <v>5.7520512500000001</v>
      </c>
      <c r="DF160" t="str">
        <f>""</f>
        <v/>
      </c>
      <c r="DG160" t="str">
        <f>""</f>
        <v/>
      </c>
      <c r="DH160" t="str">
        <f>""</f>
        <v/>
      </c>
      <c r="DI160" t="str">
        <f>""</f>
        <v/>
      </c>
      <c r="DJ160" t="str">
        <f>""</f>
        <v/>
      </c>
      <c r="DK160" t="str">
        <f>""</f>
        <v/>
      </c>
      <c r="DL160" t="str">
        <f>""</f>
        <v/>
      </c>
      <c r="DM160" t="str">
        <f>""</f>
        <v/>
      </c>
      <c r="DN160" t="str">
        <f>""</f>
        <v/>
      </c>
      <c r="DO160" t="str">
        <f>""</f>
        <v/>
      </c>
      <c r="DP160" t="str">
        <f>""</f>
        <v/>
      </c>
      <c r="DQ160" t="str">
        <f>""</f>
        <v/>
      </c>
      <c r="DR160" t="str">
        <f>""</f>
        <v/>
      </c>
      <c r="DS160" t="str">
        <f>""</f>
        <v/>
      </c>
      <c r="DT160" t="str">
        <f>""</f>
        <v/>
      </c>
      <c r="DU160" t="str">
        <f>""</f>
        <v/>
      </c>
    </row>
    <row r="161" spans="1:125">
      <c r="A161" t="str">
        <f>"    Care Capital Properties Inc"</f>
        <v xml:space="preserve">    Care Capital Properties Inc</v>
      </c>
      <c r="B161" t="str">
        <f>"CCP US Equity"</f>
        <v>CCP US Equity</v>
      </c>
      <c r="C161" t="str">
        <f t="shared" si="39"/>
        <v>RX902</v>
      </c>
      <c r="D161" t="str">
        <f t="shared" si="40"/>
        <v>ANN_NOI_GR_AST_NET_RTL_DEV_CTD_%</v>
      </c>
      <c r="E161" t="str">
        <f t="shared" si="41"/>
        <v>动态</v>
      </c>
      <c r="F161" t="str">
        <f ca="1">IF(AND(ISNUMBER($F$404),$B$258=1),$F$404,HLOOKUP(INDIRECT(ADDRESS(2,COLUMN())),OFFSET($BN$2,0,0,ROW()-1,60),ROW()-1,FALSE))</f>
        <v/>
      </c>
      <c r="G161" t="str">
        <f ca="1">IF(AND(ISNUMBER($G$404),$B$258=1),$G$404,HLOOKUP(INDIRECT(ADDRESS(2,COLUMN())),OFFSET($BN$2,0,0,ROW()-1,60),ROW()-1,FALSE))</f>
        <v/>
      </c>
      <c r="H161" t="str">
        <f ca="1">IF(AND(ISNUMBER($H$404),$B$258=1),$H$404,HLOOKUP(INDIRECT(ADDRESS(2,COLUMN())),OFFSET($BN$2,0,0,ROW()-1,60),ROW()-1,FALSE))</f>
        <v/>
      </c>
      <c r="I161">
        <f ca="1">IF(AND(ISNUMBER($I$404),$B$258=1),$I$404,HLOOKUP(INDIRECT(ADDRESS(2,COLUMN())),OFFSET($BN$2,0,0,ROW()-1,60),ROW()-1,FALSE))</f>
        <v>8.8794506779999995</v>
      </c>
      <c r="J161">
        <f ca="1">IF(AND(ISNUMBER($J$404),$B$258=1),$J$404,HLOOKUP(INDIRECT(ADDRESS(2,COLUMN())),OFFSET($BN$2,0,0,ROW()-1,60),ROW()-1,FALSE))</f>
        <v>9.0066223680000004</v>
      </c>
      <c r="K161">
        <f ca="1">IF(AND(ISNUMBER($K$404),$B$258=1),$K$404,HLOOKUP(INDIRECT(ADDRESS(2,COLUMN())),OFFSET($BN$2,0,0,ROW()-1,60),ROW()-1,FALSE))</f>
        <v>9.2527915380000003</v>
      </c>
      <c r="L161">
        <f ca="1">IF(AND(ISNUMBER($L$404),$B$258=1),$L$404,HLOOKUP(INDIRECT(ADDRESS(2,COLUMN())),OFFSET($BN$2,0,0,ROW()-1,60),ROW()-1,FALSE))</f>
        <v>9.7220228530000004</v>
      </c>
      <c r="M161">
        <f ca="1">IF(AND(ISNUMBER($M$404),$B$258=1),$M$404,HLOOKUP(INDIRECT(ADDRESS(2,COLUMN())),OFFSET($BN$2,0,0,ROW()-1,60),ROW()-1,FALSE))</f>
        <v>9.3932079179999999</v>
      </c>
      <c r="N161">
        <f ca="1">IF(AND(ISNUMBER($N$404),$B$258=1),$N$404,HLOOKUP(INDIRECT(ADDRESS(2,COLUMN())),OFFSET($BN$2,0,0,ROW()-1,60),ROW()-1,FALSE))</f>
        <v>9.0821656869999998</v>
      </c>
      <c r="O161">
        <f ca="1">IF(AND(ISNUMBER($O$404),$B$258=1),$O$404,HLOOKUP(INDIRECT(ADDRESS(2,COLUMN())),OFFSET($BN$2,0,0,ROW()-1,60),ROW()-1,FALSE))</f>
        <v>9.5438894899999998</v>
      </c>
      <c r="P161">
        <f ca="1">IF(AND(ISNUMBER($P$404),$B$258=1),$P$404,HLOOKUP(INDIRECT(ADDRESS(2,COLUMN())),OFFSET($BN$2,0,0,ROW()-1,60),ROW()-1,FALSE))</f>
        <v>9.003340992</v>
      </c>
      <c r="Q161">
        <f ca="1">IF(AND(ISNUMBER($Q$404),$B$258=1),$Q$404,HLOOKUP(INDIRECT(ADDRESS(2,COLUMN())),OFFSET($BN$2,0,0,ROW()-1,60),ROW()-1,FALSE))</f>
        <v>9.2813718040000008</v>
      </c>
      <c r="R161" t="str">
        <f ca="1">IF(AND(ISNUMBER($R$404),$B$258=1),$R$404,HLOOKUP(INDIRECT(ADDRESS(2,COLUMN())),OFFSET($BN$2,0,0,ROW()-1,60),ROW()-1,FALSE))</f>
        <v/>
      </c>
      <c r="S161" t="str">
        <f ca="1">IF(AND(ISNUMBER($S$404),$B$258=1),$S$404,HLOOKUP(INDIRECT(ADDRESS(2,COLUMN())),OFFSET($BN$2,0,0,ROW()-1,60),ROW()-1,FALSE))</f>
        <v/>
      </c>
      <c r="T161" t="str">
        <f ca="1">IF(AND(ISNUMBER($T$404),$B$258=1),$T$404,HLOOKUP(INDIRECT(ADDRESS(2,COLUMN())),OFFSET($BN$2,0,0,ROW()-1,60),ROW()-1,FALSE))</f>
        <v/>
      </c>
      <c r="U161" t="str">
        <f ca="1">IF(AND(ISNUMBER($U$404),$B$258=1),$U$404,HLOOKUP(INDIRECT(ADDRESS(2,COLUMN())),OFFSET($BN$2,0,0,ROW()-1,60),ROW()-1,FALSE))</f>
        <v/>
      </c>
      <c r="V161" t="str">
        <f ca="1">IF(AND(ISNUMBER($V$404),$B$258=1),$V$404,HLOOKUP(INDIRECT(ADDRESS(2,COLUMN())),OFFSET($BN$2,0,0,ROW()-1,60),ROW()-1,FALSE))</f>
        <v/>
      </c>
      <c r="W161" t="str">
        <f ca="1">IF(AND(ISNUMBER($W$404),$B$258=1),$W$404,HLOOKUP(INDIRECT(ADDRESS(2,COLUMN())),OFFSET($BN$2,0,0,ROW()-1,60),ROW()-1,FALSE))</f>
        <v/>
      </c>
      <c r="X161" t="str">
        <f ca="1">IF(AND(ISNUMBER($X$404),$B$258=1),$X$404,HLOOKUP(INDIRECT(ADDRESS(2,COLUMN())),OFFSET($BN$2,0,0,ROW()-1,60),ROW()-1,FALSE))</f>
        <v/>
      </c>
      <c r="Y161" t="str">
        <f ca="1">IF(AND(ISNUMBER($Y$404),$B$258=1),$Y$404,HLOOKUP(INDIRECT(ADDRESS(2,COLUMN())),OFFSET($BN$2,0,0,ROW()-1,60),ROW()-1,FALSE))</f>
        <v/>
      </c>
      <c r="Z161" t="str">
        <f ca="1">IF(AND(ISNUMBER($Z$404),$B$258=1),$Z$404,HLOOKUP(INDIRECT(ADDRESS(2,COLUMN())),OFFSET($BN$2,0,0,ROW()-1,60),ROW()-1,FALSE))</f>
        <v/>
      </c>
      <c r="AA161" t="str">
        <f ca="1">IF(AND(ISNUMBER($AA$404),$B$258=1),$AA$404,HLOOKUP(INDIRECT(ADDRESS(2,COLUMN())),OFFSET($BN$2,0,0,ROW()-1,60),ROW()-1,FALSE))</f>
        <v/>
      </c>
      <c r="AB161" t="str">
        <f ca="1">IF(AND(ISNUMBER($AB$404),$B$258=1),$AB$404,HLOOKUP(INDIRECT(ADDRESS(2,COLUMN())),OFFSET($BN$2,0,0,ROW()-1,60),ROW()-1,FALSE))</f>
        <v/>
      </c>
      <c r="AC161" t="str">
        <f ca="1">IF(AND(ISNUMBER($AC$404),$B$258=1),$AC$404,HLOOKUP(INDIRECT(ADDRESS(2,COLUMN())),OFFSET($BN$2,0,0,ROW()-1,60),ROW()-1,FALSE))</f>
        <v/>
      </c>
      <c r="AD161" t="str">
        <f ca="1">IF(AND(ISNUMBER($AD$404),$B$258=1),$AD$404,HLOOKUP(INDIRECT(ADDRESS(2,COLUMN())),OFFSET($BN$2,0,0,ROW()-1,60),ROW()-1,FALSE))</f>
        <v/>
      </c>
      <c r="AE161" t="str">
        <f ca="1">IF(AND(ISNUMBER($AE$404),$B$258=1),$AE$404,HLOOKUP(INDIRECT(ADDRESS(2,COLUMN())),OFFSET($BN$2,0,0,ROW()-1,60),ROW()-1,FALSE))</f>
        <v/>
      </c>
      <c r="AF161" t="str">
        <f ca="1">IF(AND(ISNUMBER($AF$404),$B$258=1),$AF$404,HLOOKUP(INDIRECT(ADDRESS(2,COLUMN())),OFFSET($BN$2,0,0,ROW()-1,60),ROW()-1,FALSE))</f>
        <v/>
      </c>
      <c r="AG161" t="str">
        <f ca="1">IF(AND(ISNUMBER($AG$404),$B$258=1),$AG$404,HLOOKUP(INDIRECT(ADDRESS(2,COLUMN())),OFFSET($BN$2,0,0,ROW()-1,60),ROW()-1,FALSE))</f>
        <v/>
      </c>
      <c r="AH161" t="str">
        <f ca="1">IF(AND(ISNUMBER($AH$404),$B$258=1),$AH$404,HLOOKUP(INDIRECT(ADDRESS(2,COLUMN())),OFFSET($BN$2,0,0,ROW()-1,60),ROW()-1,FALSE))</f>
        <v/>
      </c>
      <c r="AI161" t="str">
        <f ca="1">IF(AND(ISNUMBER($AI$404),$B$258=1),$AI$404,HLOOKUP(INDIRECT(ADDRESS(2,COLUMN())),OFFSET($BN$2,0,0,ROW()-1,60),ROW()-1,FALSE))</f>
        <v/>
      </c>
      <c r="AJ161" t="str">
        <f ca="1">IF(AND(ISNUMBER($AJ$404),$B$258=1),$AJ$404,HLOOKUP(INDIRECT(ADDRESS(2,COLUMN())),OFFSET($BN$2,0,0,ROW()-1,60),ROW()-1,FALSE))</f>
        <v/>
      </c>
      <c r="AK161" t="str">
        <f ca="1">IF(AND(ISNUMBER($AK$404),$B$258=1),$AK$404,HLOOKUP(INDIRECT(ADDRESS(2,COLUMN())),OFFSET($BN$2,0,0,ROW()-1,60),ROW()-1,FALSE))</f>
        <v/>
      </c>
      <c r="AL161" t="str">
        <f ca="1">IF(AND(ISNUMBER($AL$404),$B$258=1),$AL$404,HLOOKUP(INDIRECT(ADDRESS(2,COLUMN())),OFFSET($BN$2,0,0,ROW()-1,60),ROW()-1,FALSE))</f>
        <v/>
      </c>
      <c r="AM161" t="str">
        <f ca="1">IF(AND(ISNUMBER($AM$404),$B$258=1),$AM$404,HLOOKUP(INDIRECT(ADDRESS(2,COLUMN())),OFFSET($BN$2,0,0,ROW()-1,60),ROW()-1,FALSE))</f>
        <v/>
      </c>
      <c r="AN161" t="str">
        <f ca="1">IF(AND(ISNUMBER($AN$404),$B$258=1),$AN$404,HLOOKUP(INDIRECT(ADDRESS(2,COLUMN())),OFFSET($BN$2,0,0,ROW()-1,60),ROW()-1,FALSE))</f>
        <v/>
      </c>
      <c r="AO161" t="str">
        <f ca="1">IF(AND(ISNUMBER($AO$404),$B$258=1),$AO$404,HLOOKUP(INDIRECT(ADDRESS(2,COLUMN())),OFFSET($BN$2,0,0,ROW()-1,60),ROW()-1,FALSE))</f>
        <v/>
      </c>
      <c r="AP161" t="str">
        <f ca="1">IF(AND(ISNUMBER($AP$404),$B$258=1),$AP$404,HLOOKUP(INDIRECT(ADDRESS(2,COLUMN())),OFFSET($BN$2,0,0,ROW()-1,60),ROW()-1,FALSE))</f>
        <v/>
      </c>
      <c r="AQ161" t="str">
        <f ca="1">IF(AND(ISNUMBER($AQ$404),$B$258=1),$AQ$404,HLOOKUP(INDIRECT(ADDRESS(2,COLUMN())),OFFSET($BN$2,0,0,ROW()-1,60),ROW()-1,FALSE))</f>
        <v/>
      </c>
      <c r="AR161" t="str">
        <f ca="1">IF(AND(ISNUMBER($AR$404),$B$258=1),$AR$404,HLOOKUP(INDIRECT(ADDRESS(2,COLUMN())),OFFSET($BN$2,0,0,ROW()-1,60),ROW()-1,FALSE))</f>
        <v/>
      </c>
      <c r="AS161" t="str">
        <f ca="1">IF(AND(ISNUMBER($AS$404),$B$258=1),$AS$404,HLOOKUP(INDIRECT(ADDRESS(2,COLUMN())),OFFSET($BN$2,0,0,ROW()-1,60),ROW()-1,FALSE))</f>
        <v/>
      </c>
      <c r="AT161" t="str">
        <f ca="1">IF(AND(ISNUMBER($AT$404),$B$258=1),$AT$404,HLOOKUP(INDIRECT(ADDRESS(2,COLUMN())),OFFSET($BN$2,0,0,ROW()-1,60),ROW()-1,FALSE))</f>
        <v/>
      </c>
      <c r="AU161" t="str">
        <f ca="1">IF(AND(ISNUMBER($AU$404),$B$258=1),$AU$404,HLOOKUP(INDIRECT(ADDRESS(2,COLUMN())),OFFSET($BN$2,0,0,ROW()-1,60),ROW()-1,FALSE))</f>
        <v/>
      </c>
      <c r="AV161" t="str">
        <f ca="1">IF(AND(ISNUMBER($AV$404),$B$258=1),$AV$404,HLOOKUP(INDIRECT(ADDRESS(2,COLUMN())),OFFSET($BN$2,0,0,ROW()-1,60),ROW()-1,FALSE))</f>
        <v/>
      </c>
      <c r="AW161" t="str">
        <f ca="1">IF(AND(ISNUMBER($AW$404),$B$258=1),$AW$404,HLOOKUP(INDIRECT(ADDRESS(2,COLUMN())),OFFSET($BN$2,0,0,ROW()-1,60),ROW()-1,FALSE))</f>
        <v/>
      </c>
      <c r="AX161" t="str">
        <f ca="1">IF(AND(ISNUMBER($AX$404),$B$258=1),$AX$404,HLOOKUP(INDIRECT(ADDRESS(2,COLUMN())),OFFSET($BN$2,0,0,ROW()-1,60),ROW()-1,FALSE))</f>
        <v/>
      </c>
      <c r="AY161" t="str">
        <f ca="1">IF(AND(ISNUMBER($AY$404),$B$258=1),$AY$404,HLOOKUP(INDIRECT(ADDRESS(2,COLUMN())),OFFSET($BN$2,0,0,ROW()-1,60),ROW()-1,FALSE))</f>
        <v/>
      </c>
      <c r="AZ161" t="str">
        <f ca="1">IF(AND(ISNUMBER($AZ$404),$B$258=1),$AZ$404,HLOOKUP(INDIRECT(ADDRESS(2,COLUMN())),OFFSET($BN$2,0,0,ROW()-1,60),ROW()-1,FALSE))</f>
        <v/>
      </c>
      <c r="BA161" t="str">
        <f ca="1">IF(AND(ISNUMBER($BA$404),$B$258=1),$BA$404,HLOOKUP(INDIRECT(ADDRESS(2,COLUMN())),OFFSET($BN$2,0,0,ROW()-1,60),ROW()-1,FALSE))</f>
        <v/>
      </c>
      <c r="BB161" t="str">
        <f ca="1">IF(AND(ISNUMBER($BB$404),$B$258=1),$BB$404,HLOOKUP(INDIRECT(ADDRESS(2,COLUMN())),OFFSET($BN$2,0,0,ROW()-1,60),ROW()-1,FALSE))</f>
        <v/>
      </c>
      <c r="BC161" t="str">
        <f ca="1">IF(AND(ISNUMBER($BC$404),$B$258=1),$BC$404,HLOOKUP(INDIRECT(ADDRESS(2,COLUMN())),OFFSET($BN$2,0,0,ROW()-1,60),ROW()-1,FALSE))</f>
        <v/>
      </c>
      <c r="BD161" t="str">
        <f ca="1">IF(AND(ISNUMBER($BD$404),$B$258=1),$BD$404,HLOOKUP(INDIRECT(ADDRESS(2,COLUMN())),OFFSET($BN$2,0,0,ROW()-1,60),ROW()-1,FALSE))</f>
        <v/>
      </c>
      <c r="BE161" t="str">
        <f ca="1">IF(AND(ISNUMBER($BE$404),$B$258=1),$BE$404,HLOOKUP(INDIRECT(ADDRESS(2,COLUMN())),OFFSET($BN$2,0,0,ROW()-1,60),ROW()-1,FALSE))</f>
        <v/>
      </c>
      <c r="BF161" t="str">
        <f ca="1">IF(AND(ISNUMBER($BF$404),$B$258=1),$BF$404,HLOOKUP(INDIRECT(ADDRESS(2,COLUMN())),OFFSET($BN$2,0,0,ROW()-1,60),ROW()-1,FALSE))</f>
        <v/>
      </c>
      <c r="BG161" t="str">
        <f ca="1">IF(AND(ISNUMBER($BG$404),$B$258=1),$BG$404,HLOOKUP(INDIRECT(ADDRESS(2,COLUMN())),OFFSET($BN$2,0,0,ROW()-1,60),ROW()-1,FALSE))</f>
        <v/>
      </c>
      <c r="BH161" t="str">
        <f ca="1">IF(AND(ISNUMBER($BH$404),$B$258=1),$BH$404,HLOOKUP(INDIRECT(ADDRESS(2,COLUMN())),OFFSET($BN$2,0,0,ROW()-1,60),ROW()-1,FALSE))</f>
        <v/>
      </c>
      <c r="BI161" t="str">
        <f ca="1">IF(AND(ISNUMBER($BI$404),$B$258=1),$BI$404,HLOOKUP(INDIRECT(ADDRESS(2,COLUMN())),OFFSET($BN$2,0,0,ROW()-1,60),ROW()-1,FALSE))</f>
        <v/>
      </c>
      <c r="BJ161" t="str">
        <f ca="1">IF(AND(ISNUMBER($BJ$404),$B$258=1),$BJ$404,HLOOKUP(INDIRECT(ADDRESS(2,COLUMN())),OFFSET($BN$2,0,0,ROW()-1,60),ROW()-1,FALSE))</f>
        <v/>
      </c>
      <c r="BK161" t="str">
        <f ca="1">IF(AND(ISNUMBER($BK$404),$B$258=1),$BK$404,HLOOKUP(INDIRECT(ADDRESS(2,COLUMN())),OFFSET($BN$2,0,0,ROW()-1,60),ROW()-1,FALSE))</f>
        <v/>
      </c>
      <c r="BL161" t="str">
        <f ca="1">IF(AND(ISNUMBER($BL$404),$B$258=1),$BL$404,HLOOKUP(INDIRECT(ADDRESS(2,COLUMN())),OFFSET($BN$2,0,0,ROW()-1,60),ROW()-1,FALSE))</f>
        <v/>
      </c>
      <c r="BM161" t="str">
        <f ca="1">IF(AND(ISNUMBER($BM$404),$B$258=1),$BM$404,HLOOKUP(INDIRECT(ADDRESS(2,COLUMN())),OFFSET($BN$2,0,0,ROW()-1,60),ROW()-1,FALSE))</f>
        <v/>
      </c>
      <c r="BN161" t="str">
        <f>""</f>
        <v/>
      </c>
      <c r="BO161" t="str">
        <f>""</f>
        <v/>
      </c>
      <c r="BP161" t="str">
        <f>""</f>
        <v/>
      </c>
      <c r="BQ161">
        <f>8.879450678</f>
        <v>8.8794506779999995</v>
      </c>
      <c r="BR161">
        <f>9.006622368</f>
        <v>9.0066223680000004</v>
      </c>
      <c r="BS161">
        <f>9.252791538</f>
        <v>9.2527915380000003</v>
      </c>
      <c r="BT161">
        <f>9.722022853</f>
        <v>9.7220228530000004</v>
      </c>
      <c r="BU161">
        <f>9.393207918</f>
        <v>9.3932079179999999</v>
      </c>
      <c r="BV161">
        <f>9.082165687</f>
        <v>9.0821656869999998</v>
      </c>
      <c r="BW161">
        <f>9.54388949</f>
        <v>9.5438894899999998</v>
      </c>
      <c r="BX161">
        <f>9.003340992</f>
        <v>9.003340992</v>
      </c>
      <c r="BY161">
        <f>9.281371804</f>
        <v>9.2813718040000008</v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>
      <c r="A162" t="str">
        <f>"    HCP Inc"</f>
        <v xml:space="preserve">    HCP Inc</v>
      </c>
      <c r="B162" t="str">
        <f>"HCP US Equity"</f>
        <v>HCP US Equity</v>
      </c>
      <c r="C162" t="str">
        <f t="shared" si="39"/>
        <v>RX902</v>
      </c>
      <c r="D162" t="str">
        <f t="shared" si="40"/>
        <v>ANN_NOI_GR_AST_NET_RTL_DEV_CTD_%</v>
      </c>
      <c r="E162" t="str">
        <f t="shared" si="41"/>
        <v>动态</v>
      </c>
      <c r="F162" t="str">
        <f ca="1">IF(AND(ISNUMBER($F$405),$B$258=1),$F$405,HLOOKUP(INDIRECT(ADDRESS(2,COLUMN())),OFFSET($BN$2,0,0,ROW()-1,60),ROW()-1,FALSE))</f>
        <v/>
      </c>
      <c r="G162">
        <f ca="1">IF(AND(ISNUMBER($G$405),$B$258=1),$G$405,HLOOKUP(INDIRECT(ADDRESS(2,COLUMN())),OFFSET($BN$2,0,0,ROW()-1,60),ROW()-1,FALSE))</f>
        <v>6.1474890670000004</v>
      </c>
      <c r="H162">
        <f ca="1">IF(AND(ISNUMBER($H$405),$B$258=1),$H$405,HLOOKUP(INDIRECT(ADDRESS(2,COLUMN())),OFFSET($BN$2,0,0,ROW()-1,60),ROW()-1,FALSE))</f>
        <v>7.3759994649999996</v>
      </c>
      <c r="I162">
        <f ca="1">IF(AND(ISNUMBER($I$405),$B$258=1),$I$405,HLOOKUP(INDIRECT(ADDRESS(2,COLUMN())),OFFSET($BN$2,0,0,ROW()-1,60),ROW()-1,FALSE))</f>
        <v>7.2273941849999996</v>
      </c>
      <c r="J162">
        <f ca="1">IF(AND(ISNUMBER($J$405),$B$258=1),$J$405,HLOOKUP(INDIRECT(ADDRESS(2,COLUMN())),OFFSET($BN$2,0,0,ROW()-1,60),ROW()-1,FALSE))</f>
        <v>7.6614645369999996</v>
      </c>
      <c r="K162">
        <f ca="1">IF(AND(ISNUMBER($K$405),$B$258=1),$K$405,HLOOKUP(INDIRECT(ADDRESS(2,COLUMN())),OFFSET($BN$2,0,0,ROW()-1,60),ROW()-1,FALSE))</f>
        <v>7.381038717</v>
      </c>
      <c r="L162">
        <f ca="1">IF(AND(ISNUMBER($L$405),$B$258=1),$L$405,HLOOKUP(INDIRECT(ADDRESS(2,COLUMN())),OFFSET($BN$2,0,0,ROW()-1,60),ROW()-1,FALSE))</f>
        <v>7.6006041890000002</v>
      </c>
      <c r="M162">
        <f ca="1">IF(AND(ISNUMBER($M$405),$B$258=1),$M$405,HLOOKUP(INDIRECT(ADDRESS(2,COLUMN())),OFFSET($BN$2,0,0,ROW()-1,60),ROW()-1,FALSE))</f>
        <v>7.5387345049999999</v>
      </c>
      <c r="N162">
        <f ca="1">IF(AND(ISNUMBER($N$405),$B$258=1),$N$405,HLOOKUP(INDIRECT(ADDRESS(2,COLUMN())),OFFSET($BN$2,0,0,ROW()-1,60),ROW()-1,FALSE))</f>
        <v>7.4793836679999997</v>
      </c>
      <c r="O162">
        <f ca="1">IF(AND(ISNUMBER($O$405),$B$258=1),$O$405,HLOOKUP(INDIRECT(ADDRESS(2,COLUMN())),OFFSET($BN$2,0,0,ROW()-1,60),ROW()-1,FALSE))</f>
        <v>5.6081736480000002</v>
      </c>
      <c r="P162">
        <f ca="1">IF(AND(ISNUMBER($P$405),$B$258=1),$P$405,HLOOKUP(INDIRECT(ADDRESS(2,COLUMN())),OFFSET($BN$2,0,0,ROW()-1,60),ROW()-1,FALSE))</f>
        <v>7.6586316410000004</v>
      </c>
      <c r="Q162">
        <f ca="1">IF(AND(ISNUMBER($Q$405),$B$258=1),$Q$405,HLOOKUP(INDIRECT(ADDRESS(2,COLUMN())),OFFSET($BN$2,0,0,ROW()-1,60),ROW()-1,FALSE))</f>
        <v>7.0264824539999999</v>
      </c>
      <c r="R162">
        <f ca="1">IF(AND(ISNUMBER($R$405),$B$258=1),$R$405,HLOOKUP(INDIRECT(ADDRESS(2,COLUMN())),OFFSET($BN$2,0,0,ROW()-1,60),ROW()-1,FALSE))</f>
        <v>7.6256606930000004</v>
      </c>
      <c r="S162">
        <f ca="1">IF(AND(ISNUMBER($S$405),$B$258=1),$S$405,HLOOKUP(INDIRECT(ADDRESS(2,COLUMN())),OFFSET($BN$2,0,0,ROW()-1,60),ROW()-1,FALSE))</f>
        <v>7.6208010000000002</v>
      </c>
      <c r="T162">
        <f ca="1">IF(AND(ISNUMBER($T$405),$B$258=1),$T$405,HLOOKUP(INDIRECT(ADDRESS(2,COLUMN())),OFFSET($BN$2,0,0,ROW()-1,60),ROW()-1,FALSE))</f>
        <v>8.3666590190000001</v>
      </c>
      <c r="U162">
        <f ca="1">IF(AND(ISNUMBER($U$405),$B$258=1),$U$405,HLOOKUP(INDIRECT(ADDRESS(2,COLUMN())),OFFSET($BN$2,0,0,ROW()-1,60),ROW()-1,FALSE))</f>
        <v>7.9098228439999998</v>
      </c>
      <c r="V162">
        <f ca="1">IF(AND(ISNUMBER($V$405),$B$258=1),$V$405,HLOOKUP(INDIRECT(ADDRESS(2,COLUMN())),OFFSET($BN$2,0,0,ROW()-1,60),ROW()-1,FALSE))</f>
        <v>7.9938878229999997</v>
      </c>
      <c r="W162">
        <f ca="1">IF(AND(ISNUMBER($W$405),$B$258=1),$W$405,HLOOKUP(INDIRECT(ADDRESS(2,COLUMN())),OFFSET($BN$2,0,0,ROW()-1,60),ROW()-1,FALSE))</f>
        <v>7.9126511659999998</v>
      </c>
      <c r="X162">
        <f ca="1">IF(AND(ISNUMBER($X$405),$B$258=1),$X$405,HLOOKUP(INDIRECT(ADDRESS(2,COLUMN())),OFFSET($BN$2,0,0,ROW()-1,60),ROW()-1,FALSE))</f>
        <v>7.7923727469999999</v>
      </c>
      <c r="Y162">
        <f ca="1">IF(AND(ISNUMBER($Y$405),$B$258=1),$Y$405,HLOOKUP(INDIRECT(ADDRESS(2,COLUMN())),OFFSET($BN$2,0,0,ROW()-1,60),ROW()-1,FALSE))</f>
        <v>7.7185960329999999</v>
      </c>
      <c r="Z162">
        <f ca="1">IF(AND(ISNUMBER($Z$405),$B$258=1),$Z$405,HLOOKUP(INDIRECT(ADDRESS(2,COLUMN())),OFFSET($BN$2,0,0,ROW()-1,60),ROW()-1,FALSE))</f>
        <v>7.8991215129999999</v>
      </c>
      <c r="AA162">
        <f ca="1">IF(AND(ISNUMBER($AA$405),$B$258=1),$AA$405,HLOOKUP(INDIRECT(ADDRESS(2,COLUMN())),OFFSET($BN$2,0,0,ROW()-1,60),ROW()-1,FALSE))</f>
        <v>7.7071667489999998</v>
      </c>
      <c r="AB162">
        <f ca="1">IF(AND(ISNUMBER($AB$405),$B$258=1),$AB$405,HLOOKUP(INDIRECT(ADDRESS(2,COLUMN())),OFFSET($BN$2,0,0,ROW()-1,60),ROW()-1,FALSE))</f>
        <v>7.9442383469999998</v>
      </c>
      <c r="AC162">
        <f ca="1">IF(AND(ISNUMBER($AC$405),$B$258=1),$AC$405,HLOOKUP(INDIRECT(ADDRESS(2,COLUMN())),OFFSET($BN$2,0,0,ROW()-1,60),ROW()-1,FALSE))</f>
        <v>8.0945722500000006</v>
      </c>
      <c r="AD162">
        <f ca="1">IF(AND(ISNUMBER($AD$405),$B$258=1),$AD$405,HLOOKUP(INDIRECT(ADDRESS(2,COLUMN())),OFFSET($BN$2,0,0,ROW()-1,60),ROW()-1,FALSE))</f>
        <v>8.0386053700000009</v>
      </c>
      <c r="AE162">
        <f ca="1">IF(AND(ISNUMBER($AE$405),$B$258=1),$AE$405,HLOOKUP(INDIRECT(ADDRESS(2,COLUMN())),OFFSET($BN$2,0,0,ROW()-1,60),ROW()-1,FALSE))</f>
        <v>8.2318780080000007</v>
      </c>
      <c r="AF162">
        <f ca="1">IF(AND(ISNUMBER($AF$405),$B$258=1),$AF$405,HLOOKUP(INDIRECT(ADDRESS(2,COLUMN())),OFFSET($BN$2,0,0,ROW()-1,60),ROW()-1,FALSE))</f>
        <v>8.0932084999999994</v>
      </c>
      <c r="AG162">
        <f ca="1">IF(AND(ISNUMBER($AG$405),$B$258=1),$AG$405,HLOOKUP(INDIRECT(ADDRESS(2,COLUMN())),OFFSET($BN$2,0,0,ROW()-1,60),ROW()-1,FALSE))</f>
        <v>7.9864564219999998</v>
      </c>
      <c r="AH162">
        <f ca="1">IF(AND(ISNUMBER($AH$405),$B$258=1),$AH$405,HLOOKUP(INDIRECT(ADDRESS(2,COLUMN())),OFFSET($BN$2,0,0,ROW()-1,60),ROW()-1,FALSE))</f>
        <v>5.2181662219999998</v>
      </c>
      <c r="AI162">
        <f ca="1">IF(AND(ISNUMBER($AI$405),$B$258=1),$AI$405,HLOOKUP(INDIRECT(ADDRESS(2,COLUMN())),OFFSET($BN$2,0,0,ROW()-1,60),ROW()-1,FALSE))</f>
        <v>6.2987042249999998</v>
      </c>
      <c r="AJ162">
        <f ca="1">IF(AND(ISNUMBER($AJ$405),$B$258=1),$AJ$405,HLOOKUP(INDIRECT(ADDRESS(2,COLUMN())),OFFSET($BN$2,0,0,ROW()-1,60),ROW()-1,FALSE))</f>
        <v>6.5166851169999997</v>
      </c>
      <c r="AK162">
        <f ca="1">IF(AND(ISNUMBER($AK$405),$B$258=1),$AK$405,HLOOKUP(INDIRECT(ADDRESS(2,COLUMN())),OFFSET($BN$2,0,0,ROW()-1,60),ROW()-1,FALSE))</f>
        <v>6.541725284</v>
      </c>
      <c r="AL162">
        <f ca="1">IF(AND(ISNUMBER($AL$405),$B$258=1),$AL$405,HLOOKUP(INDIRECT(ADDRESS(2,COLUMN())),OFFSET($BN$2,0,0,ROW()-1,60),ROW()-1,FALSE))</f>
        <v>6.4139077489999998</v>
      </c>
      <c r="AM162">
        <f ca="1">IF(AND(ISNUMBER($AM$405),$B$258=1),$AM$405,HLOOKUP(INDIRECT(ADDRESS(2,COLUMN())),OFFSET($BN$2,0,0,ROW()-1,60),ROW()-1,FALSE))</f>
        <v>6.4141842440000003</v>
      </c>
      <c r="AN162">
        <f ca="1">IF(AND(ISNUMBER($AN$405),$B$258=1),$AN$405,HLOOKUP(INDIRECT(ADDRESS(2,COLUMN())),OFFSET($BN$2,0,0,ROW()-1,60),ROW()-1,FALSE))</f>
        <v>6.1656857719999998</v>
      </c>
      <c r="AO162">
        <f ca="1">IF(AND(ISNUMBER($AO$405),$B$258=1),$AO$405,HLOOKUP(INDIRECT(ADDRESS(2,COLUMN())),OFFSET($BN$2,0,0,ROW()-1,60),ROW()-1,FALSE))</f>
        <v>6.8629338369999999</v>
      </c>
      <c r="AP162">
        <f ca="1">IF(AND(ISNUMBER($AP$405),$B$258=1),$AP$405,HLOOKUP(INDIRECT(ADDRESS(2,COLUMN())),OFFSET($BN$2,0,0,ROW()-1,60),ROW()-1,FALSE))</f>
        <v>6.3348149410000003</v>
      </c>
      <c r="AQ162">
        <f ca="1">IF(AND(ISNUMBER($AQ$405),$B$258=1),$AQ$405,HLOOKUP(INDIRECT(ADDRESS(2,COLUMN())),OFFSET($BN$2,0,0,ROW()-1,60),ROW()-1,FALSE))</f>
        <v>6.6838231339999998</v>
      </c>
      <c r="AR162">
        <f ca="1">IF(AND(ISNUMBER($AR$405),$B$258=1),$AR$405,HLOOKUP(INDIRECT(ADDRESS(2,COLUMN())),OFFSET($BN$2,0,0,ROW()-1,60),ROW()-1,FALSE))</f>
        <v>6.781231418</v>
      </c>
      <c r="AS162">
        <f ca="1">IF(AND(ISNUMBER($AS$405),$B$258=1),$AS$405,HLOOKUP(INDIRECT(ADDRESS(2,COLUMN())),OFFSET($BN$2,0,0,ROW()-1,60),ROW()-1,FALSE))</f>
        <v>6.2046038760000002</v>
      </c>
      <c r="AT162">
        <f ca="1">IF(AND(ISNUMBER($AT$405),$B$258=1),$AT$405,HLOOKUP(INDIRECT(ADDRESS(2,COLUMN())),OFFSET($BN$2,0,0,ROW()-1,60),ROW()-1,FALSE))</f>
        <v>5.9023067720000002</v>
      </c>
      <c r="AU162">
        <f ca="1">IF(AND(ISNUMBER($AU$405),$B$258=1),$AU$405,HLOOKUP(INDIRECT(ADDRESS(2,COLUMN())),OFFSET($BN$2,0,0,ROW()-1,60),ROW()-1,FALSE))</f>
        <v>6.1196132150000002</v>
      </c>
      <c r="AV162">
        <f ca="1">IF(AND(ISNUMBER($AV$405),$B$258=1),$AV$405,HLOOKUP(INDIRECT(ADDRESS(2,COLUMN())),OFFSET($BN$2,0,0,ROW()-1,60),ROW()-1,FALSE))</f>
        <v>6.0167596369999998</v>
      </c>
      <c r="AW162">
        <f ca="1">IF(AND(ISNUMBER($AW$405),$B$258=1),$AW$405,HLOOKUP(INDIRECT(ADDRESS(2,COLUMN())),OFFSET($BN$2,0,0,ROW()-1,60),ROW()-1,FALSE))</f>
        <v>6.9665254980000002</v>
      </c>
      <c r="AX162">
        <f ca="1">IF(AND(ISNUMBER($AX$405),$B$258=1),$AX$405,HLOOKUP(INDIRECT(ADDRESS(2,COLUMN())),OFFSET($BN$2,0,0,ROW()-1,60),ROW()-1,FALSE))</f>
        <v>6.5942898760000004</v>
      </c>
      <c r="AY162">
        <f ca="1">IF(AND(ISNUMBER($AY$405),$B$258=1),$AY$405,HLOOKUP(INDIRECT(ADDRESS(2,COLUMN())),OFFSET($BN$2,0,0,ROW()-1,60),ROW()-1,FALSE))</f>
        <v>6.758750203</v>
      </c>
      <c r="AZ162">
        <f ca="1">IF(AND(ISNUMBER($AZ$405),$B$258=1),$AZ$405,HLOOKUP(INDIRECT(ADDRESS(2,COLUMN())),OFFSET($BN$2,0,0,ROW()-1,60),ROW()-1,FALSE))</f>
        <v>7.0093810029999997</v>
      </c>
      <c r="BA162">
        <f ca="1">IF(AND(ISNUMBER($BA$405),$B$258=1),$BA$405,HLOOKUP(INDIRECT(ADDRESS(2,COLUMN())),OFFSET($BN$2,0,0,ROW()-1,60),ROW()-1,FALSE))</f>
        <v>8.0385545199999999</v>
      </c>
      <c r="BB162">
        <f ca="1">IF(AND(ISNUMBER($BB$405),$B$258=1),$BB$405,HLOOKUP(INDIRECT(ADDRESS(2,COLUMN())),OFFSET($BN$2,0,0,ROW()-1,60),ROW()-1,FALSE))</f>
        <v>8.0133338720000005</v>
      </c>
      <c r="BC162">
        <f ca="1">IF(AND(ISNUMBER($BC$405),$B$258=1),$BC$405,HLOOKUP(INDIRECT(ADDRESS(2,COLUMN())),OFFSET($BN$2,0,0,ROW()-1,60),ROW()-1,FALSE))</f>
        <v>15.27717689</v>
      </c>
      <c r="BD162">
        <f ca="1">IF(AND(ISNUMBER($BD$405),$B$258=1),$BD$405,HLOOKUP(INDIRECT(ADDRESS(2,COLUMN())),OFFSET($BN$2,0,0,ROW()-1,60),ROW()-1,FALSE))</f>
        <v>4.4101332900000001</v>
      </c>
      <c r="BE162">
        <f ca="1">IF(AND(ISNUMBER($BE$405),$B$258=1),$BE$405,HLOOKUP(INDIRECT(ADDRESS(2,COLUMN())),OFFSET($BN$2,0,0,ROW()-1,60),ROW()-1,FALSE))</f>
        <v>4.5876196509999998</v>
      </c>
      <c r="BF162">
        <f ca="1">IF(AND(ISNUMBER($BF$405),$B$258=1),$BF$405,HLOOKUP(INDIRECT(ADDRESS(2,COLUMN())),OFFSET($BN$2,0,0,ROW()-1,60),ROW()-1,FALSE))</f>
        <v>9.8597433799999994</v>
      </c>
      <c r="BG162" t="str">
        <f ca="1">IF(AND(ISNUMBER($BG$405),$B$258=1),$BG$405,HLOOKUP(INDIRECT(ADDRESS(2,COLUMN())),OFFSET($BN$2,0,0,ROW()-1,60),ROW()-1,FALSE))</f>
        <v/>
      </c>
      <c r="BH162" t="str">
        <f ca="1">IF(AND(ISNUMBER($BH$405),$B$258=1),$BH$405,HLOOKUP(INDIRECT(ADDRESS(2,COLUMN())),OFFSET($BN$2,0,0,ROW()-1,60),ROW()-1,FALSE))</f>
        <v/>
      </c>
      <c r="BI162" t="str">
        <f ca="1">IF(AND(ISNUMBER($BI$405),$B$258=1),$BI$405,HLOOKUP(INDIRECT(ADDRESS(2,COLUMN())),OFFSET($BN$2,0,0,ROW()-1,60),ROW()-1,FALSE))</f>
        <v/>
      </c>
      <c r="BJ162" t="str">
        <f ca="1">IF(AND(ISNUMBER($BJ$405),$B$258=1),$BJ$405,HLOOKUP(INDIRECT(ADDRESS(2,COLUMN())),OFFSET($BN$2,0,0,ROW()-1,60),ROW()-1,FALSE))</f>
        <v/>
      </c>
      <c r="BK162" t="str">
        <f ca="1">IF(AND(ISNUMBER($BK$405),$B$258=1),$BK$405,HLOOKUP(INDIRECT(ADDRESS(2,COLUMN())),OFFSET($BN$2,0,0,ROW()-1,60),ROW()-1,FALSE))</f>
        <v/>
      </c>
      <c r="BL162" t="str">
        <f ca="1">IF(AND(ISNUMBER($BL$405),$B$258=1),$BL$405,HLOOKUP(INDIRECT(ADDRESS(2,COLUMN())),OFFSET($BN$2,0,0,ROW()-1,60),ROW()-1,FALSE))</f>
        <v/>
      </c>
      <c r="BM162" t="str">
        <f ca="1">IF(AND(ISNUMBER($BM$405),$B$258=1),$BM$405,HLOOKUP(INDIRECT(ADDRESS(2,COLUMN())),OFFSET($BN$2,0,0,ROW()-1,60),ROW()-1,FALSE))</f>
        <v/>
      </c>
      <c r="BN162" t="str">
        <f>""</f>
        <v/>
      </c>
      <c r="BO162">
        <f>6.147489067</f>
        <v>6.1474890670000004</v>
      </c>
      <c r="BP162">
        <f>7.375999465</f>
        <v>7.3759994649999996</v>
      </c>
      <c r="BQ162">
        <f>7.227394185</f>
        <v>7.2273941849999996</v>
      </c>
      <c r="BR162">
        <f>7.661464537</f>
        <v>7.6614645369999996</v>
      </c>
      <c r="BS162">
        <f>7.381038717</f>
        <v>7.381038717</v>
      </c>
      <c r="BT162">
        <f>7.600604189</f>
        <v>7.6006041890000002</v>
      </c>
      <c r="BU162">
        <f>7.538734505</f>
        <v>7.5387345049999999</v>
      </c>
      <c r="BV162">
        <f>7.479383668</f>
        <v>7.4793836679999997</v>
      </c>
      <c r="BW162">
        <f>5.608173648</f>
        <v>5.6081736480000002</v>
      </c>
      <c r="BX162">
        <f>7.658631641</f>
        <v>7.6586316410000004</v>
      </c>
      <c r="BY162">
        <f>7.026482454</f>
        <v>7.0264824539999999</v>
      </c>
      <c r="BZ162">
        <f>7.625660693</f>
        <v>7.6256606930000004</v>
      </c>
      <c r="CA162">
        <f>7.620801</f>
        <v>7.6208010000000002</v>
      </c>
      <c r="CB162">
        <f>8.366659019</f>
        <v>8.3666590190000001</v>
      </c>
      <c r="CC162">
        <f>7.909822844</f>
        <v>7.9098228439999998</v>
      </c>
      <c r="CD162">
        <f>7.993887823</f>
        <v>7.9938878229999997</v>
      </c>
      <c r="CE162">
        <f>7.912651166</f>
        <v>7.9126511659999998</v>
      </c>
      <c r="CF162">
        <f>7.792372747</f>
        <v>7.7923727469999999</v>
      </c>
      <c r="CG162">
        <f>7.718596033</f>
        <v>7.7185960329999999</v>
      </c>
      <c r="CH162">
        <f>7.899121513</f>
        <v>7.8991215129999999</v>
      </c>
      <c r="CI162">
        <f>7.707166749</f>
        <v>7.7071667489999998</v>
      </c>
      <c r="CJ162">
        <f>7.944238347</f>
        <v>7.9442383469999998</v>
      </c>
      <c r="CK162">
        <f>8.09457225</f>
        <v>8.0945722500000006</v>
      </c>
      <c r="CL162">
        <f>8.03860537</f>
        <v>8.0386053700000009</v>
      </c>
      <c r="CM162">
        <f>8.231878008</f>
        <v>8.2318780080000007</v>
      </c>
      <c r="CN162">
        <f>8.0932085</f>
        <v>8.0932084999999994</v>
      </c>
      <c r="CO162">
        <f>7.986456422</f>
        <v>7.9864564219999998</v>
      </c>
      <c r="CP162">
        <f>5.218166222</f>
        <v>5.2181662219999998</v>
      </c>
      <c r="CQ162">
        <f>6.298704225</f>
        <v>6.2987042249999998</v>
      </c>
      <c r="CR162">
        <f>6.516685117</f>
        <v>6.5166851169999997</v>
      </c>
      <c r="CS162">
        <f>6.541725284</f>
        <v>6.541725284</v>
      </c>
      <c r="CT162">
        <f>6.413907749</f>
        <v>6.4139077489999998</v>
      </c>
      <c r="CU162">
        <f>6.414184244</f>
        <v>6.4141842440000003</v>
      </c>
      <c r="CV162">
        <f>6.165685772</f>
        <v>6.1656857719999998</v>
      </c>
      <c r="CW162">
        <f>6.862933837</f>
        <v>6.8629338369999999</v>
      </c>
      <c r="CX162">
        <f>6.334814941</f>
        <v>6.3348149410000003</v>
      </c>
      <c r="CY162">
        <f>6.683823134</f>
        <v>6.6838231339999998</v>
      </c>
      <c r="CZ162">
        <f>6.781231418</f>
        <v>6.781231418</v>
      </c>
      <c r="DA162">
        <f>6.204603876</f>
        <v>6.2046038760000002</v>
      </c>
      <c r="DB162">
        <f>5.902306772</f>
        <v>5.9023067720000002</v>
      </c>
      <c r="DC162">
        <f>6.119613215</f>
        <v>6.1196132150000002</v>
      </c>
      <c r="DD162">
        <f>6.016759637</f>
        <v>6.0167596369999998</v>
      </c>
      <c r="DE162">
        <f>6.966525498</f>
        <v>6.9665254980000002</v>
      </c>
      <c r="DF162">
        <f>6.594289876</f>
        <v>6.5942898760000004</v>
      </c>
      <c r="DG162">
        <f>6.758750203</f>
        <v>6.758750203</v>
      </c>
      <c r="DH162">
        <f>7.009381003</f>
        <v>7.0093810029999997</v>
      </c>
      <c r="DI162">
        <f>8.03855452</f>
        <v>8.0385545199999999</v>
      </c>
      <c r="DJ162">
        <f>8.013333872</f>
        <v>8.0133338720000005</v>
      </c>
      <c r="DK162">
        <f>15.27717689</f>
        <v>15.27717689</v>
      </c>
      <c r="DL162">
        <f>4.41013329</f>
        <v>4.4101332900000001</v>
      </c>
      <c r="DM162">
        <f>4.587619651</f>
        <v>4.5876196509999998</v>
      </c>
      <c r="DN162">
        <f>9.85974338</f>
        <v>9.8597433799999994</v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>
      <c r="A163" t="str">
        <f>"    Healthcare Realty Trust Inc"</f>
        <v xml:space="preserve">    Healthcare Realty Trust Inc</v>
      </c>
      <c r="B163" t="str">
        <f>"HR US Equity"</f>
        <v>HR US Equity</v>
      </c>
      <c r="C163" t="str">
        <f t="shared" si="39"/>
        <v>RX902</v>
      </c>
      <c r="D163" t="str">
        <f t="shared" si="40"/>
        <v>ANN_NOI_GR_AST_NET_RTL_DEV_CTD_%</v>
      </c>
      <c r="E163" t="str">
        <f t="shared" si="41"/>
        <v>动态</v>
      </c>
      <c r="F163" t="str">
        <f ca="1">IF(AND(ISNUMBER($F$406),$B$258=1),$F$406,HLOOKUP(INDIRECT(ADDRESS(2,COLUMN())),OFFSET($BN$2,0,0,ROW()-1,60),ROW()-1,FALSE))</f>
        <v/>
      </c>
      <c r="G163">
        <f ca="1">IF(AND(ISNUMBER($G$406),$B$258=1),$G$406,HLOOKUP(INDIRECT(ADDRESS(2,COLUMN())),OFFSET($BN$2,0,0,ROW()-1,60),ROW()-1,FALSE))</f>
        <v>6.5352974750000001</v>
      </c>
      <c r="H163">
        <f ca="1">IF(AND(ISNUMBER($H$406),$B$258=1),$H$406,HLOOKUP(INDIRECT(ADDRESS(2,COLUMN())),OFFSET($BN$2,0,0,ROW()-1,60),ROW()-1,FALSE))</f>
        <v>6.4495452929999999</v>
      </c>
      <c r="I163">
        <f ca="1">IF(AND(ISNUMBER($I$406),$B$258=1),$I$406,HLOOKUP(INDIRECT(ADDRESS(2,COLUMN())),OFFSET($BN$2,0,0,ROW()-1,60),ROW()-1,FALSE))</f>
        <v>6.840678606</v>
      </c>
      <c r="J163">
        <f ca="1">IF(AND(ISNUMBER($J$406),$B$258=1),$J$406,HLOOKUP(INDIRECT(ADDRESS(2,COLUMN())),OFFSET($BN$2,0,0,ROW()-1,60),ROW()-1,FALSE))</f>
        <v>6.7534039149999998</v>
      </c>
      <c r="K163">
        <f ca="1">IF(AND(ISNUMBER($K$406),$B$258=1),$K$406,HLOOKUP(INDIRECT(ADDRESS(2,COLUMN())),OFFSET($BN$2,0,0,ROW()-1,60),ROW()-1,FALSE))</f>
        <v>6.8065684119999998</v>
      </c>
      <c r="L163">
        <f ca="1">IF(AND(ISNUMBER($L$406),$B$258=1),$L$406,HLOOKUP(INDIRECT(ADDRESS(2,COLUMN())),OFFSET($BN$2,0,0,ROW()-1,60),ROW()-1,FALSE))</f>
        <v>6.7545388720000004</v>
      </c>
      <c r="M163">
        <f ca="1">IF(AND(ISNUMBER($M$406),$B$258=1),$M$406,HLOOKUP(INDIRECT(ADDRESS(2,COLUMN())),OFFSET($BN$2,0,0,ROW()-1,60),ROW()-1,FALSE))</f>
        <v>6.9158638159999999</v>
      </c>
      <c r="N163">
        <f ca="1">IF(AND(ISNUMBER($N$406),$B$258=1),$N$406,HLOOKUP(INDIRECT(ADDRESS(2,COLUMN())),OFFSET($BN$2,0,0,ROW()-1,60),ROW()-1,FALSE))</f>
        <v>6.849842282</v>
      </c>
      <c r="O163">
        <f ca="1">IF(AND(ISNUMBER($O$406),$B$258=1),$O$406,HLOOKUP(INDIRECT(ADDRESS(2,COLUMN())),OFFSET($BN$2,0,0,ROW()-1,60),ROW()-1,FALSE))</f>
        <v>6.6772112029999997</v>
      </c>
      <c r="P163">
        <f ca="1">IF(AND(ISNUMBER($P$406),$B$258=1),$P$406,HLOOKUP(INDIRECT(ADDRESS(2,COLUMN())),OFFSET($BN$2,0,0,ROW()-1,60),ROW()-1,FALSE))</f>
        <v>6.7633894440000004</v>
      </c>
      <c r="Q163">
        <f ca="1">IF(AND(ISNUMBER($Q$406),$B$258=1),$Q$406,HLOOKUP(INDIRECT(ADDRESS(2,COLUMN())),OFFSET($BN$2,0,0,ROW()-1,60),ROW()-1,FALSE))</f>
        <v>6.9133087680000003</v>
      </c>
      <c r="R163">
        <f ca="1">IF(AND(ISNUMBER($R$406),$B$258=1),$R$406,HLOOKUP(INDIRECT(ADDRESS(2,COLUMN())),OFFSET($BN$2,0,0,ROW()-1,60),ROW()-1,FALSE))</f>
        <v>6.7247785210000002</v>
      </c>
      <c r="S163">
        <f ca="1">IF(AND(ISNUMBER($S$406),$B$258=1),$S$406,HLOOKUP(INDIRECT(ADDRESS(2,COLUMN())),OFFSET($BN$2,0,0,ROW()-1,60),ROW()-1,FALSE))</f>
        <v>6.7282770909999998</v>
      </c>
      <c r="T163">
        <f ca="1">IF(AND(ISNUMBER($T$406),$B$258=1),$T$406,HLOOKUP(INDIRECT(ADDRESS(2,COLUMN())),OFFSET($BN$2,0,0,ROW()-1,60),ROW()-1,FALSE))</f>
        <v>6.5150031689999999</v>
      </c>
      <c r="U163">
        <f ca="1">IF(AND(ISNUMBER($U$406),$B$258=1),$U$406,HLOOKUP(INDIRECT(ADDRESS(2,COLUMN())),OFFSET($BN$2,0,0,ROW()-1,60),ROW()-1,FALSE))</f>
        <v>6.3397548160000001</v>
      </c>
      <c r="V163">
        <f ca="1">IF(AND(ISNUMBER($V$406),$B$258=1),$V$406,HLOOKUP(INDIRECT(ADDRESS(2,COLUMN())),OFFSET($BN$2,0,0,ROW()-1,60),ROW()-1,FALSE))</f>
        <v>6.2268172890000004</v>
      </c>
      <c r="W163">
        <f ca="1">IF(AND(ISNUMBER($W$406),$B$258=1),$W$406,HLOOKUP(INDIRECT(ADDRESS(2,COLUMN())),OFFSET($BN$2,0,0,ROW()-1,60),ROW()-1,FALSE))</f>
        <v>6.2549174230000002</v>
      </c>
      <c r="X163">
        <f ca="1">IF(AND(ISNUMBER($X$406),$B$258=1),$X$406,HLOOKUP(INDIRECT(ADDRESS(2,COLUMN())),OFFSET($BN$2,0,0,ROW()-1,60),ROW()-1,FALSE))</f>
        <v>5.5229912160000003</v>
      </c>
      <c r="Y163">
        <f ca="1">IF(AND(ISNUMBER($Y$406),$B$258=1),$Y$406,HLOOKUP(INDIRECT(ADDRESS(2,COLUMN())),OFFSET($BN$2,0,0,ROW()-1,60),ROW()-1,FALSE))</f>
        <v>5.8226148389999999</v>
      </c>
      <c r="Z163">
        <f ca="1">IF(AND(ISNUMBER($Z$406),$B$258=1),$Z$406,HLOOKUP(INDIRECT(ADDRESS(2,COLUMN())),OFFSET($BN$2,0,0,ROW()-1,60),ROW()-1,FALSE))</f>
        <v>5.6165308400000002</v>
      </c>
      <c r="AA163">
        <f ca="1">IF(AND(ISNUMBER($AA$406),$B$258=1),$AA$406,HLOOKUP(INDIRECT(ADDRESS(2,COLUMN())),OFFSET($BN$2,0,0,ROW()-1,60),ROW()-1,FALSE))</f>
        <v>5.6588035139999997</v>
      </c>
      <c r="AB163">
        <f ca="1">IF(AND(ISNUMBER($AB$406),$B$258=1),$AB$406,HLOOKUP(INDIRECT(ADDRESS(2,COLUMN())),OFFSET($BN$2,0,0,ROW()-1,60),ROW()-1,FALSE))</f>
        <v>5.6671994540000004</v>
      </c>
      <c r="AC163">
        <f ca="1">IF(AND(ISNUMBER($AC$406),$B$258=1),$AC$406,HLOOKUP(INDIRECT(ADDRESS(2,COLUMN())),OFFSET($BN$2,0,0,ROW()-1,60),ROW()-1,FALSE))</f>
        <v>5.9497660870000004</v>
      </c>
      <c r="AD163">
        <f ca="1">IF(AND(ISNUMBER($AD$406),$B$258=1),$AD$406,HLOOKUP(INDIRECT(ADDRESS(2,COLUMN())),OFFSET($BN$2,0,0,ROW()-1,60),ROW()-1,FALSE))</f>
        <v>5.6976066149999998</v>
      </c>
      <c r="AE163">
        <f ca="1">IF(AND(ISNUMBER($AE$406),$B$258=1),$AE$406,HLOOKUP(INDIRECT(ADDRESS(2,COLUMN())),OFFSET($BN$2,0,0,ROW()-1,60),ROW()-1,FALSE))</f>
        <v>5.723674183</v>
      </c>
      <c r="AF163">
        <f ca="1">IF(AND(ISNUMBER($AF$406),$B$258=1),$AF$406,HLOOKUP(INDIRECT(ADDRESS(2,COLUMN())),OFFSET($BN$2,0,0,ROW()-1,60),ROW()-1,FALSE))</f>
        <v>5.4362228479999999</v>
      </c>
      <c r="AG163">
        <f ca="1">IF(AND(ISNUMBER($AG$406),$B$258=1),$AG$406,HLOOKUP(INDIRECT(ADDRESS(2,COLUMN())),OFFSET($BN$2,0,0,ROW()-1,60),ROW()-1,FALSE))</f>
        <v>5.6851389589999997</v>
      </c>
      <c r="AH163">
        <f ca="1">IF(AND(ISNUMBER($AH$406),$B$258=1),$AH$406,HLOOKUP(INDIRECT(ADDRESS(2,COLUMN())),OFFSET($BN$2,0,0,ROW()-1,60),ROW()-1,FALSE))</f>
        <v>5.831944096</v>
      </c>
      <c r="AI163">
        <f ca="1">IF(AND(ISNUMBER($AI$406),$B$258=1),$AI$406,HLOOKUP(INDIRECT(ADDRESS(2,COLUMN())),OFFSET($BN$2,0,0,ROW()-1,60),ROW()-1,FALSE))</f>
        <v>5.4599130880000004</v>
      </c>
      <c r="AJ163">
        <f ca="1">IF(AND(ISNUMBER($AJ$406),$B$258=1),$AJ$406,HLOOKUP(INDIRECT(ADDRESS(2,COLUMN())),OFFSET($BN$2,0,0,ROW()-1,60),ROW()-1,FALSE))</f>
        <v>5.6857298180000004</v>
      </c>
      <c r="AK163" t="str">
        <f ca="1">IF(AND(ISNUMBER($AK$406),$B$258=1),$AK$406,HLOOKUP(INDIRECT(ADDRESS(2,COLUMN())),OFFSET($BN$2,0,0,ROW()-1,60),ROW()-1,FALSE))</f>
        <v/>
      </c>
      <c r="AL163" t="str">
        <f ca="1">IF(AND(ISNUMBER($AL$406),$B$258=1),$AL$406,HLOOKUP(INDIRECT(ADDRESS(2,COLUMN())),OFFSET($BN$2,0,0,ROW()-1,60),ROW()-1,FALSE))</f>
        <v/>
      </c>
      <c r="AM163" t="str">
        <f ca="1">IF(AND(ISNUMBER($AM$406),$B$258=1),$AM$406,HLOOKUP(INDIRECT(ADDRESS(2,COLUMN())),OFFSET($BN$2,0,0,ROW()-1,60),ROW()-1,FALSE))</f>
        <v/>
      </c>
      <c r="AN163" t="str">
        <f ca="1">IF(AND(ISNUMBER($AN$406),$B$258=1),$AN$406,HLOOKUP(INDIRECT(ADDRESS(2,COLUMN())),OFFSET($BN$2,0,0,ROW()-1,60),ROW()-1,FALSE))</f>
        <v/>
      </c>
      <c r="AO163" t="str">
        <f ca="1">IF(AND(ISNUMBER($AO$406),$B$258=1),$AO$406,HLOOKUP(INDIRECT(ADDRESS(2,COLUMN())),OFFSET($BN$2,0,0,ROW()-1,60),ROW()-1,FALSE))</f>
        <v/>
      </c>
      <c r="AP163" t="str">
        <f ca="1">IF(AND(ISNUMBER($AP$406),$B$258=1),$AP$406,HLOOKUP(INDIRECT(ADDRESS(2,COLUMN())),OFFSET($BN$2,0,0,ROW()-1,60),ROW()-1,FALSE))</f>
        <v/>
      </c>
      <c r="AQ163" t="str">
        <f ca="1">IF(AND(ISNUMBER($AQ$406),$B$258=1),$AQ$406,HLOOKUP(INDIRECT(ADDRESS(2,COLUMN())),OFFSET($BN$2,0,0,ROW()-1,60),ROW()-1,FALSE))</f>
        <v/>
      </c>
      <c r="AR163" t="str">
        <f ca="1">IF(AND(ISNUMBER($AR$406),$B$258=1),$AR$406,HLOOKUP(INDIRECT(ADDRESS(2,COLUMN())),OFFSET($BN$2,0,0,ROW()-1,60),ROW()-1,FALSE))</f>
        <v/>
      </c>
      <c r="AS163" t="str">
        <f ca="1">IF(AND(ISNUMBER($AS$406),$B$258=1),$AS$406,HLOOKUP(INDIRECT(ADDRESS(2,COLUMN())),OFFSET($BN$2,0,0,ROW()-1,60),ROW()-1,FALSE))</f>
        <v/>
      </c>
      <c r="AT163" t="str">
        <f ca="1">IF(AND(ISNUMBER($AT$406),$B$258=1),$AT$406,HLOOKUP(INDIRECT(ADDRESS(2,COLUMN())),OFFSET($BN$2,0,0,ROW()-1,60),ROW()-1,FALSE))</f>
        <v/>
      </c>
      <c r="AU163" t="str">
        <f ca="1">IF(AND(ISNUMBER($AU$406),$B$258=1),$AU$406,HLOOKUP(INDIRECT(ADDRESS(2,COLUMN())),OFFSET($BN$2,0,0,ROW()-1,60),ROW()-1,FALSE))</f>
        <v/>
      </c>
      <c r="AV163" t="str">
        <f ca="1">IF(AND(ISNUMBER($AV$406),$B$258=1),$AV$406,HLOOKUP(INDIRECT(ADDRESS(2,COLUMN())),OFFSET($BN$2,0,0,ROW()-1,60),ROW()-1,FALSE))</f>
        <v/>
      </c>
      <c r="AW163" t="str">
        <f ca="1">IF(AND(ISNUMBER($AW$406),$B$258=1),$AW$406,HLOOKUP(INDIRECT(ADDRESS(2,COLUMN())),OFFSET($BN$2,0,0,ROW()-1,60),ROW()-1,FALSE))</f>
        <v/>
      </c>
      <c r="AX163" t="str">
        <f ca="1">IF(AND(ISNUMBER($AX$406),$B$258=1),$AX$406,HLOOKUP(INDIRECT(ADDRESS(2,COLUMN())),OFFSET($BN$2,0,0,ROW()-1,60),ROW()-1,FALSE))</f>
        <v/>
      </c>
      <c r="AY163" t="str">
        <f ca="1">IF(AND(ISNUMBER($AY$406),$B$258=1),$AY$406,HLOOKUP(INDIRECT(ADDRESS(2,COLUMN())),OFFSET($BN$2,0,0,ROW()-1,60),ROW()-1,FALSE))</f>
        <v/>
      </c>
      <c r="AZ163" t="str">
        <f ca="1">IF(AND(ISNUMBER($AZ$406),$B$258=1),$AZ$406,HLOOKUP(INDIRECT(ADDRESS(2,COLUMN())),OFFSET($BN$2,0,0,ROW()-1,60),ROW()-1,FALSE))</f>
        <v/>
      </c>
      <c r="BA163" t="str">
        <f ca="1">IF(AND(ISNUMBER($BA$406),$B$258=1),$BA$406,HLOOKUP(INDIRECT(ADDRESS(2,COLUMN())),OFFSET($BN$2,0,0,ROW()-1,60),ROW()-1,FALSE))</f>
        <v/>
      </c>
      <c r="BB163" t="str">
        <f ca="1">IF(AND(ISNUMBER($BB$406),$B$258=1),$BB$406,HLOOKUP(INDIRECT(ADDRESS(2,COLUMN())),OFFSET($BN$2,0,0,ROW()-1,60),ROW()-1,FALSE))</f>
        <v/>
      </c>
      <c r="BC163" t="str">
        <f ca="1">IF(AND(ISNUMBER($BC$406),$B$258=1),$BC$406,HLOOKUP(INDIRECT(ADDRESS(2,COLUMN())),OFFSET($BN$2,0,0,ROW()-1,60),ROW()-1,FALSE))</f>
        <v/>
      </c>
      <c r="BD163" t="str">
        <f ca="1">IF(AND(ISNUMBER($BD$406),$B$258=1),$BD$406,HLOOKUP(INDIRECT(ADDRESS(2,COLUMN())),OFFSET($BN$2,0,0,ROW()-1,60),ROW()-1,FALSE))</f>
        <v/>
      </c>
      <c r="BE163" t="str">
        <f ca="1">IF(AND(ISNUMBER($BE$406),$B$258=1),$BE$406,HLOOKUP(INDIRECT(ADDRESS(2,COLUMN())),OFFSET($BN$2,0,0,ROW()-1,60),ROW()-1,FALSE))</f>
        <v/>
      </c>
      <c r="BF163" t="str">
        <f ca="1">IF(AND(ISNUMBER($BF$406),$B$258=1),$BF$406,HLOOKUP(INDIRECT(ADDRESS(2,COLUMN())),OFFSET($BN$2,0,0,ROW()-1,60),ROW()-1,FALSE))</f>
        <v/>
      </c>
      <c r="BG163" t="str">
        <f ca="1">IF(AND(ISNUMBER($BG$406),$B$258=1),$BG$406,HLOOKUP(INDIRECT(ADDRESS(2,COLUMN())),OFFSET($BN$2,0,0,ROW()-1,60),ROW()-1,FALSE))</f>
        <v/>
      </c>
      <c r="BH163" t="str">
        <f ca="1">IF(AND(ISNUMBER($BH$406),$B$258=1),$BH$406,HLOOKUP(INDIRECT(ADDRESS(2,COLUMN())),OFFSET($BN$2,0,0,ROW()-1,60),ROW()-1,FALSE))</f>
        <v/>
      </c>
      <c r="BI163" t="str">
        <f ca="1">IF(AND(ISNUMBER($BI$406),$B$258=1),$BI$406,HLOOKUP(INDIRECT(ADDRESS(2,COLUMN())),OFFSET($BN$2,0,0,ROW()-1,60),ROW()-1,FALSE))</f>
        <v/>
      </c>
      <c r="BJ163" t="str">
        <f ca="1">IF(AND(ISNUMBER($BJ$406),$B$258=1),$BJ$406,HLOOKUP(INDIRECT(ADDRESS(2,COLUMN())),OFFSET($BN$2,0,0,ROW()-1,60),ROW()-1,FALSE))</f>
        <v/>
      </c>
      <c r="BK163" t="str">
        <f ca="1">IF(AND(ISNUMBER($BK$406),$B$258=1),$BK$406,HLOOKUP(INDIRECT(ADDRESS(2,COLUMN())),OFFSET($BN$2,0,0,ROW()-1,60),ROW()-1,FALSE))</f>
        <v/>
      </c>
      <c r="BL163" t="str">
        <f ca="1">IF(AND(ISNUMBER($BL$406),$B$258=1),$BL$406,HLOOKUP(INDIRECT(ADDRESS(2,COLUMN())),OFFSET($BN$2,0,0,ROW()-1,60),ROW()-1,FALSE))</f>
        <v/>
      </c>
      <c r="BM163" t="str">
        <f ca="1">IF(AND(ISNUMBER($BM$406),$B$258=1),$BM$406,HLOOKUP(INDIRECT(ADDRESS(2,COLUMN())),OFFSET($BN$2,0,0,ROW()-1,60),ROW()-1,FALSE))</f>
        <v/>
      </c>
      <c r="BN163" t="str">
        <f>""</f>
        <v/>
      </c>
      <c r="BO163">
        <f>6.535297475</f>
        <v>6.5352974750000001</v>
      </c>
      <c r="BP163">
        <f>6.449545293</f>
        <v>6.4495452929999999</v>
      </c>
      <c r="BQ163">
        <f>6.840678606</f>
        <v>6.840678606</v>
      </c>
      <c r="BR163">
        <f>6.753403915</f>
        <v>6.7534039149999998</v>
      </c>
      <c r="BS163">
        <f>6.806568412</f>
        <v>6.8065684119999998</v>
      </c>
      <c r="BT163">
        <f>6.754538872</f>
        <v>6.7545388720000004</v>
      </c>
      <c r="BU163">
        <f>6.915863816</f>
        <v>6.9158638159999999</v>
      </c>
      <c r="BV163">
        <f>6.849842282</f>
        <v>6.849842282</v>
      </c>
      <c r="BW163">
        <f>6.677211203</f>
        <v>6.6772112029999997</v>
      </c>
      <c r="BX163">
        <f>6.763389444</f>
        <v>6.7633894440000004</v>
      </c>
      <c r="BY163">
        <f>6.913308768</f>
        <v>6.9133087680000003</v>
      </c>
      <c r="BZ163">
        <f>6.724778521</f>
        <v>6.7247785210000002</v>
      </c>
      <c r="CA163">
        <f>6.728277091</f>
        <v>6.7282770909999998</v>
      </c>
      <c r="CB163">
        <f>6.515003169</f>
        <v>6.5150031689999999</v>
      </c>
      <c r="CC163">
        <f>6.339754816</f>
        <v>6.3397548160000001</v>
      </c>
      <c r="CD163">
        <f>6.226817289</f>
        <v>6.2268172890000004</v>
      </c>
      <c r="CE163">
        <f>6.254917423</f>
        <v>6.2549174230000002</v>
      </c>
      <c r="CF163">
        <f>5.522991216</f>
        <v>5.5229912160000003</v>
      </c>
      <c r="CG163">
        <f>5.822614839</f>
        <v>5.8226148389999999</v>
      </c>
      <c r="CH163">
        <f>5.61653084</f>
        <v>5.6165308400000002</v>
      </c>
      <c r="CI163">
        <f>5.658803514</f>
        <v>5.6588035139999997</v>
      </c>
      <c r="CJ163">
        <f>5.667199454</f>
        <v>5.6671994540000004</v>
      </c>
      <c r="CK163">
        <f>5.949766087</f>
        <v>5.9497660870000004</v>
      </c>
      <c r="CL163">
        <f>5.697606615</f>
        <v>5.6976066149999998</v>
      </c>
      <c r="CM163">
        <f>5.723674183</f>
        <v>5.723674183</v>
      </c>
      <c r="CN163">
        <f>5.436222848</f>
        <v>5.4362228479999999</v>
      </c>
      <c r="CO163">
        <f>5.685138959</f>
        <v>5.6851389589999997</v>
      </c>
      <c r="CP163">
        <f>5.831944096</f>
        <v>5.831944096</v>
      </c>
      <c r="CQ163">
        <f>5.459913088</f>
        <v>5.4599130880000004</v>
      </c>
      <c r="CR163">
        <f>5.685729818</f>
        <v>5.6857298180000004</v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>
      <c r="A164" t="str">
        <f>"    Healthcare Trust of America In"</f>
        <v xml:space="preserve">    Healthcare Trust of America In</v>
      </c>
      <c r="B164" t="str">
        <f>"HTA US Equity"</f>
        <v>HTA US Equity</v>
      </c>
      <c r="C164" t="str">
        <f t="shared" si="39"/>
        <v>RX902</v>
      </c>
      <c r="D164" t="str">
        <f t="shared" si="40"/>
        <v>ANN_NOI_GR_AST_NET_RTL_DEV_CTD_%</v>
      </c>
      <c r="E164" t="str">
        <f t="shared" si="41"/>
        <v>动态</v>
      </c>
      <c r="F164" t="str">
        <f ca="1">IF(AND(ISNUMBER($F$407),$B$258=1),$F$407,HLOOKUP(INDIRECT(ADDRESS(2,COLUMN())),OFFSET($BN$2,0,0,ROW()-1,60),ROW()-1,FALSE))</f>
        <v/>
      </c>
      <c r="G164">
        <f ca="1">IF(AND(ISNUMBER($G$407),$B$258=1),$G$407,HLOOKUP(INDIRECT(ADDRESS(2,COLUMN())),OFFSET($BN$2,0,0,ROW()-1,60),ROW()-1,FALSE))</f>
        <v>6.4512165460000004</v>
      </c>
      <c r="H164">
        <f ca="1">IF(AND(ISNUMBER($H$407),$B$258=1),$H$407,HLOOKUP(INDIRECT(ADDRESS(2,COLUMN())),OFFSET($BN$2,0,0,ROW()-1,60),ROW()-1,FALSE))</f>
        <v>6.4795762549999996</v>
      </c>
      <c r="I164">
        <f ca="1">IF(AND(ISNUMBER($I$407),$B$258=1),$I$407,HLOOKUP(INDIRECT(ADDRESS(2,COLUMN())),OFFSET($BN$2,0,0,ROW()-1,60),ROW()-1,FALSE))</f>
        <v>5.301762901</v>
      </c>
      <c r="J164">
        <f ca="1">IF(AND(ISNUMBER($J$407),$B$258=1),$J$407,HLOOKUP(INDIRECT(ADDRESS(2,COLUMN())),OFFSET($BN$2,0,0,ROW()-1,60),ROW()-1,FALSE))</f>
        <v>7.4036394339999996</v>
      </c>
      <c r="K164">
        <f ca="1">IF(AND(ISNUMBER($K$407),$B$258=1),$K$407,HLOOKUP(INDIRECT(ADDRESS(2,COLUMN())),OFFSET($BN$2,0,0,ROW()-1,60),ROW()-1,FALSE))</f>
        <v>7.3234610399999998</v>
      </c>
      <c r="L164">
        <f ca="1">IF(AND(ISNUMBER($L$407),$B$258=1),$L$407,HLOOKUP(INDIRECT(ADDRESS(2,COLUMN())),OFFSET($BN$2,0,0,ROW()-1,60),ROW()-1,FALSE))</f>
        <v>7.2480661890000002</v>
      </c>
      <c r="M164">
        <f ca="1">IF(AND(ISNUMBER($M$407),$B$258=1),$M$407,HLOOKUP(INDIRECT(ADDRESS(2,COLUMN())),OFFSET($BN$2,0,0,ROW()-1,60),ROW()-1,FALSE))</f>
        <v>7.3170429219999997</v>
      </c>
      <c r="N164">
        <f ca="1">IF(AND(ISNUMBER($N$407),$B$258=1),$N$407,HLOOKUP(INDIRECT(ADDRESS(2,COLUMN())),OFFSET($BN$2,0,0,ROW()-1,60),ROW()-1,FALSE))</f>
        <v>7.35409779</v>
      </c>
      <c r="O164">
        <f ca="1">IF(AND(ISNUMBER($O$407),$B$258=1),$O$407,HLOOKUP(INDIRECT(ADDRESS(2,COLUMN())),OFFSET($BN$2,0,0,ROW()-1,60),ROW()-1,FALSE))</f>
        <v>7.4330300769999997</v>
      </c>
      <c r="P164">
        <f ca="1">IF(AND(ISNUMBER($P$407),$B$258=1),$P$407,HLOOKUP(INDIRECT(ADDRESS(2,COLUMN())),OFFSET($BN$2,0,0,ROW()-1,60),ROW()-1,FALSE))</f>
        <v>7.434408779</v>
      </c>
      <c r="Q164">
        <f ca="1">IF(AND(ISNUMBER($Q$407),$B$258=1),$Q$407,HLOOKUP(INDIRECT(ADDRESS(2,COLUMN())),OFFSET($BN$2,0,0,ROW()-1,60),ROW()-1,FALSE))</f>
        <v>7.3084782429999997</v>
      </c>
      <c r="R164">
        <f ca="1">IF(AND(ISNUMBER($R$407),$B$258=1),$R$407,HLOOKUP(INDIRECT(ADDRESS(2,COLUMN())),OFFSET($BN$2,0,0,ROW()-1,60),ROW()-1,FALSE))</f>
        <v>7.4689751700000002</v>
      </c>
      <c r="S164">
        <f ca="1">IF(AND(ISNUMBER($S$407),$B$258=1),$S$407,HLOOKUP(INDIRECT(ADDRESS(2,COLUMN())),OFFSET($BN$2,0,0,ROW()-1,60),ROW()-1,FALSE))</f>
        <v>7.445998168</v>
      </c>
      <c r="T164">
        <f ca="1">IF(AND(ISNUMBER($T$407),$B$258=1),$T$407,HLOOKUP(INDIRECT(ADDRESS(2,COLUMN())),OFFSET($BN$2,0,0,ROW()-1,60),ROW()-1,FALSE))</f>
        <v>7.6461553560000004</v>
      </c>
      <c r="U164">
        <f ca="1">IF(AND(ISNUMBER($U$407),$B$258=1),$U$407,HLOOKUP(INDIRECT(ADDRESS(2,COLUMN())),OFFSET($BN$2,0,0,ROW()-1,60),ROW()-1,FALSE))</f>
        <v>7.1071369070000001</v>
      </c>
      <c r="V164">
        <f ca="1">IF(AND(ISNUMBER($V$407),$B$258=1),$V$407,HLOOKUP(INDIRECT(ADDRESS(2,COLUMN())),OFFSET($BN$2,0,0,ROW()-1,60),ROW()-1,FALSE))</f>
        <v>7.6838006769999998</v>
      </c>
      <c r="W164">
        <f ca="1">IF(AND(ISNUMBER($W$407),$B$258=1),$W$407,HLOOKUP(INDIRECT(ADDRESS(2,COLUMN())),OFFSET($BN$2,0,0,ROW()-1,60),ROW()-1,FALSE))</f>
        <v>7.4214428479999999</v>
      </c>
      <c r="X164">
        <f ca="1">IF(AND(ISNUMBER($X$407),$B$258=1),$X$407,HLOOKUP(INDIRECT(ADDRESS(2,COLUMN())),OFFSET($BN$2,0,0,ROW()-1,60),ROW()-1,FALSE))</f>
        <v>7.3806275799999996</v>
      </c>
      <c r="Y164">
        <f ca="1">IF(AND(ISNUMBER($Y$407),$B$258=1),$Y$407,HLOOKUP(INDIRECT(ADDRESS(2,COLUMN())),OFFSET($BN$2,0,0,ROW()-1,60),ROW()-1,FALSE))</f>
        <v>7.4145854790000003</v>
      </c>
      <c r="Z164">
        <f ca="1">IF(AND(ISNUMBER($Z$407),$B$258=1),$Z$407,HLOOKUP(INDIRECT(ADDRESS(2,COLUMN())),OFFSET($BN$2,0,0,ROW()-1,60),ROW()-1,FALSE))</f>
        <v>7.1507950889999998</v>
      </c>
      <c r="AA164">
        <f ca="1">IF(AND(ISNUMBER($AA$407),$B$258=1),$AA$407,HLOOKUP(INDIRECT(ADDRESS(2,COLUMN())),OFFSET($BN$2,0,0,ROW()-1,60),ROW()-1,FALSE))</f>
        <v>7.5258901969999998</v>
      </c>
      <c r="AB164">
        <f ca="1">IF(AND(ISNUMBER($AB$407),$B$258=1),$AB$407,HLOOKUP(INDIRECT(ADDRESS(2,COLUMN())),OFFSET($BN$2,0,0,ROW()-1,60),ROW()-1,FALSE))</f>
        <v>7.9790639030000001</v>
      </c>
      <c r="AC164">
        <f ca="1">IF(AND(ISNUMBER($AC$407),$B$258=1),$AC$407,HLOOKUP(INDIRECT(ADDRESS(2,COLUMN())),OFFSET($BN$2,0,0,ROW()-1,60),ROW()-1,FALSE))</f>
        <v>7.8181870590000004</v>
      </c>
      <c r="AD164">
        <f ca="1">IF(AND(ISNUMBER($AD$407),$B$258=1),$AD$407,HLOOKUP(INDIRECT(ADDRESS(2,COLUMN())),OFFSET($BN$2,0,0,ROW()-1,60),ROW()-1,FALSE))</f>
        <v>7.3544840230000004</v>
      </c>
      <c r="AE164">
        <f ca="1">IF(AND(ISNUMBER($AE$407),$B$258=1),$AE$407,HLOOKUP(INDIRECT(ADDRESS(2,COLUMN())),OFFSET($BN$2,0,0,ROW()-1,60),ROW()-1,FALSE))</f>
        <v>7.8960425089999999</v>
      </c>
      <c r="AF164">
        <f ca="1">IF(AND(ISNUMBER($AF$407),$B$258=1),$AF$407,HLOOKUP(INDIRECT(ADDRESS(2,COLUMN())),OFFSET($BN$2,0,0,ROW()-1,60),ROW()-1,FALSE))</f>
        <v>7.5820518200000002</v>
      </c>
      <c r="AG164">
        <f ca="1">IF(AND(ISNUMBER($AG$407),$B$258=1),$AG$407,HLOOKUP(INDIRECT(ADDRESS(2,COLUMN())),OFFSET($BN$2,0,0,ROW()-1,60),ROW()-1,FALSE))</f>
        <v>7.3707729369999999</v>
      </c>
      <c r="AH164">
        <f ca="1">IF(AND(ISNUMBER($AH$407),$B$258=1),$AH$407,HLOOKUP(INDIRECT(ADDRESS(2,COLUMN())),OFFSET($BN$2,0,0,ROW()-1,60),ROW()-1,FALSE))</f>
        <v>7.283846467</v>
      </c>
      <c r="AI164">
        <f ca="1">IF(AND(ISNUMBER($AI$407),$B$258=1),$AI$407,HLOOKUP(INDIRECT(ADDRESS(2,COLUMN())),OFFSET($BN$2,0,0,ROW()-1,60),ROW()-1,FALSE))</f>
        <v>6.8114758689999997</v>
      </c>
      <c r="AJ164">
        <f ca="1">IF(AND(ISNUMBER($AJ$407),$B$258=1),$AJ$407,HLOOKUP(INDIRECT(ADDRESS(2,COLUMN())),OFFSET($BN$2,0,0,ROW()-1,60),ROW()-1,FALSE))</f>
        <v>6.6379130379999998</v>
      </c>
      <c r="AK164">
        <f ca="1">IF(AND(ISNUMBER($AK$407),$B$258=1),$AK$407,HLOOKUP(INDIRECT(ADDRESS(2,COLUMN())),OFFSET($BN$2,0,0,ROW()-1,60),ROW()-1,FALSE))</f>
        <v>6.3732218190000003</v>
      </c>
      <c r="AL164">
        <f ca="1">IF(AND(ISNUMBER($AL$407),$B$258=1),$AL$407,HLOOKUP(INDIRECT(ADDRESS(2,COLUMN())),OFFSET($BN$2,0,0,ROW()-1,60),ROW()-1,FALSE))</f>
        <v>6.9208759640000004</v>
      </c>
      <c r="AM164" t="str">
        <f ca="1">IF(AND(ISNUMBER($AM$407),$B$258=1),$AM$407,HLOOKUP(INDIRECT(ADDRESS(2,COLUMN())),OFFSET($BN$2,0,0,ROW()-1,60),ROW()-1,FALSE))</f>
        <v/>
      </c>
      <c r="AN164" t="str">
        <f ca="1">IF(AND(ISNUMBER($AN$407),$B$258=1),$AN$407,HLOOKUP(INDIRECT(ADDRESS(2,COLUMN())),OFFSET($BN$2,0,0,ROW()-1,60),ROW()-1,FALSE))</f>
        <v/>
      </c>
      <c r="AO164" t="str">
        <f ca="1">IF(AND(ISNUMBER($AO$407),$B$258=1),$AO$407,HLOOKUP(INDIRECT(ADDRESS(2,COLUMN())),OFFSET($BN$2,0,0,ROW()-1,60),ROW()-1,FALSE))</f>
        <v/>
      </c>
      <c r="AP164" t="str">
        <f ca="1">IF(AND(ISNUMBER($AP$407),$B$258=1),$AP$407,HLOOKUP(INDIRECT(ADDRESS(2,COLUMN())),OFFSET($BN$2,0,0,ROW()-1,60),ROW()-1,FALSE))</f>
        <v/>
      </c>
      <c r="AQ164" t="str">
        <f ca="1">IF(AND(ISNUMBER($AQ$407),$B$258=1),$AQ$407,HLOOKUP(INDIRECT(ADDRESS(2,COLUMN())),OFFSET($BN$2,0,0,ROW()-1,60),ROW()-1,FALSE))</f>
        <v/>
      </c>
      <c r="AR164" t="str">
        <f ca="1">IF(AND(ISNUMBER($AR$407),$B$258=1),$AR$407,HLOOKUP(INDIRECT(ADDRESS(2,COLUMN())),OFFSET($BN$2,0,0,ROW()-1,60),ROW()-1,FALSE))</f>
        <v/>
      </c>
      <c r="AS164" t="str">
        <f ca="1">IF(AND(ISNUMBER($AS$407),$B$258=1),$AS$407,HLOOKUP(INDIRECT(ADDRESS(2,COLUMN())),OFFSET($BN$2,0,0,ROW()-1,60),ROW()-1,FALSE))</f>
        <v/>
      </c>
      <c r="AT164" t="str">
        <f ca="1">IF(AND(ISNUMBER($AT$407),$B$258=1),$AT$407,HLOOKUP(INDIRECT(ADDRESS(2,COLUMN())),OFFSET($BN$2,0,0,ROW()-1,60),ROW()-1,FALSE))</f>
        <v/>
      </c>
      <c r="AU164" t="str">
        <f ca="1">IF(AND(ISNUMBER($AU$407),$B$258=1),$AU$407,HLOOKUP(INDIRECT(ADDRESS(2,COLUMN())),OFFSET($BN$2,0,0,ROW()-1,60),ROW()-1,FALSE))</f>
        <v/>
      </c>
      <c r="AV164" t="str">
        <f ca="1">IF(AND(ISNUMBER($AV$407),$B$258=1),$AV$407,HLOOKUP(INDIRECT(ADDRESS(2,COLUMN())),OFFSET($BN$2,0,0,ROW()-1,60),ROW()-1,FALSE))</f>
        <v/>
      </c>
      <c r="AW164" t="str">
        <f ca="1">IF(AND(ISNUMBER($AW$407),$B$258=1),$AW$407,HLOOKUP(INDIRECT(ADDRESS(2,COLUMN())),OFFSET($BN$2,0,0,ROW()-1,60),ROW()-1,FALSE))</f>
        <v/>
      </c>
      <c r="AX164" t="str">
        <f ca="1">IF(AND(ISNUMBER($AX$407),$B$258=1),$AX$407,HLOOKUP(INDIRECT(ADDRESS(2,COLUMN())),OFFSET($BN$2,0,0,ROW()-1,60),ROW()-1,FALSE))</f>
        <v/>
      </c>
      <c r="AY164" t="str">
        <f ca="1">IF(AND(ISNUMBER($AY$407),$B$258=1),$AY$407,HLOOKUP(INDIRECT(ADDRESS(2,COLUMN())),OFFSET($BN$2,0,0,ROW()-1,60),ROW()-1,FALSE))</f>
        <v/>
      </c>
      <c r="AZ164" t="str">
        <f ca="1">IF(AND(ISNUMBER($AZ$407),$B$258=1),$AZ$407,HLOOKUP(INDIRECT(ADDRESS(2,COLUMN())),OFFSET($BN$2,0,0,ROW()-1,60),ROW()-1,FALSE))</f>
        <v/>
      </c>
      <c r="BA164" t="str">
        <f ca="1">IF(AND(ISNUMBER($BA$407),$B$258=1),$BA$407,HLOOKUP(INDIRECT(ADDRESS(2,COLUMN())),OFFSET($BN$2,0,0,ROW()-1,60),ROW()-1,FALSE))</f>
        <v/>
      </c>
      <c r="BB164" t="str">
        <f ca="1">IF(AND(ISNUMBER($BB$407),$B$258=1),$BB$407,HLOOKUP(INDIRECT(ADDRESS(2,COLUMN())),OFFSET($BN$2,0,0,ROW()-1,60),ROW()-1,FALSE))</f>
        <v/>
      </c>
      <c r="BC164" t="str">
        <f ca="1">IF(AND(ISNUMBER($BC$407),$B$258=1),$BC$407,HLOOKUP(INDIRECT(ADDRESS(2,COLUMN())),OFFSET($BN$2,0,0,ROW()-1,60),ROW()-1,FALSE))</f>
        <v/>
      </c>
      <c r="BD164" t="str">
        <f ca="1">IF(AND(ISNUMBER($BD$407),$B$258=1),$BD$407,HLOOKUP(INDIRECT(ADDRESS(2,COLUMN())),OFFSET($BN$2,0,0,ROW()-1,60),ROW()-1,FALSE))</f>
        <v/>
      </c>
      <c r="BE164" t="str">
        <f ca="1">IF(AND(ISNUMBER($BE$407),$B$258=1),$BE$407,HLOOKUP(INDIRECT(ADDRESS(2,COLUMN())),OFFSET($BN$2,0,0,ROW()-1,60),ROW()-1,FALSE))</f>
        <v/>
      </c>
      <c r="BF164" t="str">
        <f ca="1">IF(AND(ISNUMBER($BF$407),$B$258=1),$BF$407,HLOOKUP(INDIRECT(ADDRESS(2,COLUMN())),OFFSET($BN$2,0,0,ROW()-1,60),ROW()-1,FALSE))</f>
        <v/>
      </c>
      <c r="BG164" t="str">
        <f ca="1">IF(AND(ISNUMBER($BG$407),$B$258=1),$BG$407,HLOOKUP(INDIRECT(ADDRESS(2,COLUMN())),OFFSET($BN$2,0,0,ROW()-1,60),ROW()-1,FALSE))</f>
        <v/>
      </c>
      <c r="BH164" t="str">
        <f ca="1">IF(AND(ISNUMBER($BH$407),$B$258=1),$BH$407,HLOOKUP(INDIRECT(ADDRESS(2,COLUMN())),OFFSET($BN$2,0,0,ROW()-1,60),ROW()-1,FALSE))</f>
        <v/>
      </c>
      <c r="BI164" t="str">
        <f ca="1">IF(AND(ISNUMBER($BI$407),$B$258=1),$BI$407,HLOOKUP(INDIRECT(ADDRESS(2,COLUMN())),OFFSET($BN$2,0,0,ROW()-1,60),ROW()-1,FALSE))</f>
        <v/>
      </c>
      <c r="BJ164" t="str">
        <f ca="1">IF(AND(ISNUMBER($BJ$407),$B$258=1),$BJ$407,HLOOKUP(INDIRECT(ADDRESS(2,COLUMN())),OFFSET($BN$2,0,0,ROW()-1,60),ROW()-1,FALSE))</f>
        <v/>
      </c>
      <c r="BK164" t="str">
        <f ca="1">IF(AND(ISNUMBER($BK$407),$B$258=1),$BK$407,HLOOKUP(INDIRECT(ADDRESS(2,COLUMN())),OFFSET($BN$2,0,0,ROW()-1,60),ROW()-1,FALSE))</f>
        <v/>
      </c>
      <c r="BL164" t="str">
        <f ca="1">IF(AND(ISNUMBER($BL$407),$B$258=1),$BL$407,HLOOKUP(INDIRECT(ADDRESS(2,COLUMN())),OFFSET($BN$2,0,0,ROW()-1,60),ROW()-1,FALSE))</f>
        <v/>
      </c>
      <c r="BM164" t="str">
        <f ca="1">IF(AND(ISNUMBER($BM$407),$B$258=1),$BM$407,HLOOKUP(INDIRECT(ADDRESS(2,COLUMN())),OFFSET($BN$2,0,0,ROW()-1,60),ROW()-1,FALSE))</f>
        <v/>
      </c>
      <c r="BN164" t="str">
        <f>""</f>
        <v/>
      </c>
      <c r="BO164">
        <f>6.451216546</f>
        <v>6.4512165460000004</v>
      </c>
      <c r="BP164">
        <f>6.479576255</f>
        <v>6.4795762549999996</v>
      </c>
      <c r="BQ164">
        <f>5.301762901</f>
        <v>5.301762901</v>
      </c>
      <c r="BR164">
        <f>7.403639434</f>
        <v>7.4036394339999996</v>
      </c>
      <c r="BS164">
        <f>7.32346104</f>
        <v>7.3234610399999998</v>
      </c>
      <c r="BT164">
        <f>7.248066189</f>
        <v>7.2480661890000002</v>
      </c>
      <c r="BU164">
        <f>7.317042922</f>
        <v>7.3170429219999997</v>
      </c>
      <c r="BV164">
        <f>7.35409779</f>
        <v>7.35409779</v>
      </c>
      <c r="BW164">
        <f>7.433030077</f>
        <v>7.4330300769999997</v>
      </c>
      <c r="BX164">
        <f>7.434408779</f>
        <v>7.434408779</v>
      </c>
      <c r="BY164">
        <f>7.308478243</f>
        <v>7.3084782429999997</v>
      </c>
      <c r="BZ164">
        <f>7.46897517</f>
        <v>7.4689751700000002</v>
      </c>
      <c r="CA164">
        <f>7.445998168</f>
        <v>7.445998168</v>
      </c>
      <c r="CB164">
        <f>7.646155356</f>
        <v>7.6461553560000004</v>
      </c>
      <c r="CC164">
        <f>7.107136907</f>
        <v>7.1071369070000001</v>
      </c>
      <c r="CD164">
        <f>7.683800677</f>
        <v>7.6838006769999998</v>
      </c>
      <c r="CE164">
        <f>7.421442848</f>
        <v>7.4214428479999999</v>
      </c>
      <c r="CF164">
        <f>7.38062758</f>
        <v>7.3806275799999996</v>
      </c>
      <c r="CG164">
        <f>7.414585479</f>
        <v>7.4145854790000003</v>
      </c>
      <c r="CH164">
        <f>7.150795089</f>
        <v>7.1507950889999998</v>
      </c>
      <c r="CI164">
        <f>7.525890197</f>
        <v>7.5258901969999998</v>
      </c>
      <c r="CJ164">
        <f>7.979063903</f>
        <v>7.9790639030000001</v>
      </c>
      <c r="CK164">
        <f>7.818187059</f>
        <v>7.8181870590000004</v>
      </c>
      <c r="CL164">
        <f>7.354484023</f>
        <v>7.3544840230000004</v>
      </c>
      <c r="CM164">
        <f>7.896042509</f>
        <v>7.8960425089999999</v>
      </c>
      <c r="CN164">
        <f>7.58205182</f>
        <v>7.5820518200000002</v>
      </c>
      <c r="CO164">
        <f>7.370772937</f>
        <v>7.3707729369999999</v>
      </c>
      <c r="CP164">
        <f>7.283846467</f>
        <v>7.283846467</v>
      </c>
      <c r="CQ164">
        <f>6.811475869</f>
        <v>6.8114758689999997</v>
      </c>
      <c r="CR164">
        <f>6.637913038</f>
        <v>6.6379130379999998</v>
      </c>
      <c r="CS164">
        <f>6.373221819</f>
        <v>6.3732218190000003</v>
      </c>
      <c r="CT164">
        <f>6.920875964</f>
        <v>6.9208759640000004</v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>
      <c r="A165" t="str">
        <f>"    Medical Properties Trust Inc"</f>
        <v xml:space="preserve">    Medical Properties Trust Inc</v>
      </c>
      <c r="B165" t="str">
        <f>"MPW US Equity"</f>
        <v>MPW US Equity</v>
      </c>
      <c r="C165" t="str">
        <f t="shared" si="39"/>
        <v>RX902</v>
      </c>
      <c r="D165" t="str">
        <f t="shared" si="40"/>
        <v>ANN_NOI_GR_AST_NET_RTL_DEV_CTD_%</v>
      </c>
      <c r="E165" t="str">
        <f t="shared" si="41"/>
        <v>动态</v>
      </c>
      <c r="F165" t="str">
        <f ca="1">IF(AND(ISNUMBER($F$408),$B$258=1),$F$408,HLOOKUP(INDIRECT(ADDRESS(2,COLUMN())),OFFSET($BN$2,0,0,ROW()-1,60),ROW()-1,FALSE))</f>
        <v/>
      </c>
      <c r="G165">
        <f ca="1">IF(AND(ISNUMBER($G$408),$B$258=1),$G$408,HLOOKUP(INDIRECT(ADDRESS(2,COLUMN())),OFFSET($BN$2,0,0,ROW()-1,60),ROW()-1,FALSE))</f>
        <v>6.7929928239999997</v>
      </c>
      <c r="H165">
        <f ca="1">IF(AND(ISNUMBER($H$408),$B$258=1),$H$408,HLOOKUP(INDIRECT(ADDRESS(2,COLUMN())),OFFSET($BN$2,0,0,ROW()-1,60),ROW()-1,FALSE))</f>
        <v>6.250042799</v>
      </c>
      <c r="I165">
        <f ca="1">IF(AND(ISNUMBER($I$408),$B$258=1),$I$408,HLOOKUP(INDIRECT(ADDRESS(2,COLUMN())),OFFSET($BN$2,0,0,ROW()-1,60),ROW()-1,FALSE))</f>
        <v>7.0991303520000004</v>
      </c>
      <c r="J165">
        <f ca="1">IF(AND(ISNUMBER($J$408),$B$258=1),$J$408,HLOOKUP(INDIRECT(ADDRESS(2,COLUMN())),OFFSET($BN$2,0,0,ROW()-1,60),ROW()-1,FALSE))</f>
        <v>7.0718230799999997</v>
      </c>
      <c r="K165">
        <f ca="1">IF(AND(ISNUMBER($K$408),$B$258=1),$K$408,HLOOKUP(INDIRECT(ADDRESS(2,COLUMN())),OFFSET($BN$2,0,0,ROW()-1,60),ROW()-1,FALSE))</f>
        <v>7.3209492589999998</v>
      </c>
      <c r="L165">
        <f ca="1">IF(AND(ISNUMBER($L$408),$B$258=1),$L$408,HLOOKUP(INDIRECT(ADDRESS(2,COLUMN())),OFFSET($BN$2,0,0,ROW()-1,60),ROW()-1,FALSE))</f>
        <v>6.6731086319999999</v>
      </c>
      <c r="M165">
        <f ca="1">IF(AND(ISNUMBER($M$408),$B$258=1),$M$408,HLOOKUP(INDIRECT(ADDRESS(2,COLUMN())),OFFSET($BN$2,0,0,ROW()-1,60),ROW()-1,FALSE))</f>
        <v>7.3587382100000003</v>
      </c>
      <c r="N165">
        <f ca="1">IF(AND(ISNUMBER($N$408),$B$258=1),$N$408,HLOOKUP(INDIRECT(ADDRESS(2,COLUMN())),OFFSET($BN$2,0,0,ROW()-1,60),ROW()-1,FALSE))</f>
        <v>6.6991470150000003</v>
      </c>
      <c r="O165">
        <f ca="1">IF(AND(ISNUMBER($O$408),$B$258=1),$O$408,HLOOKUP(INDIRECT(ADDRESS(2,COLUMN())),OFFSET($BN$2,0,0,ROW()-1,60),ROW()-1,FALSE))</f>
        <v>6.55165708</v>
      </c>
      <c r="P165">
        <f ca="1">IF(AND(ISNUMBER($P$408),$B$258=1),$P$408,HLOOKUP(INDIRECT(ADDRESS(2,COLUMN())),OFFSET($BN$2,0,0,ROW()-1,60),ROW()-1,FALSE))</f>
        <v>6.0168154960000004</v>
      </c>
      <c r="Q165">
        <f ca="1">IF(AND(ISNUMBER($Q$408),$B$258=1),$Q$408,HLOOKUP(INDIRECT(ADDRESS(2,COLUMN())),OFFSET($BN$2,0,0,ROW()-1,60),ROW()-1,FALSE))</f>
        <v>6.4084751259999999</v>
      </c>
      <c r="R165">
        <f ca="1">IF(AND(ISNUMBER($R$408),$B$258=1),$R$408,HLOOKUP(INDIRECT(ADDRESS(2,COLUMN())),OFFSET($BN$2,0,0,ROW()-1,60),ROW()-1,FALSE))</f>
        <v>6.9344140799999998</v>
      </c>
      <c r="S165">
        <f ca="1">IF(AND(ISNUMBER($S$408),$B$258=1),$S$408,HLOOKUP(INDIRECT(ADDRESS(2,COLUMN())),OFFSET($BN$2,0,0,ROW()-1,60),ROW()-1,FALSE))</f>
        <v>6.6115831500000004</v>
      </c>
      <c r="T165">
        <f ca="1">IF(AND(ISNUMBER($T$408),$B$258=1),$T$408,HLOOKUP(INDIRECT(ADDRESS(2,COLUMN())),OFFSET($BN$2,0,0,ROW()-1,60),ROW()-1,FALSE))</f>
        <v>7.7315289570000001</v>
      </c>
      <c r="U165">
        <f ca="1">IF(AND(ISNUMBER($U$408),$B$258=1),$U$408,HLOOKUP(INDIRECT(ADDRESS(2,COLUMN())),OFFSET($BN$2,0,0,ROW()-1,60),ROW()-1,FALSE))</f>
        <v>7.2923303290000003</v>
      </c>
      <c r="V165">
        <f ca="1">IF(AND(ISNUMBER($V$408),$B$258=1),$V$408,HLOOKUP(INDIRECT(ADDRESS(2,COLUMN())),OFFSET($BN$2,0,0,ROW()-1,60),ROW()-1,FALSE))</f>
        <v>9.1359337160000003</v>
      </c>
      <c r="W165">
        <f ca="1">IF(AND(ISNUMBER($W$408),$B$258=1),$W$408,HLOOKUP(INDIRECT(ADDRESS(2,COLUMN())),OFFSET($BN$2,0,0,ROW()-1,60),ROW()-1,FALSE))</f>
        <v>6.7360435130000003</v>
      </c>
      <c r="X165">
        <f ca="1">IF(AND(ISNUMBER($X$408),$B$258=1),$X$408,HLOOKUP(INDIRECT(ADDRESS(2,COLUMN())),OFFSET($BN$2,0,0,ROW()-1,60),ROW()-1,FALSE))</f>
        <v>6.6722283310000003</v>
      </c>
      <c r="Y165">
        <f ca="1">IF(AND(ISNUMBER($Y$408),$B$258=1),$Y$408,HLOOKUP(INDIRECT(ADDRESS(2,COLUMN())),OFFSET($BN$2,0,0,ROW()-1,60),ROW()-1,FALSE))</f>
        <v>7.0744168329999999</v>
      </c>
      <c r="Z165">
        <f ca="1">IF(AND(ISNUMBER($Z$408),$B$258=1),$Z$408,HLOOKUP(INDIRECT(ADDRESS(2,COLUMN())),OFFSET($BN$2,0,0,ROW()-1,60),ROW()-1,FALSE))</f>
        <v>9.7542682220000003</v>
      </c>
      <c r="AA165">
        <f ca="1">IF(AND(ISNUMBER($AA$408),$B$258=1),$AA$408,HLOOKUP(INDIRECT(ADDRESS(2,COLUMN())),OFFSET($BN$2,0,0,ROW()-1,60),ROW()-1,FALSE))</f>
        <v>7.1170496439999997</v>
      </c>
      <c r="AB165">
        <f ca="1">IF(AND(ISNUMBER($AB$408),$B$258=1),$AB$408,HLOOKUP(INDIRECT(ADDRESS(2,COLUMN())),OFFSET($BN$2,0,0,ROW()-1,60),ROW()-1,FALSE))</f>
        <v>6.7764000400000004</v>
      </c>
      <c r="AC165">
        <f ca="1">IF(AND(ISNUMBER($AC$408),$B$258=1),$AC$408,HLOOKUP(INDIRECT(ADDRESS(2,COLUMN())),OFFSET($BN$2,0,0,ROW()-1,60),ROW()-1,FALSE))</f>
        <v>6.8226834529999998</v>
      </c>
      <c r="AD165">
        <f ca="1">IF(AND(ISNUMBER($AD$408),$B$258=1),$AD$408,HLOOKUP(INDIRECT(ADDRESS(2,COLUMN())),OFFSET($BN$2,0,0,ROW()-1,60),ROW()-1,FALSE))</f>
        <v>6.1304632320000003</v>
      </c>
      <c r="AE165">
        <f ca="1">IF(AND(ISNUMBER($AE$408),$B$258=1),$AE$408,HLOOKUP(INDIRECT(ADDRESS(2,COLUMN())),OFFSET($BN$2,0,0,ROW()-1,60),ROW()-1,FALSE))</f>
        <v>6.9607808479999997</v>
      </c>
      <c r="AF165">
        <f ca="1">IF(AND(ISNUMBER($AF$408),$B$258=1),$AF$408,HLOOKUP(INDIRECT(ADDRESS(2,COLUMN())),OFFSET($BN$2,0,0,ROW()-1,60),ROW()-1,FALSE))</f>
        <v>6.8714812780000001</v>
      </c>
      <c r="AG165">
        <f ca="1">IF(AND(ISNUMBER($AG$408),$B$258=1),$AG$408,HLOOKUP(INDIRECT(ADDRESS(2,COLUMN())),OFFSET($BN$2,0,0,ROW()-1,60),ROW()-1,FALSE))</f>
        <v>6.6570196460000002</v>
      </c>
      <c r="AH165">
        <f ca="1">IF(AND(ISNUMBER($AH$408),$B$258=1),$AH$408,HLOOKUP(INDIRECT(ADDRESS(2,COLUMN())),OFFSET($BN$2,0,0,ROW()-1,60),ROW()-1,FALSE))</f>
        <v>7.5683136390000003</v>
      </c>
      <c r="AI165" t="str">
        <f ca="1">IF(AND(ISNUMBER($AI$408),$B$258=1),$AI$408,HLOOKUP(INDIRECT(ADDRESS(2,COLUMN())),OFFSET($BN$2,0,0,ROW()-1,60),ROW()-1,FALSE))</f>
        <v/>
      </c>
      <c r="AJ165" t="str">
        <f ca="1">IF(AND(ISNUMBER($AJ$408),$B$258=1),$AJ$408,HLOOKUP(INDIRECT(ADDRESS(2,COLUMN())),OFFSET($BN$2,0,0,ROW()-1,60),ROW()-1,FALSE))</f>
        <v/>
      </c>
      <c r="AK165" t="str">
        <f ca="1">IF(AND(ISNUMBER($AK$408),$B$258=1),$AK$408,HLOOKUP(INDIRECT(ADDRESS(2,COLUMN())),OFFSET($BN$2,0,0,ROW()-1,60),ROW()-1,FALSE))</f>
        <v/>
      </c>
      <c r="AL165" t="str">
        <f ca="1">IF(AND(ISNUMBER($AL$408),$B$258=1),$AL$408,HLOOKUP(INDIRECT(ADDRESS(2,COLUMN())),OFFSET($BN$2,0,0,ROW()-1,60),ROW()-1,FALSE))</f>
        <v/>
      </c>
      <c r="AM165" t="str">
        <f ca="1">IF(AND(ISNUMBER($AM$408),$B$258=1),$AM$408,HLOOKUP(INDIRECT(ADDRESS(2,COLUMN())),OFFSET($BN$2,0,0,ROW()-1,60),ROW()-1,FALSE))</f>
        <v/>
      </c>
      <c r="AN165" t="str">
        <f ca="1">IF(AND(ISNUMBER($AN$408),$B$258=1),$AN$408,HLOOKUP(INDIRECT(ADDRESS(2,COLUMN())),OFFSET($BN$2,0,0,ROW()-1,60),ROW()-1,FALSE))</f>
        <v/>
      </c>
      <c r="AO165" t="str">
        <f ca="1">IF(AND(ISNUMBER($AO$408),$B$258=1),$AO$408,HLOOKUP(INDIRECT(ADDRESS(2,COLUMN())),OFFSET($BN$2,0,0,ROW()-1,60),ROW()-1,FALSE))</f>
        <v/>
      </c>
      <c r="AP165" t="str">
        <f ca="1">IF(AND(ISNUMBER($AP$408),$B$258=1),$AP$408,HLOOKUP(INDIRECT(ADDRESS(2,COLUMN())),OFFSET($BN$2,0,0,ROW()-1,60),ROW()-1,FALSE))</f>
        <v/>
      </c>
      <c r="AQ165" t="str">
        <f ca="1">IF(AND(ISNUMBER($AQ$408),$B$258=1),$AQ$408,HLOOKUP(INDIRECT(ADDRESS(2,COLUMN())),OFFSET($BN$2,0,0,ROW()-1,60),ROW()-1,FALSE))</f>
        <v/>
      </c>
      <c r="AR165" t="str">
        <f ca="1">IF(AND(ISNUMBER($AR$408),$B$258=1),$AR$408,HLOOKUP(INDIRECT(ADDRESS(2,COLUMN())),OFFSET($BN$2,0,0,ROW()-1,60),ROW()-1,FALSE))</f>
        <v/>
      </c>
      <c r="AS165" t="str">
        <f ca="1">IF(AND(ISNUMBER($AS$408),$B$258=1),$AS$408,HLOOKUP(INDIRECT(ADDRESS(2,COLUMN())),OFFSET($BN$2,0,0,ROW()-1,60),ROW()-1,FALSE))</f>
        <v/>
      </c>
      <c r="AT165" t="str">
        <f ca="1">IF(AND(ISNUMBER($AT$408),$B$258=1),$AT$408,HLOOKUP(INDIRECT(ADDRESS(2,COLUMN())),OFFSET($BN$2,0,0,ROW()-1,60),ROW()-1,FALSE))</f>
        <v/>
      </c>
      <c r="AU165" t="str">
        <f ca="1">IF(AND(ISNUMBER($AU$408),$B$258=1),$AU$408,HLOOKUP(INDIRECT(ADDRESS(2,COLUMN())),OFFSET($BN$2,0,0,ROW()-1,60),ROW()-1,FALSE))</f>
        <v/>
      </c>
      <c r="AV165" t="str">
        <f ca="1">IF(AND(ISNUMBER($AV$408),$B$258=1),$AV$408,HLOOKUP(INDIRECT(ADDRESS(2,COLUMN())),OFFSET($BN$2,0,0,ROW()-1,60),ROW()-1,FALSE))</f>
        <v/>
      </c>
      <c r="AW165" t="str">
        <f ca="1">IF(AND(ISNUMBER($AW$408),$B$258=1),$AW$408,HLOOKUP(INDIRECT(ADDRESS(2,COLUMN())),OFFSET($BN$2,0,0,ROW()-1,60),ROW()-1,FALSE))</f>
        <v/>
      </c>
      <c r="AX165" t="str">
        <f ca="1">IF(AND(ISNUMBER($AX$408),$B$258=1),$AX$408,HLOOKUP(INDIRECT(ADDRESS(2,COLUMN())),OFFSET($BN$2,0,0,ROW()-1,60),ROW()-1,FALSE))</f>
        <v/>
      </c>
      <c r="AY165" t="str">
        <f ca="1">IF(AND(ISNUMBER($AY$408),$B$258=1),$AY$408,HLOOKUP(INDIRECT(ADDRESS(2,COLUMN())),OFFSET($BN$2,0,0,ROW()-1,60),ROW()-1,FALSE))</f>
        <v/>
      </c>
      <c r="AZ165" t="str">
        <f ca="1">IF(AND(ISNUMBER($AZ$408),$B$258=1),$AZ$408,HLOOKUP(INDIRECT(ADDRESS(2,COLUMN())),OFFSET($BN$2,0,0,ROW()-1,60),ROW()-1,FALSE))</f>
        <v/>
      </c>
      <c r="BA165" t="str">
        <f ca="1">IF(AND(ISNUMBER($BA$408),$B$258=1),$BA$408,HLOOKUP(INDIRECT(ADDRESS(2,COLUMN())),OFFSET($BN$2,0,0,ROW()-1,60),ROW()-1,FALSE))</f>
        <v/>
      </c>
      <c r="BB165" t="str">
        <f ca="1">IF(AND(ISNUMBER($BB$408),$B$258=1),$BB$408,HLOOKUP(INDIRECT(ADDRESS(2,COLUMN())),OFFSET($BN$2,0,0,ROW()-1,60),ROW()-1,FALSE))</f>
        <v/>
      </c>
      <c r="BC165" t="str">
        <f ca="1">IF(AND(ISNUMBER($BC$408),$B$258=1),$BC$408,HLOOKUP(INDIRECT(ADDRESS(2,COLUMN())),OFFSET($BN$2,0,0,ROW()-1,60),ROW()-1,FALSE))</f>
        <v/>
      </c>
      <c r="BD165" t="str">
        <f ca="1">IF(AND(ISNUMBER($BD$408),$B$258=1),$BD$408,HLOOKUP(INDIRECT(ADDRESS(2,COLUMN())),OFFSET($BN$2,0,0,ROW()-1,60),ROW()-1,FALSE))</f>
        <v/>
      </c>
      <c r="BE165" t="str">
        <f ca="1">IF(AND(ISNUMBER($BE$408),$B$258=1),$BE$408,HLOOKUP(INDIRECT(ADDRESS(2,COLUMN())),OFFSET($BN$2,0,0,ROW()-1,60),ROW()-1,FALSE))</f>
        <v/>
      </c>
      <c r="BF165" t="str">
        <f ca="1">IF(AND(ISNUMBER($BF$408),$B$258=1),$BF$408,HLOOKUP(INDIRECT(ADDRESS(2,COLUMN())),OFFSET($BN$2,0,0,ROW()-1,60),ROW()-1,FALSE))</f>
        <v/>
      </c>
      <c r="BG165" t="str">
        <f ca="1">IF(AND(ISNUMBER($BG$408),$B$258=1),$BG$408,HLOOKUP(INDIRECT(ADDRESS(2,COLUMN())),OFFSET($BN$2,0,0,ROW()-1,60),ROW()-1,FALSE))</f>
        <v/>
      </c>
      <c r="BH165" t="str">
        <f ca="1">IF(AND(ISNUMBER($BH$408),$B$258=1),$BH$408,HLOOKUP(INDIRECT(ADDRESS(2,COLUMN())),OFFSET($BN$2,0,0,ROW()-1,60),ROW()-1,FALSE))</f>
        <v/>
      </c>
      <c r="BI165" t="str">
        <f ca="1">IF(AND(ISNUMBER($BI$408),$B$258=1),$BI$408,HLOOKUP(INDIRECT(ADDRESS(2,COLUMN())),OFFSET($BN$2,0,0,ROW()-1,60),ROW()-1,FALSE))</f>
        <v/>
      </c>
      <c r="BJ165" t="str">
        <f ca="1">IF(AND(ISNUMBER($BJ$408),$B$258=1),$BJ$408,HLOOKUP(INDIRECT(ADDRESS(2,COLUMN())),OFFSET($BN$2,0,0,ROW()-1,60),ROW()-1,FALSE))</f>
        <v/>
      </c>
      <c r="BK165" t="str">
        <f ca="1">IF(AND(ISNUMBER($BK$408),$B$258=1),$BK$408,HLOOKUP(INDIRECT(ADDRESS(2,COLUMN())),OFFSET($BN$2,0,0,ROW()-1,60),ROW()-1,FALSE))</f>
        <v/>
      </c>
      <c r="BL165" t="str">
        <f ca="1">IF(AND(ISNUMBER($BL$408),$B$258=1),$BL$408,HLOOKUP(INDIRECT(ADDRESS(2,COLUMN())),OFFSET($BN$2,0,0,ROW()-1,60),ROW()-1,FALSE))</f>
        <v/>
      </c>
      <c r="BM165" t="str">
        <f ca="1">IF(AND(ISNUMBER($BM$408),$B$258=1),$BM$408,HLOOKUP(INDIRECT(ADDRESS(2,COLUMN())),OFFSET($BN$2,0,0,ROW()-1,60),ROW()-1,FALSE))</f>
        <v/>
      </c>
      <c r="BN165" t="str">
        <f>""</f>
        <v/>
      </c>
      <c r="BO165">
        <f>6.792992824</f>
        <v>6.7929928239999997</v>
      </c>
      <c r="BP165">
        <f>6.250042799</f>
        <v>6.250042799</v>
      </c>
      <c r="BQ165">
        <f>7.099130352</f>
        <v>7.0991303520000004</v>
      </c>
      <c r="BR165">
        <f>7.07182308</f>
        <v>7.0718230799999997</v>
      </c>
      <c r="BS165">
        <f>7.320949259</f>
        <v>7.3209492589999998</v>
      </c>
      <c r="BT165">
        <f>6.673108632</f>
        <v>6.6731086319999999</v>
      </c>
      <c r="BU165">
        <f>7.35873821</f>
        <v>7.3587382100000003</v>
      </c>
      <c r="BV165">
        <f>6.699147015</f>
        <v>6.6991470150000003</v>
      </c>
      <c r="BW165">
        <f>6.55165708</f>
        <v>6.55165708</v>
      </c>
      <c r="BX165">
        <f>6.016815496</f>
        <v>6.0168154960000004</v>
      </c>
      <c r="BY165">
        <f>6.408475126</f>
        <v>6.4084751259999999</v>
      </c>
      <c r="BZ165">
        <f>6.93441408</f>
        <v>6.9344140799999998</v>
      </c>
      <c r="CA165">
        <f>6.61158315</f>
        <v>6.6115831500000004</v>
      </c>
      <c r="CB165">
        <f>7.731528957</f>
        <v>7.7315289570000001</v>
      </c>
      <c r="CC165">
        <f>7.292330329</f>
        <v>7.2923303290000003</v>
      </c>
      <c r="CD165">
        <f>9.135933716</f>
        <v>9.1359337160000003</v>
      </c>
      <c r="CE165">
        <f>6.736043513</f>
        <v>6.7360435130000003</v>
      </c>
      <c r="CF165">
        <f>6.672228331</f>
        <v>6.6722283310000003</v>
      </c>
      <c r="CG165">
        <f>7.074416833</f>
        <v>7.0744168329999999</v>
      </c>
      <c r="CH165">
        <f>9.754268222</f>
        <v>9.7542682220000003</v>
      </c>
      <c r="CI165">
        <f>7.117049644</f>
        <v>7.1170496439999997</v>
      </c>
      <c r="CJ165">
        <f>6.77640004</f>
        <v>6.7764000400000004</v>
      </c>
      <c r="CK165">
        <f>6.822683453</f>
        <v>6.8226834529999998</v>
      </c>
      <c r="CL165">
        <f>6.130463232</f>
        <v>6.1304632320000003</v>
      </c>
      <c r="CM165">
        <f>6.960780848</f>
        <v>6.9607808479999997</v>
      </c>
      <c r="CN165">
        <f>6.871481278</f>
        <v>6.8714812780000001</v>
      </c>
      <c r="CO165">
        <f>6.657019646</f>
        <v>6.6570196460000002</v>
      </c>
      <c r="CP165">
        <f>7.568313639</f>
        <v>7.5683136390000003</v>
      </c>
      <c r="CQ165" t="str">
        <f>""</f>
        <v/>
      </c>
      <c r="CR165" t="str">
        <f>""</f>
        <v/>
      </c>
      <c r="CS165" t="str">
        <f>""</f>
        <v/>
      </c>
      <c r="CT165" t="str">
        <f>""</f>
        <v/>
      </c>
      <c r="CU165" t="str">
        <f>""</f>
        <v/>
      </c>
      <c r="CV165" t="str">
        <f>""</f>
        <v/>
      </c>
      <c r="CW165" t="str">
        <f>""</f>
        <v/>
      </c>
      <c r="CX165" t="str">
        <f>""</f>
        <v/>
      </c>
      <c r="CY165" t="str">
        <f>""</f>
        <v/>
      </c>
      <c r="CZ165" t="str">
        <f>""</f>
        <v/>
      </c>
      <c r="DA165" t="str">
        <f>""</f>
        <v/>
      </c>
      <c r="DB165" t="str">
        <f>""</f>
        <v/>
      </c>
      <c r="DC165" t="str">
        <f>""</f>
        <v/>
      </c>
      <c r="DD165" t="str">
        <f>""</f>
        <v/>
      </c>
      <c r="DE165" t="str">
        <f>""</f>
        <v/>
      </c>
      <c r="DF165" t="str">
        <f>""</f>
        <v/>
      </c>
      <c r="DG165" t="str">
        <f>""</f>
        <v/>
      </c>
      <c r="DH165" t="str">
        <f>""</f>
        <v/>
      </c>
      <c r="DI165" t="str">
        <f>""</f>
        <v/>
      </c>
      <c r="DJ165" t="str">
        <f>""</f>
        <v/>
      </c>
      <c r="DK165" t="str">
        <f>""</f>
        <v/>
      </c>
      <c r="DL165" t="str">
        <f>""</f>
        <v/>
      </c>
      <c r="DM165" t="str">
        <f>""</f>
        <v/>
      </c>
      <c r="DN165" t="str">
        <f>""</f>
        <v/>
      </c>
      <c r="DO165" t="str">
        <f>""</f>
        <v/>
      </c>
      <c r="DP165" t="str">
        <f>""</f>
        <v/>
      </c>
      <c r="DQ165" t="str">
        <f>""</f>
        <v/>
      </c>
      <c r="DR165" t="str">
        <f>""</f>
        <v/>
      </c>
      <c r="DS165" t="str">
        <f>""</f>
        <v/>
      </c>
      <c r="DT165" t="str">
        <f>""</f>
        <v/>
      </c>
      <c r="DU165" t="str">
        <f>""</f>
        <v/>
      </c>
    </row>
    <row r="166" spans="1:125">
      <c r="A166" t="str">
        <f>"    Omega Healthcare Investors Inc"</f>
        <v xml:space="preserve">    Omega Healthcare Investors Inc</v>
      </c>
      <c r="B166" t="str">
        <f>"OHI US Equity"</f>
        <v>OHI US Equity</v>
      </c>
      <c r="C166" t="str">
        <f t="shared" si="39"/>
        <v>RX902</v>
      </c>
      <c r="D166" t="str">
        <f t="shared" si="40"/>
        <v>ANN_NOI_GR_AST_NET_RTL_DEV_CTD_%</v>
      </c>
      <c r="E166" t="str">
        <f t="shared" si="41"/>
        <v>动态</v>
      </c>
      <c r="F166" t="str">
        <f ca="1">IF(AND(ISNUMBER($F$409),$B$258=1),$F$409,HLOOKUP(INDIRECT(ADDRESS(2,COLUMN())),OFFSET($BN$2,0,0,ROW()-1,60),ROW()-1,FALSE))</f>
        <v/>
      </c>
      <c r="G166" t="str">
        <f ca="1">IF(AND(ISNUMBER($G$409),$B$258=1),$G$409,HLOOKUP(INDIRECT(ADDRESS(2,COLUMN())),OFFSET($BN$2,0,0,ROW()-1,60),ROW()-1,FALSE))</f>
        <v/>
      </c>
      <c r="H166" t="str">
        <f ca="1">IF(AND(ISNUMBER($H$409),$B$258=1),$H$409,HLOOKUP(INDIRECT(ADDRESS(2,COLUMN())),OFFSET($BN$2,0,0,ROW()-1,60),ROW()-1,FALSE))</f>
        <v/>
      </c>
      <c r="I166" t="str">
        <f ca="1">IF(AND(ISNUMBER($I$409),$B$258=1),$I$409,HLOOKUP(INDIRECT(ADDRESS(2,COLUMN())),OFFSET($BN$2,0,0,ROW()-1,60),ROW()-1,FALSE))</f>
        <v/>
      </c>
      <c r="J166" t="str">
        <f ca="1">IF(AND(ISNUMBER($J$409),$B$258=1),$J$409,HLOOKUP(INDIRECT(ADDRESS(2,COLUMN())),OFFSET($BN$2,0,0,ROW()-1,60),ROW()-1,FALSE))</f>
        <v/>
      </c>
      <c r="K166" t="str">
        <f ca="1">IF(AND(ISNUMBER($K$409),$B$258=1),$K$409,HLOOKUP(INDIRECT(ADDRESS(2,COLUMN())),OFFSET($BN$2,0,0,ROW()-1,60),ROW()-1,FALSE))</f>
        <v/>
      </c>
      <c r="L166" t="str">
        <f ca="1">IF(AND(ISNUMBER($L$409),$B$258=1),$L$409,HLOOKUP(INDIRECT(ADDRESS(2,COLUMN())),OFFSET($BN$2,0,0,ROW()-1,60),ROW()-1,FALSE))</f>
        <v/>
      </c>
      <c r="M166" t="str">
        <f ca="1">IF(AND(ISNUMBER($M$409),$B$258=1),$M$409,HLOOKUP(INDIRECT(ADDRESS(2,COLUMN())),OFFSET($BN$2,0,0,ROW()-1,60),ROW()-1,FALSE))</f>
        <v/>
      </c>
      <c r="N166" t="str">
        <f ca="1">IF(AND(ISNUMBER($N$409),$B$258=1),$N$409,HLOOKUP(INDIRECT(ADDRESS(2,COLUMN())),OFFSET($BN$2,0,0,ROW()-1,60),ROW()-1,FALSE))</f>
        <v/>
      </c>
      <c r="O166" t="str">
        <f ca="1">IF(AND(ISNUMBER($O$409),$B$258=1),$O$409,HLOOKUP(INDIRECT(ADDRESS(2,COLUMN())),OFFSET($BN$2,0,0,ROW()-1,60),ROW()-1,FALSE))</f>
        <v/>
      </c>
      <c r="P166" t="str">
        <f ca="1">IF(AND(ISNUMBER($P$409),$B$258=1),$P$409,HLOOKUP(INDIRECT(ADDRESS(2,COLUMN())),OFFSET($BN$2,0,0,ROW()-1,60),ROW()-1,FALSE))</f>
        <v/>
      </c>
      <c r="Q166" t="str">
        <f ca="1">IF(AND(ISNUMBER($Q$409),$B$258=1),$Q$409,HLOOKUP(INDIRECT(ADDRESS(2,COLUMN())),OFFSET($BN$2,0,0,ROW()-1,60),ROW()-1,FALSE))</f>
        <v/>
      </c>
      <c r="R166" t="str">
        <f ca="1">IF(AND(ISNUMBER($R$409),$B$258=1),$R$409,HLOOKUP(INDIRECT(ADDRESS(2,COLUMN())),OFFSET($BN$2,0,0,ROW()-1,60),ROW()-1,FALSE))</f>
        <v/>
      </c>
      <c r="S166" t="str">
        <f ca="1">IF(AND(ISNUMBER($S$409),$B$258=1),$S$409,HLOOKUP(INDIRECT(ADDRESS(2,COLUMN())),OFFSET($BN$2,0,0,ROW()-1,60),ROW()-1,FALSE))</f>
        <v/>
      </c>
      <c r="T166" t="str">
        <f ca="1">IF(AND(ISNUMBER($T$409),$B$258=1),$T$409,HLOOKUP(INDIRECT(ADDRESS(2,COLUMN())),OFFSET($BN$2,0,0,ROW()-1,60),ROW()-1,FALSE))</f>
        <v/>
      </c>
      <c r="U166" t="str">
        <f ca="1">IF(AND(ISNUMBER($U$409),$B$258=1),$U$409,HLOOKUP(INDIRECT(ADDRESS(2,COLUMN())),OFFSET($BN$2,0,0,ROW()-1,60),ROW()-1,FALSE))</f>
        <v/>
      </c>
      <c r="V166" t="str">
        <f ca="1">IF(AND(ISNUMBER($V$409),$B$258=1),$V$409,HLOOKUP(INDIRECT(ADDRESS(2,COLUMN())),OFFSET($BN$2,0,0,ROW()-1,60),ROW()-1,FALSE))</f>
        <v/>
      </c>
      <c r="W166" t="str">
        <f ca="1">IF(AND(ISNUMBER($W$409),$B$258=1),$W$409,HLOOKUP(INDIRECT(ADDRESS(2,COLUMN())),OFFSET($BN$2,0,0,ROW()-1,60),ROW()-1,FALSE))</f>
        <v/>
      </c>
      <c r="X166" t="str">
        <f ca="1">IF(AND(ISNUMBER($X$409),$B$258=1),$X$409,HLOOKUP(INDIRECT(ADDRESS(2,COLUMN())),OFFSET($BN$2,0,0,ROW()-1,60),ROW()-1,FALSE))</f>
        <v/>
      </c>
      <c r="Y166" t="str">
        <f ca="1">IF(AND(ISNUMBER($Y$409),$B$258=1),$Y$409,HLOOKUP(INDIRECT(ADDRESS(2,COLUMN())),OFFSET($BN$2,0,0,ROW()-1,60),ROW()-1,FALSE))</f>
        <v/>
      </c>
      <c r="Z166" t="str">
        <f ca="1">IF(AND(ISNUMBER($Z$409),$B$258=1),$Z$409,HLOOKUP(INDIRECT(ADDRESS(2,COLUMN())),OFFSET($BN$2,0,0,ROW()-1,60),ROW()-1,FALSE))</f>
        <v/>
      </c>
      <c r="AA166" t="str">
        <f ca="1">IF(AND(ISNUMBER($AA$409),$B$258=1),$AA$409,HLOOKUP(INDIRECT(ADDRESS(2,COLUMN())),OFFSET($BN$2,0,0,ROW()-1,60),ROW()-1,FALSE))</f>
        <v/>
      </c>
      <c r="AB166" t="str">
        <f ca="1">IF(AND(ISNUMBER($AB$409),$B$258=1),$AB$409,HLOOKUP(INDIRECT(ADDRESS(2,COLUMN())),OFFSET($BN$2,0,0,ROW()-1,60),ROW()-1,FALSE))</f>
        <v/>
      </c>
      <c r="AC166" t="str">
        <f ca="1">IF(AND(ISNUMBER($AC$409),$B$258=1),$AC$409,HLOOKUP(INDIRECT(ADDRESS(2,COLUMN())),OFFSET($BN$2,0,0,ROW()-1,60),ROW()-1,FALSE))</f>
        <v/>
      </c>
      <c r="AD166" t="str">
        <f ca="1">IF(AND(ISNUMBER($AD$409),$B$258=1),$AD$409,HLOOKUP(INDIRECT(ADDRESS(2,COLUMN())),OFFSET($BN$2,0,0,ROW()-1,60),ROW()-1,FALSE))</f>
        <v/>
      </c>
      <c r="AE166" t="str">
        <f ca="1">IF(AND(ISNUMBER($AE$409),$B$258=1),$AE$409,HLOOKUP(INDIRECT(ADDRESS(2,COLUMN())),OFFSET($BN$2,0,0,ROW()-1,60),ROW()-1,FALSE))</f>
        <v/>
      </c>
      <c r="AF166" t="str">
        <f ca="1">IF(AND(ISNUMBER($AF$409),$B$258=1),$AF$409,HLOOKUP(INDIRECT(ADDRESS(2,COLUMN())),OFFSET($BN$2,0,0,ROW()-1,60),ROW()-1,FALSE))</f>
        <v/>
      </c>
      <c r="AG166" t="str">
        <f ca="1">IF(AND(ISNUMBER($AG$409),$B$258=1),$AG$409,HLOOKUP(INDIRECT(ADDRESS(2,COLUMN())),OFFSET($BN$2,0,0,ROW()-1,60),ROW()-1,FALSE))</f>
        <v/>
      </c>
      <c r="AH166" t="str">
        <f ca="1">IF(AND(ISNUMBER($AH$409),$B$258=1),$AH$409,HLOOKUP(INDIRECT(ADDRESS(2,COLUMN())),OFFSET($BN$2,0,0,ROW()-1,60),ROW()-1,FALSE))</f>
        <v/>
      </c>
      <c r="AI166" t="str">
        <f ca="1">IF(AND(ISNUMBER($AI$409),$B$258=1),$AI$409,HLOOKUP(INDIRECT(ADDRESS(2,COLUMN())),OFFSET($BN$2,0,0,ROW()-1,60),ROW()-1,FALSE))</f>
        <v/>
      </c>
      <c r="AJ166" t="str">
        <f ca="1">IF(AND(ISNUMBER($AJ$409),$B$258=1),$AJ$409,HLOOKUP(INDIRECT(ADDRESS(2,COLUMN())),OFFSET($BN$2,0,0,ROW()-1,60),ROW()-1,FALSE))</f>
        <v/>
      </c>
      <c r="AK166" t="str">
        <f ca="1">IF(AND(ISNUMBER($AK$409),$B$258=1),$AK$409,HLOOKUP(INDIRECT(ADDRESS(2,COLUMN())),OFFSET($BN$2,0,0,ROW()-1,60),ROW()-1,FALSE))</f>
        <v/>
      </c>
      <c r="AL166" t="str">
        <f ca="1">IF(AND(ISNUMBER($AL$409),$B$258=1),$AL$409,HLOOKUP(INDIRECT(ADDRESS(2,COLUMN())),OFFSET($BN$2,0,0,ROW()-1,60),ROW()-1,FALSE))</f>
        <v/>
      </c>
      <c r="AM166" t="str">
        <f ca="1">IF(AND(ISNUMBER($AM$409),$B$258=1),$AM$409,HLOOKUP(INDIRECT(ADDRESS(2,COLUMN())),OFFSET($BN$2,0,0,ROW()-1,60),ROW()-1,FALSE))</f>
        <v/>
      </c>
      <c r="AN166" t="str">
        <f ca="1">IF(AND(ISNUMBER($AN$409),$B$258=1),$AN$409,HLOOKUP(INDIRECT(ADDRESS(2,COLUMN())),OFFSET($BN$2,0,0,ROW()-1,60),ROW()-1,FALSE))</f>
        <v/>
      </c>
      <c r="AO166" t="str">
        <f ca="1">IF(AND(ISNUMBER($AO$409),$B$258=1),$AO$409,HLOOKUP(INDIRECT(ADDRESS(2,COLUMN())),OFFSET($BN$2,0,0,ROW()-1,60),ROW()-1,FALSE))</f>
        <v/>
      </c>
      <c r="AP166" t="str">
        <f ca="1">IF(AND(ISNUMBER($AP$409),$B$258=1),$AP$409,HLOOKUP(INDIRECT(ADDRESS(2,COLUMN())),OFFSET($BN$2,0,0,ROW()-1,60),ROW()-1,FALSE))</f>
        <v/>
      </c>
      <c r="AQ166" t="str">
        <f ca="1">IF(AND(ISNUMBER($AQ$409),$B$258=1),$AQ$409,HLOOKUP(INDIRECT(ADDRESS(2,COLUMN())),OFFSET($BN$2,0,0,ROW()-1,60),ROW()-1,FALSE))</f>
        <v/>
      </c>
      <c r="AR166" t="str">
        <f ca="1">IF(AND(ISNUMBER($AR$409),$B$258=1),$AR$409,HLOOKUP(INDIRECT(ADDRESS(2,COLUMN())),OFFSET($BN$2,0,0,ROW()-1,60),ROW()-1,FALSE))</f>
        <v/>
      </c>
      <c r="AS166" t="str">
        <f ca="1">IF(AND(ISNUMBER($AS$409),$B$258=1),$AS$409,HLOOKUP(INDIRECT(ADDRESS(2,COLUMN())),OFFSET($BN$2,0,0,ROW()-1,60),ROW()-1,FALSE))</f>
        <v/>
      </c>
      <c r="AT166" t="str">
        <f ca="1">IF(AND(ISNUMBER($AT$409),$B$258=1),$AT$409,HLOOKUP(INDIRECT(ADDRESS(2,COLUMN())),OFFSET($BN$2,0,0,ROW()-1,60),ROW()-1,FALSE))</f>
        <v/>
      </c>
      <c r="AU166" t="str">
        <f ca="1">IF(AND(ISNUMBER($AU$409),$B$258=1),$AU$409,HLOOKUP(INDIRECT(ADDRESS(2,COLUMN())),OFFSET($BN$2,0,0,ROW()-1,60),ROW()-1,FALSE))</f>
        <v/>
      </c>
      <c r="AV166" t="str">
        <f ca="1">IF(AND(ISNUMBER($AV$409),$B$258=1),$AV$409,HLOOKUP(INDIRECT(ADDRESS(2,COLUMN())),OFFSET($BN$2,0,0,ROW()-1,60),ROW()-1,FALSE))</f>
        <v/>
      </c>
      <c r="AW166" t="str">
        <f ca="1">IF(AND(ISNUMBER($AW$409),$B$258=1),$AW$409,HLOOKUP(INDIRECT(ADDRESS(2,COLUMN())),OFFSET($BN$2,0,0,ROW()-1,60),ROW()-1,FALSE))</f>
        <v/>
      </c>
      <c r="AX166" t="str">
        <f ca="1">IF(AND(ISNUMBER($AX$409),$B$258=1),$AX$409,HLOOKUP(INDIRECT(ADDRESS(2,COLUMN())),OFFSET($BN$2,0,0,ROW()-1,60),ROW()-1,FALSE))</f>
        <v/>
      </c>
      <c r="AY166" t="str">
        <f ca="1">IF(AND(ISNUMBER($AY$409),$B$258=1),$AY$409,HLOOKUP(INDIRECT(ADDRESS(2,COLUMN())),OFFSET($BN$2,0,0,ROW()-1,60),ROW()-1,FALSE))</f>
        <v/>
      </c>
      <c r="AZ166" t="str">
        <f ca="1">IF(AND(ISNUMBER($AZ$409),$B$258=1),$AZ$409,HLOOKUP(INDIRECT(ADDRESS(2,COLUMN())),OFFSET($BN$2,0,0,ROW()-1,60),ROW()-1,FALSE))</f>
        <v/>
      </c>
      <c r="BA166" t="str">
        <f ca="1">IF(AND(ISNUMBER($BA$409),$B$258=1),$BA$409,HLOOKUP(INDIRECT(ADDRESS(2,COLUMN())),OFFSET($BN$2,0,0,ROW()-1,60),ROW()-1,FALSE))</f>
        <v/>
      </c>
      <c r="BB166" t="str">
        <f ca="1">IF(AND(ISNUMBER($BB$409),$B$258=1),$BB$409,HLOOKUP(INDIRECT(ADDRESS(2,COLUMN())),OFFSET($BN$2,0,0,ROW()-1,60),ROW()-1,FALSE))</f>
        <v/>
      </c>
      <c r="BC166" t="str">
        <f ca="1">IF(AND(ISNUMBER($BC$409),$B$258=1),$BC$409,HLOOKUP(INDIRECT(ADDRESS(2,COLUMN())),OFFSET($BN$2,0,0,ROW()-1,60),ROW()-1,FALSE))</f>
        <v/>
      </c>
      <c r="BD166" t="str">
        <f ca="1">IF(AND(ISNUMBER($BD$409),$B$258=1),$BD$409,HLOOKUP(INDIRECT(ADDRESS(2,COLUMN())),OFFSET($BN$2,0,0,ROW()-1,60),ROW()-1,FALSE))</f>
        <v/>
      </c>
      <c r="BE166" t="str">
        <f ca="1">IF(AND(ISNUMBER($BE$409),$B$258=1),$BE$409,HLOOKUP(INDIRECT(ADDRESS(2,COLUMN())),OFFSET($BN$2,0,0,ROW()-1,60),ROW()-1,FALSE))</f>
        <v/>
      </c>
      <c r="BF166" t="str">
        <f ca="1">IF(AND(ISNUMBER($BF$409),$B$258=1),$BF$409,HLOOKUP(INDIRECT(ADDRESS(2,COLUMN())),OFFSET($BN$2,0,0,ROW()-1,60),ROW()-1,FALSE))</f>
        <v/>
      </c>
      <c r="BG166" t="str">
        <f ca="1">IF(AND(ISNUMBER($BG$409),$B$258=1),$BG$409,HLOOKUP(INDIRECT(ADDRESS(2,COLUMN())),OFFSET($BN$2,0,0,ROW()-1,60),ROW()-1,FALSE))</f>
        <v/>
      </c>
      <c r="BH166" t="str">
        <f ca="1">IF(AND(ISNUMBER($BH$409),$B$258=1),$BH$409,HLOOKUP(INDIRECT(ADDRESS(2,COLUMN())),OFFSET($BN$2,0,0,ROW()-1,60),ROW()-1,FALSE))</f>
        <v/>
      </c>
      <c r="BI166" t="str">
        <f ca="1">IF(AND(ISNUMBER($BI$409),$B$258=1),$BI$409,HLOOKUP(INDIRECT(ADDRESS(2,COLUMN())),OFFSET($BN$2,0,0,ROW()-1,60),ROW()-1,FALSE))</f>
        <v/>
      </c>
      <c r="BJ166" t="str">
        <f ca="1">IF(AND(ISNUMBER($BJ$409),$B$258=1),$BJ$409,HLOOKUP(INDIRECT(ADDRESS(2,COLUMN())),OFFSET($BN$2,0,0,ROW()-1,60),ROW()-1,FALSE))</f>
        <v/>
      </c>
      <c r="BK166" t="str">
        <f ca="1">IF(AND(ISNUMBER($BK$409),$B$258=1),$BK$409,HLOOKUP(INDIRECT(ADDRESS(2,COLUMN())),OFFSET($BN$2,0,0,ROW()-1,60),ROW()-1,FALSE))</f>
        <v/>
      </c>
      <c r="BL166" t="str">
        <f ca="1">IF(AND(ISNUMBER($BL$409),$B$258=1),$BL$409,HLOOKUP(INDIRECT(ADDRESS(2,COLUMN())),OFFSET($BN$2,0,0,ROW()-1,60),ROW()-1,FALSE))</f>
        <v/>
      </c>
      <c r="BM166" t="str">
        <f ca="1">IF(AND(ISNUMBER($BM$409),$B$258=1),$BM$409,HLOOKUP(INDIRECT(ADDRESS(2,COLUMN())),OFFSET($BN$2,0,0,ROW()-1,60),ROW()-1,FALSE))</f>
        <v/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>
      <c r="A167" t="str">
        <f>"    Sabra Health Care REIT Inc"</f>
        <v xml:space="preserve">    Sabra Health Care REIT Inc</v>
      </c>
      <c r="B167" t="str">
        <f>"SBRA US Equity"</f>
        <v>SBRA US Equity</v>
      </c>
      <c r="C167" t="str">
        <f t="shared" si="39"/>
        <v>RX902</v>
      </c>
      <c r="D167" t="str">
        <f t="shared" si="40"/>
        <v>ANN_NOI_GR_AST_NET_RTL_DEV_CTD_%</v>
      </c>
      <c r="E167" t="str">
        <f t="shared" si="41"/>
        <v>动态</v>
      </c>
      <c r="F167" t="str">
        <f ca="1">IF(AND(ISNUMBER($F$410),$B$258=1),$F$410,HLOOKUP(INDIRECT(ADDRESS(2,COLUMN())),OFFSET($BN$2,0,0,ROW()-1,60),ROW()-1,FALSE))</f>
        <v/>
      </c>
      <c r="G167" t="str">
        <f ca="1">IF(AND(ISNUMBER($G$410),$B$258=1),$G$410,HLOOKUP(INDIRECT(ADDRESS(2,COLUMN())),OFFSET($BN$2,0,0,ROW()-1,60),ROW()-1,FALSE))</f>
        <v/>
      </c>
      <c r="H167" t="str">
        <f ca="1">IF(AND(ISNUMBER($H$410),$B$258=1),$H$410,HLOOKUP(INDIRECT(ADDRESS(2,COLUMN())),OFFSET($BN$2,0,0,ROW()-1,60),ROW()-1,FALSE))</f>
        <v/>
      </c>
      <c r="I167" t="str">
        <f ca="1">IF(AND(ISNUMBER($I$410),$B$258=1),$I$410,HLOOKUP(INDIRECT(ADDRESS(2,COLUMN())),OFFSET($BN$2,0,0,ROW()-1,60),ROW()-1,FALSE))</f>
        <v/>
      </c>
      <c r="J167" t="str">
        <f ca="1">IF(AND(ISNUMBER($J$410),$B$258=1),$J$410,HLOOKUP(INDIRECT(ADDRESS(2,COLUMN())),OFFSET($BN$2,0,0,ROW()-1,60),ROW()-1,FALSE))</f>
        <v/>
      </c>
      <c r="K167" t="str">
        <f ca="1">IF(AND(ISNUMBER($K$410),$B$258=1),$K$410,HLOOKUP(INDIRECT(ADDRESS(2,COLUMN())),OFFSET($BN$2,0,0,ROW()-1,60),ROW()-1,FALSE))</f>
        <v/>
      </c>
      <c r="L167" t="str">
        <f ca="1">IF(AND(ISNUMBER($L$410),$B$258=1),$L$410,HLOOKUP(INDIRECT(ADDRESS(2,COLUMN())),OFFSET($BN$2,0,0,ROW()-1,60),ROW()-1,FALSE))</f>
        <v/>
      </c>
      <c r="M167" t="str">
        <f ca="1">IF(AND(ISNUMBER($M$410),$B$258=1),$M$410,HLOOKUP(INDIRECT(ADDRESS(2,COLUMN())),OFFSET($BN$2,0,0,ROW()-1,60),ROW()-1,FALSE))</f>
        <v/>
      </c>
      <c r="N167" t="str">
        <f ca="1">IF(AND(ISNUMBER($N$410),$B$258=1),$N$410,HLOOKUP(INDIRECT(ADDRESS(2,COLUMN())),OFFSET($BN$2,0,0,ROW()-1,60),ROW()-1,FALSE))</f>
        <v/>
      </c>
      <c r="O167" t="str">
        <f ca="1">IF(AND(ISNUMBER($O$410),$B$258=1),$O$410,HLOOKUP(INDIRECT(ADDRESS(2,COLUMN())),OFFSET($BN$2,0,0,ROW()-1,60),ROW()-1,FALSE))</f>
        <v/>
      </c>
      <c r="P167" t="str">
        <f ca="1">IF(AND(ISNUMBER($P$410),$B$258=1),$P$410,HLOOKUP(INDIRECT(ADDRESS(2,COLUMN())),OFFSET($BN$2,0,0,ROW()-1,60),ROW()-1,FALSE))</f>
        <v/>
      </c>
      <c r="Q167" t="str">
        <f ca="1">IF(AND(ISNUMBER($Q$410),$B$258=1),$Q$410,HLOOKUP(INDIRECT(ADDRESS(2,COLUMN())),OFFSET($BN$2,0,0,ROW()-1,60),ROW()-1,FALSE))</f>
        <v/>
      </c>
      <c r="R167" t="str">
        <f ca="1">IF(AND(ISNUMBER($R$410),$B$258=1),$R$410,HLOOKUP(INDIRECT(ADDRESS(2,COLUMN())),OFFSET($BN$2,0,0,ROW()-1,60),ROW()-1,FALSE))</f>
        <v/>
      </c>
      <c r="S167" t="str">
        <f ca="1">IF(AND(ISNUMBER($S$410),$B$258=1),$S$410,HLOOKUP(INDIRECT(ADDRESS(2,COLUMN())),OFFSET($BN$2,0,0,ROW()-1,60),ROW()-1,FALSE))</f>
        <v/>
      </c>
      <c r="T167" t="str">
        <f ca="1">IF(AND(ISNUMBER($T$410),$B$258=1),$T$410,HLOOKUP(INDIRECT(ADDRESS(2,COLUMN())),OFFSET($BN$2,0,0,ROW()-1,60),ROW()-1,FALSE))</f>
        <v/>
      </c>
      <c r="U167" t="str">
        <f ca="1">IF(AND(ISNUMBER($U$410),$B$258=1),$U$410,HLOOKUP(INDIRECT(ADDRESS(2,COLUMN())),OFFSET($BN$2,0,0,ROW()-1,60),ROW()-1,FALSE))</f>
        <v/>
      </c>
      <c r="V167" t="str">
        <f ca="1">IF(AND(ISNUMBER($V$410),$B$258=1),$V$410,HLOOKUP(INDIRECT(ADDRESS(2,COLUMN())),OFFSET($BN$2,0,0,ROW()-1,60),ROW()-1,FALSE))</f>
        <v/>
      </c>
      <c r="W167" t="str">
        <f ca="1">IF(AND(ISNUMBER($W$410),$B$258=1),$W$410,HLOOKUP(INDIRECT(ADDRESS(2,COLUMN())),OFFSET($BN$2,0,0,ROW()-1,60),ROW()-1,FALSE))</f>
        <v/>
      </c>
      <c r="X167" t="str">
        <f ca="1">IF(AND(ISNUMBER($X$410),$B$258=1),$X$410,HLOOKUP(INDIRECT(ADDRESS(2,COLUMN())),OFFSET($BN$2,0,0,ROW()-1,60),ROW()-1,FALSE))</f>
        <v/>
      </c>
      <c r="Y167" t="str">
        <f ca="1">IF(AND(ISNUMBER($Y$410),$B$258=1),$Y$410,HLOOKUP(INDIRECT(ADDRESS(2,COLUMN())),OFFSET($BN$2,0,0,ROW()-1,60),ROW()-1,FALSE))</f>
        <v/>
      </c>
      <c r="Z167" t="str">
        <f ca="1">IF(AND(ISNUMBER($Z$410),$B$258=1),$Z$410,HLOOKUP(INDIRECT(ADDRESS(2,COLUMN())),OFFSET($BN$2,0,0,ROW()-1,60),ROW()-1,FALSE))</f>
        <v/>
      </c>
      <c r="AA167" t="str">
        <f ca="1">IF(AND(ISNUMBER($AA$410),$B$258=1),$AA$410,HLOOKUP(INDIRECT(ADDRESS(2,COLUMN())),OFFSET($BN$2,0,0,ROW()-1,60),ROW()-1,FALSE))</f>
        <v/>
      </c>
      <c r="AB167" t="str">
        <f ca="1">IF(AND(ISNUMBER($AB$410),$B$258=1),$AB$410,HLOOKUP(INDIRECT(ADDRESS(2,COLUMN())),OFFSET($BN$2,0,0,ROW()-1,60),ROW()-1,FALSE))</f>
        <v/>
      </c>
      <c r="AC167" t="str">
        <f ca="1">IF(AND(ISNUMBER($AC$410),$B$258=1),$AC$410,HLOOKUP(INDIRECT(ADDRESS(2,COLUMN())),OFFSET($BN$2,0,0,ROW()-1,60),ROW()-1,FALSE))</f>
        <v/>
      </c>
      <c r="AD167" t="str">
        <f ca="1">IF(AND(ISNUMBER($AD$410),$B$258=1),$AD$410,HLOOKUP(INDIRECT(ADDRESS(2,COLUMN())),OFFSET($BN$2,0,0,ROW()-1,60),ROW()-1,FALSE))</f>
        <v/>
      </c>
      <c r="AE167" t="str">
        <f ca="1">IF(AND(ISNUMBER($AE$410),$B$258=1),$AE$410,HLOOKUP(INDIRECT(ADDRESS(2,COLUMN())),OFFSET($BN$2,0,0,ROW()-1,60),ROW()-1,FALSE))</f>
        <v/>
      </c>
      <c r="AF167" t="str">
        <f ca="1">IF(AND(ISNUMBER($AF$410),$B$258=1),$AF$410,HLOOKUP(INDIRECT(ADDRESS(2,COLUMN())),OFFSET($BN$2,0,0,ROW()-1,60),ROW()-1,FALSE))</f>
        <v/>
      </c>
      <c r="AG167" t="str">
        <f ca="1">IF(AND(ISNUMBER($AG$410),$B$258=1),$AG$410,HLOOKUP(INDIRECT(ADDRESS(2,COLUMN())),OFFSET($BN$2,0,0,ROW()-1,60),ROW()-1,FALSE))</f>
        <v/>
      </c>
      <c r="AH167" t="str">
        <f ca="1">IF(AND(ISNUMBER($AH$410),$B$258=1),$AH$410,HLOOKUP(INDIRECT(ADDRESS(2,COLUMN())),OFFSET($BN$2,0,0,ROW()-1,60),ROW()-1,FALSE))</f>
        <v/>
      </c>
      <c r="AI167" t="str">
        <f ca="1">IF(AND(ISNUMBER($AI$410),$B$258=1),$AI$410,HLOOKUP(INDIRECT(ADDRESS(2,COLUMN())),OFFSET($BN$2,0,0,ROW()-1,60),ROW()-1,FALSE))</f>
        <v/>
      </c>
      <c r="AJ167" t="str">
        <f ca="1">IF(AND(ISNUMBER($AJ$410),$B$258=1),$AJ$410,HLOOKUP(INDIRECT(ADDRESS(2,COLUMN())),OFFSET($BN$2,0,0,ROW()-1,60),ROW()-1,FALSE))</f>
        <v/>
      </c>
      <c r="AK167" t="str">
        <f ca="1">IF(AND(ISNUMBER($AK$410),$B$258=1),$AK$410,HLOOKUP(INDIRECT(ADDRESS(2,COLUMN())),OFFSET($BN$2,0,0,ROW()-1,60),ROW()-1,FALSE))</f>
        <v/>
      </c>
      <c r="AL167" t="str">
        <f ca="1">IF(AND(ISNUMBER($AL$410),$B$258=1),$AL$410,HLOOKUP(INDIRECT(ADDRESS(2,COLUMN())),OFFSET($BN$2,0,0,ROW()-1,60),ROW()-1,FALSE))</f>
        <v/>
      </c>
      <c r="AM167" t="str">
        <f ca="1">IF(AND(ISNUMBER($AM$410),$B$258=1),$AM$410,HLOOKUP(INDIRECT(ADDRESS(2,COLUMN())),OFFSET($BN$2,0,0,ROW()-1,60),ROW()-1,FALSE))</f>
        <v/>
      </c>
      <c r="AN167" t="str">
        <f ca="1">IF(AND(ISNUMBER($AN$410),$B$258=1),$AN$410,HLOOKUP(INDIRECT(ADDRESS(2,COLUMN())),OFFSET($BN$2,0,0,ROW()-1,60),ROW()-1,FALSE))</f>
        <v/>
      </c>
      <c r="AO167" t="str">
        <f ca="1">IF(AND(ISNUMBER($AO$410),$B$258=1),$AO$410,HLOOKUP(INDIRECT(ADDRESS(2,COLUMN())),OFFSET($BN$2,0,0,ROW()-1,60),ROW()-1,FALSE))</f>
        <v/>
      </c>
      <c r="AP167" t="str">
        <f ca="1">IF(AND(ISNUMBER($AP$410),$B$258=1),$AP$410,HLOOKUP(INDIRECT(ADDRESS(2,COLUMN())),OFFSET($BN$2,0,0,ROW()-1,60),ROW()-1,FALSE))</f>
        <v/>
      </c>
      <c r="AQ167" t="str">
        <f ca="1">IF(AND(ISNUMBER($AQ$410),$B$258=1),$AQ$410,HLOOKUP(INDIRECT(ADDRESS(2,COLUMN())),OFFSET($BN$2,0,0,ROW()-1,60),ROW()-1,FALSE))</f>
        <v/>
      </c>
      <c r="AR167" t="str">
        <f ca="1">IF(AND(ISNUMBER($AR$410),$B$258=1),$AR$410,HLOOKUP(INDIRECT(ADDRESS(2,COLUMN())),OFFSET($BN$2,0,0,ROW()-1,60),ROW()-1,FALSE))</f>
        <v/>
      </c>
      <c r="AS167" t="str">
        <f ca="1">IF(AND(ISNUMBER($AS$410),$B$258=1),$AS$410,HLOOKUP(INDIRECT(ADDRESS(2,COLUMN())),OFFSET($BN$2,0,0,ROW()-1,60),ROW()-1,FALSE))</f>
        <v/>
      </c>
      <c r="AT167" t="str">
        <f ca="1">IF(AND(ISNUMBER($AT$410),$B$258=1),$AT$410,HLOOKUP(INDIRECT(ADDRESS(2,COLUMN())),OFFSET($BN$2,0,0,ROW()-1,60),ROW()-1,FALSE))</f>
        <v/>
      </c>
      <c r="AU167" t="str">
        <f ca="1">IF(AND(ISNUMBER($AU$410),$B$258=1),$AU$410,HLOOKUP(INDIRECT(ADDRESS(2,COLUMN())),OFFSET($BN$2,0,0,ROW()-1,60),ROW()-1,FALSE))</f>
        <v/>
      </c>
      <c r="AV167" t="str">
        <f ca="1">IF(AND(ISNUMBER($AV$410),$B$258=1),$AV$410,HLOOKUP(INDIRECT(ADDRESS(2,COLUMN())),OFFSET($BN$2,0,0,ROW()-1,60),ROW()-1,FALSE))</f>
        <v/>
      </c>
      <c r="AW167" t="str">
        <f ca="1">IF(AND(ISNUMBER($AW$410),$B$258=1),$AW$410,HLOOKUP(INDIRECT(ADDRESS(2,COLUMN())),OFFSET($BN$2,0,0,ROW()-1,60),ROW()-1,FALSE))</f>
        <v/>
      </c>
      <c r="AX167" t="str">
        <f ca="1">IF(AND(ISNUMBER($AX$410),$B$258=1),$AX$410,HLOOKUP(INDIRECT(ADDRESS(2,COLUMN())),OFFSET($BN$2,0,0,ROW()-1,60),ROW()-1,FALSE))</f>
        <v/>
      </c>
      <c r="AY167" t="str">
        <f ca="1">IF(AND(ISNUMBER($AY$410),$B$258=1),$AY$410,HLOOKUP(INDIRECT(ADDRESS(2,COLUMN())),OFFSET($BN$2,0,0,ROW()-1,60),ROW()-1,FALSE))</f>
        <v/>
      </c>
      <c r="AZ167" t="str">
        <f ca="1">IF(AND(ISNUMBER($AZ$410),$B$258=1),$AZ$410,HLOOKUP(INDIRECT(ADDRESS(2,COLUMN())),OFFSET($BN$2,0,0,ROW()-1,60),ROW()-1,FALSE))</f>
        <v/>
      </c>
      <c r="BA167" t="str">
        <f ca="1">IF(AND(ISNUMBER($BA$410),$B$258=1),$BA$410,HLOOKUP(INDIRECT(ADDRESS(2,COLUMN())),OFFSET($BN$2,0,0,ROW()-1,60),ROW()-1,FALSE))</f>
        <v/>
      </c>
      <c r="BB167" t="str">
        <f ca="1">IF(AND(ISNUMBER($BB$410),$B$258=1),$BB$410,HLOOKUP(INDIRECT(ADDRESS(2,COLUMN())),OFFSET($BN$2,0,0,ROW()-1,60),ROW()-1,FALSE))</f>
        <v/>
      </c>
      <c r="BC167" t="str">
        <f ca="1">IF(AND(ISNUMBER($BC$410),$B$258=1),$BC$410,HLOOKUP(INDIRECT(ADDRESS(2,COLUMN())),OFFSET($BN$2,0,0,ROW()-1,60),ROW()-1,FALSE))</f>
        <v/>
      </c>
      <c r="BD167" t="str">
        <f ca="1">IF(AND(ISNUMBER($BD$410),$B$258=1),$BD$410,HLOOKUP(INDIRECT(ADDRESS(2,COLUMN())),OFFSET($BN$2,0,0,ROW()-1,60),ROW()-1,FALSE))</f>
        <v/>
      </c>
      <c r="BE167" t="str">
        <f ca="1">IF(AND(ISNUMBER($BE$410),$B$258=1),$BE$410,HLOOKUP(INDIRECT(ADDRESS(2,COLUMN())),OFFSET($BN$2,0,0,ROW()-1,60),ROW()-1,FALSE))</f>
        <v/>
      </c>
      <c r="BF167" t="str">
        <f ca="1">IF(AND(ISNUMBER($BF$410),$B$258=1),$BF$410,HLOOKUP(INDIRECT(ADDRESS(2,COLUMN())),OFFSET($BN$2,0,0,ROW()-1,60),ROW()-1,FALSE))</f>
        <v/>
      </c>
      <c r="BG167" t="str">
        <f ca="1">IF(AND(ISNUMBER($BG$410),$B$258=1),$BG$410,HLOOKUP(INDIRECT(ADDRESS(2,COLUMN())),OFFSET($BN$2,0,0,ROW()-1,60),ROW()-1,FALSE))</f>
        <v/>
      </c>
      <c r="BH167" t="str">
        <f ca="1">IF(AND(ISNUMBER($BH$410),$B$258=1),$BH$410,HLOOKUP(INDIRECT(ADDRESS(2,COLUMN())),OFFSET($BN$2,0,0,ROW()-1,60),ROW()-1,FALSE))</f>
        <v/>
      </c>
      <c r="BI167" t="str">
        <f ca="1">IF(AND(ISNUMBER($BI$410),$B$258=1),$BI$410,HLOOKUP(INDIRECT(ADDRESS(2,COLUMN())),OFFSET($BN$2,0,0,ROW()-1,60),ROW()-1,FALSE))</f>
        <v/>
      </c>
      <c r="BJ167" t="str">
        <f ca="1">IF(AND(ISNUMBER($BJ$410),$B$258=1),$BJ$410,HLOOKUP(INDIRECT(ADDRESS(2,COLUMN())),OFFSET($BN$2,0,0,ROW()-1,60),ROW()-1,FALSE))</f>
        <v/>
      </c>
      <c r="BK167" t="str">
        <f ca="1">IF(AND(ISNUMBER($BK$410),$B$258=1),$BK$410,HLOOKUP(INDIRECT(ADDRESS(2,COLUMN())),OFFSET($BN$2,0,0,ROW()-1,60),ROW()-1,FALSE))</f>
        <v/>
      </c>
      <c r="BL167" t="str">
        <f ca="1">IF(AND(ISNUMBER($BL$410),$B$258=1),$BL$410,HLOOKUP(INDIRECT(ADDRESS(2,COLUMN())),OFFSET($BN$2,0,0,ROW()-1,60),ROW()-1,FALSE))</f>
        <v/>
      </c>
      <c r="BM167" t="str">
        <f ca="1">IF(AND(ISNUMBER($BM$410),$B$258=1),$BM$410,HLOOKUP(INDIRECT(ADDRESS(2,COLUMN())),OFFSET($BN$2,0,0,ROW()-1,60),ROW()-1,FALSE))</f>
        <v/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  <c r="CI167" t="str">
        <f>""</f>
        <v/>
      </c>
      <c r="CJ167" t="str">
        <f>""</f>
        <v/>
      </c>
      <c r="CK167" t="str">
        <f>""</f>
        <v/>
      </c>
      <c r="CL167" t="str">
        <f>""</f>
        <v/>
      </c>
      <c r="CM167" t="str">
        <f>""</f>
        <v/>
      </c>
      <c r="CN167" t="str">
        <f>""</f>
        <v/>
      </c>
      <c r="CO167" t="str">
        <f>""</f>
        <v/>
      </c>
      <c r="CP167" t="str">
        <f>""</f>
        <v/>
      </c>
      <c r="CQ167" t="str">
        <f>""</f>
        <v/>
      </c>
      <c r="CR167" t="str">
        <f>""</f>
        <v/>
      </c>
      <c r="CS167" t="str">
        <f>""</f>
        <v/>
      </c>
      <c r="CT167" t="str">
        <f>""</f>
        <v/>
      </c>
      <c r="CU167" t="str">
        <f>""</f>
        <v/>
      </c>
      <c r="CV167" t="str">
        <f>""</f>
        <v/>
      </c>
      <c r="CW167" t="str">
        <f>""</f>
        <v/>
      </c>
      <c r="CX167" t="str">
        <f>""</f>
        <v/>
      </c>
      <c r="CY167" t="str">
        <f>""</f>
        <v/>
      </c>
      <c r="CZ167" t="str">
        <f>""</f>
        <v/>
      </c>
      <c r="DA167" t="str">
        <f>""</f>
        <v/>
      </c>
      <c r="DB167" t="str">
        <f>""</f>
        <v/>
      </c>
      <c r="DC167" t="str">
        <f>""</f>
        <v/>
      </c>
      <c r="DD167" t="str">
        <f>""</f>
        <v/>
      </c>
      <c r="DE167" t="str">
        <f>""</f>
        <v/>
      </c>
      <c r="DF167" t="str">
        <f>""</f>
        <v/>
      </c>
      <c r="DG167" t="str">
        <f>""</f>
        <v/>
      </c>
      <c r="DH167" t="str">
        <f>""</f>
        <v/>
      </c>
      <c r="DI167" t="str">
        <f>""</f>
        <v/>
      </c>
      <c r="DJ167" t="str">
        <f>""</f>
        <v/>
      </c>
      <c r="DK167" t="str">
        <f>""</f>
        <v/>
      </c>
      <c r="DL167" t="str">
        <f>""</f>
        <v/>
      </c>
      <c r="DM167" t="str">
        <f>""</f>
        <v/>
      </c>
      <c r="DN167" t="str">
        <f>""</f>
        <v/>
      </c>
      <c r="DO167" t="str">
        <f>""</f>
        <v/>
      </c>
      <c r="DP167" t="str">
        <f>""</f>
        <v/>
      </c>
      <c r="DQ167" t="str">
        <f>""</f>
        <v/>
      </c>
      <c r="DR167" t="str">
        <f>""</f>
        <v/>
      </c>
      <c r="DS167" t="str">
        <f>""</f>
        <v/>
      </c>
      <c r="DT167" t="str">
        <f>""</f>
        <v/>
      </c>
      <c r="DU167" t="str">
        <f>""</f>
        <v/>
      </c>
    </row>
    <row r="168" spans="1:125">
      <c r="A168" t="str">
        <f>"    Senior Housing Properties Trus"</f>
        <v xml:space="preserve">    Senior Housing Properties Trus</v>
      </c>
      <c r="B168" t="str">
        <f>"SNH US Equity"</f>
        <v>SNH US Equity</v>
      </c>
      <c r="C168" t="str">
        <f t="shared" si="39"/>
        <v>RX902</v>
      </c>
      <c r="D168" t="str">
        <f t="shared" si="40"/>
        <v>ANN_NOI_GR_AST_NET_RTL_DEV_CTD_%</v>
      </c>
      <c r="E168" t="str">
        <f t="shared" si="41"/>
        <v>动态</v>
      </c>
      <c r="F168" t="str">
        <f ca="1">IF(AND(ISNUMBER($F$411),$B$258=1),$F$411,HLOOKUP(INDIRECT(ADDRESS(2,COLUMN())),OFFSET($BN$2,0,0,ROW()-1,60),ROW()-1,FALSE))</f>
        <v/>
      </c>
      <c r="G168">
        <f ca="1">IF(AND(ISNUMBER($G$411),$B$258=1),$G$411,HLOOKUP(INDIRECT(ADDRESS(2,COLUMN())),OFFSET($BN$2,0,0,ROW()-1,60),ROW()-1,FALSE))</f>
        <v>7.9419822560000002</v>
      </c>
      <c r="H168">
        <f ca="1">IF(AND(ISNUMBER($H$411),$B$258=1),$H$411,HLOOKUP(INDIRECT(ADDRESS(2,COLUMN())),OFFSET($BN$2,0,0,ROW()-1,60),ROW()-1,FALSE))</f>
        <v>7.4783844720000001</v>
      </c>
      <c r="I168">
        <f ca="1">IF(AND(ISNUMBER($I$411),$B$258=1),$I$411,HLOOKUP(INDIRECT(ADDRESS(2,COLUMN())),OFFSET($BN$2,0,0,ROW()-1,60),ROW()-1,FALSE))</f>
        <v>7.5362584119999996</v>
      </c>
      <c r="J168">
        <f ca="1">IF(AND(ISNUMBER($J$411),$B$258=1),$J$411,HLOOKUP(INDIRECT(ADDRESS(2,COLUMN())),OFFSET($BN$2,0,0,ROW()-1,60),ROW()-1,FALSE))</f>
        <v>7.6074007259999998</v>
      </c>
      <c r="K168">
        <f ca="1">IF(AND(ISNUMBER($K$411),$B$258=1),$K$411,HLOOKUP(INDIRECT(ADDRESS(2,COLUMN())),OFFSET($BN$2,0,0,ROW()-1,60),ROW()-1,FALSE))</f>
        <v>8.1009705150000002</v>
      </c>
      <c r="L168">
        <f ca="1">IF(AND(ISNUMBER($L$411),$B$258=1),$L$411,HLOOKUP(INDIRECT(ADDRESS(2,COLUMN())),OFFSET($BN$2,0,0,ROW()-1,60),ROW()-1,FALSE))</f>
        <v>7.5496811370000003</v>
      </c>
      <c r="M168">
        <f ca="1">IF(AND(ISNUMBER($M$411),$B$258=1),$M$411,HLOOKUP(INDIRECT(ADDRESS(2,COLUMN())),OFFSET($BN$2,0,0,ROW()-1,60),ROW()-1,FALSE))</f>
        <v>7.7109099219999999</v>
      </c>
      <c r="N168">
        <f ca="1">IF(AND(ISNUMBER($N$411),$B$258=1),$N$411,HLOOKUP(INDIRECT(ADDRESS(2,COLUMN())),OFFSET($BN$2,0,0,ROW()-1,60),ROW()-1,FALSE))</f>
        <v>7.6871943539999998</v>
      </c>
      <c r="O168">
        <f ca="1">IF(AND(ISNUMBER($O$411),$B$258=1),$O$411,HLOOKUP(INDIRECT(ADDRESS(2,COLUMN())),OFFSET($BN$2,0,0,ROW()-1,60),ROW()-1,FALSE))</f>
        <v>8.0048341099999991</v>
      </c>
      <c r="P168">
        <f ca="1">IF(AND(ISNUMBER($P$411),$B$258=1),$P$411,HLOOKUP(INDIRECT(ADDRESS(2,COLUMN())),OFFSET($BN$2,0,0,ROW()-1,60),ROW()-1,FALSE))</f>
        <v>7.4918356409999998</v>
      </c>
      <c r="Q168">
        <f ca="1">IF(AND(ISNUMBER($Q$411),$B$258=1),$Q$411,HLOOKUP(INDIRECT(ADDRESS(2,COLUMN())),OFFSET($BN$2,0,0,ROW()-1,60),ROW()-1,FALSE))</f>
        <v>7.3114801790000001</v>
      </c>
      <c r="R168">
        <f ca="1">IF(AND(ISNUMBER($R$411),$B$258=1),$R$411,HLOOKUP(INDIRECT(ADDRESS(2,COLUMN())),OFFSET($BN$2,0,0,ROW()-1,60),ROW()-1,FALSE))</f>
        <v>7.5537188640000004</v>
      </c>
      <c r="S168">
        <f ca="1">IF(AND(ISNUMBER($S$411),$B$258=1),$S$411,HLOOKUP(INDIRECT(ADDRESS(2,COLUMN())),OFFSET($BN$2,0,0,ROW()-1,60),ROW()-1,FALSE))</f>
        <v>8.3867489820000003</v>
      </c>
      <c r="T168">
        <f ca="1">IF(AND(ISNUMBER($T$411),$B$258=1),$T$411,HLOOKUP(INDIRECT(ADDRESS(2,COLUMN())),OFFSET($BN$2,0,0,ROW()-1,60),ROW()-1,FALSE))</f>
        <v>7.7377759780000002</v>
      </c>
      <c r="U168">
        <f ca="1">IF(AND(ISNUMBER($U$411),$B$258=1),$U$411,HLOOKUP(INDIRECT(ADDRESS(2,COLUMN())),OFFSET($BN$2,0,0,ROW()-1,60),ROW()-1,FALSE))</f>
        <v>7.3303073860000003</v>
      </c>
      <c r="V168">
        <f ca="1">IF(AND(ISNUMBER($V$411),$B$258=1),$V$411,HLOOKUP(INDIRECT(ADDRESS(2,COLUMN())),OFFSET($BN$2,0,0,ROW()-1,60),ROW()-1,FALSE))</f>
        <v>8.0466044149999991</v>
      </c>
      <c r="W168">
        <f ca="1">IF(AND(ISNUMBER($W$411),$B$258=1),$W$411,HLOOKUP(INDIRECT(ADDRESS(2,COLUMN())),OFFSET($BN$2,0,0,ROW()-1,60),ROW()-1,FALSE))</f>
        <v>8.8022569560000008</v>
      </c>
      <c r="X168">
        <f ca="1">IF(AND(ISNUMBER($X$411),$B$258=1),$X$411,HLOOKUP(INDIRECT(ADDRESS(2,COLUMN())),OFFSET($BN$2,0,0,ROW()-1,60),ROW()-1,FALSE))</f>
        <v>8.0159641169999993</v>
      </c>
      <c r="Y168">
        <f ca="1">IF(AND(ISNUMBER($Y$411),$B$258=1),$Y$411,HLOOKUP(INDIRECT(ADDRESS(2,COLUMN())),OFFSET($BN$2,0,0,ROW()-1,60),ROW()-1,FALSE))</f>
        <v>8.0897684870000006</v>
      </c>
      <c r="Z168">
        <f ca="1">IF(AND(ISNUMBER($Z$411),$B$258=1),$Z$411,HLOOKUP(INDIRECT(ADDRESS(2,COLUMN())),OFFSET($BN$2,0,0,ROW()-1,60),ROW()-1,FALSE))</f>
        <v>8.2130661600000003</v>
      </c>
      <c r="AA168">
        <f ca="1">IF(AND(ISNUMBER($AA$411),$B$258=1),$AA$411,HLOOKUP(INDIRECT(ADDRESS(2,COLUMN())),OFFSET($BN$2,0,0,ROW()-1,60),ROW()-1,FALSE))</f>
        <v>8.8437031650000009</v>
      </c>
      <c r="AB168">
        <f ca="1">IF(AND(ISNUMBER($AB$411),$B$258=1),$AB$411,HLOOKUP(INDIRECT(ADDRESS(2,COLUMN())),OFFSET($BN$2,0,0,ROW()-1,60),ROW()-1,FALSE))</f>
        <v>8.1485500280000007</v>
      </c>
      <c r="AC168">
        <f ca="1">IF(AND(ISNUMBER($AC$411),$B$258=1),$AC$411,HLOOKUP(INDIRECT(ADDRESS(2,COLUMN())),OFFSET($BN$2,0,0,ROW()-1,60),ROW()-1,FALSE))</f>
        <v>8.1145165269999993</v>
      </c>
      <c r="AD168">
        <f ca="1">IF(AND(ISNUMBER($AD$411),$B$258=1),$AD$411,HLOOKUP(INDIRECT(ADDRESS(2,COLUMN())),OFFSET($BN$2,0,0,ROW()-1,60),ROW()-1,FALSE))</f>
        <v>8.3873045439999991</v>
      </c>
      <c r="AE168">
        <f ca="1">IF(AND(ISNUMBER($AE$411),$B$258=1),$AE$411,HLOOKUP(INDIRECT(ADDRESS(2,COLUMN())),OFFSET($BN$2,0,0,ROW()-1,60),ROW()-1,FALSE))</f>
        <v>8.7386594360000007</v>
      </c>
      <c r="AF168">
        <f ca="1">IF(AND(ISNUMBER($AF$411),$B$258=1),$AF$411,HLOOKUP(INDIRECT(ADDRESS(2,COLUMN())),OFFSET($BN$2,0,0,ROW()-1,60),ROW()-1,FALSE))</f>
        <v>8.1228283979999993</v>
      </c>
      <c r="AG168">
        <f ca="1">IF(AND(ISNUMBER($AG$411),$B$258=1),$AG$411,HLOOKUP(INDIRECT(ADDRESS(2,COLUMN())),OFFSET($BN$2,0,0,ROW()-1,60),ROW()-1,FALSE))</f>
        <v>8.3451044440000004</v>
      </c>
      <c r="AH168">
        <f ca="1">IF(AND(ISNUMBER($AH$411),$B$258=1),$AH$411,HLOOKUP(INDIRECT(ADDRESS(2,COLUMN())),OFFSET($BN$2,0,0,ROW()-1,60),ROW()-1,FALSE))</f>
        <v>8.6221754950000005</v>
      </c>
      <c r="AI168">
        <f ca="1">IF(AND(ISNUMBER($AI$411),$B$258=1),$AI$411,HLOOKUP(INDIRECT(ADDRESS(2,COLUMN())),OFFSET($BN$2,0,0,ROW()-1,60),ROW()-1,FALSE))</f>
        <v>9.2543153710000006</v>
      </c>
      <c r="AJ168" t="str">
        <f ca="1">IF(AND(ISNUMBER($AJ$411),$B$258=1),$AJ$411,HLOOKUP(INDIRECT(ADDRESS(2,COLUMN())),OFFSET($BN$2,0,0,ROW()-1,60),ROW()-1,FALSE))</f>
        <v/>
      </c>
      <c r="AK168" t="str">
        <f ca="1">IF(AND(ISNUMBER($AK$411),$B$258=1),$AK$411,HLOOKUP(INDIRECT(ADDRESS(2,COLUMN())),OFFSET($BN$2,0,0,ROW()-1,60),ROW()-1,FALSE))</f>
        <v/>
      </c>
      <c r="AL168" t="str">
        <f ca="1">IF(AND(ISNUMBER($AL$411),$B$258=1),$AL$411,HLOOKUP(INDIRECT(ADDRESS(2,COLUMN())),OFFSET($BN$2,0,0,ROW()-1,60),ROW()-1,FALSE))</f>
        <v/>
      </c>
      <c r="AM168" t="str">
        <f ca="1">IF(AND(ISNUMBER($AM$411),$B$258=1),$AM$411,HLOOKUP(INDIRECT(ADDRESS(2,COLUMN())),OFFSET($BN$2,0,0,ROW()-1,60),ROW()-1,FALSE))</f>
        <v/>
      </c>
      <c r="AN168" t="str">
        <f ca="1">IF(AND(ISNUMBER($AN$411),$B$258=1),$AN$411,HLOOKUP(INDIRECT(ADDRESS(2,COLUMN())),OFFSET($BN$2,0,0,ROW()-1,60),ROW()-1,FALSE))</f>
        <v/>
      </c>
      <c r="AO168" t="str">
        <f ca="1">IF(AND(ISNUMBER($AO$411),$B$258=1),$AO$411,HLOOKUP(INDIRECT(ADDRESS(2,COLUMN())),OFFSET($BN$2,0,0,ROW()-1,60),ROW()-1,FALSE))</f>
        <v/>
      </c>
      <c r="AP168" t="str">
        <f ca="1">IF(AND(ISNUMBER($AP$411),$B$258=1),$AP$411,HLOOKUP(INDIRECT(ADDRESS(2,COLUMN())),OFFSET($BN$2,0,0,ROW()-1,60),ROW()-1,FALSE))</f>
        <v/>
      </c>
      <c r="AQ168" t="str">
        <f ca="1">IF(AND(ISNUMBER($AQ$411),$B$258=1),$AQ$411,HLOOKUP(INDIRECT(ADDRESS(2,COLUMN())),OFFSET($BN$2,0,0,ROW()-1,60),ROW()-1,FALSE))</f>
        <v/>
      </c>
      <c r="AR168" t="str">
        <f ca="1">IF(AND(ISNUMBER($AR$411),$B$258=1),$AR$411,HLOOKUP(INDIRECT(ADDRESS(2,COLUMN())),OFFSET($BN$2,0,0,ROW()-1,60),ROW()-1,FALSE))</f>
        <v/>
      </c>
      <c r="AS168" t="str">
        <f ca="1">IF(AND(ISNUMBER($AS$411),$B$258=1),$AS$411,HLOOKUP(INDIRECT(ADDRESS(2,COLUMN())),OFFSET($BN$2,0,0,ROW()-1,60),ROW()-1,FALSE))</f>
        <v/>
      </c>
      <c r="AT168" t="str">
        <f ca="1">IF(AND(ISNUMBER($AT$411),$B$258=1),$AT$411,HLOOKUP(INDIRECT(ADDRESS(2,COLUMN())),OFFSET($BN$2,0,0,ROW()-1,60),ROW()-1,FALSE))</f>
        <v/>
      </c>
      <c r="AU168" t="str">
        <f ca="1">IF(AND(ISNUMBER($AU$411),$B$258=1),$AU$411,HLOOKUP(INDIRECT(ADDRESS(2,COLUMN())),OFFSET($BN$2,0,0,ROW()-1,60),ROW()-1,FALSE))</f>
        <v/>
      </c>
      <c r="AV168" t="str">
        <f ca="1">IF(AND(ISNUMBER($AV$411),$B$258=1),$AV$411,HLOOKUP(INDIRECT(ADDRESS(2,COLUMN())),OFFSET($BN$2,0,0,ROW()-1,60),ROW()-1,FALSE))</f>
        <v/>
      </c>
      <c r="AW168" t="str">
        <f ca="1">IF(AND(ISNUMBER($AW$411),$B$258=1),$AW$411,HLOOKUP(INDIRECT(ADDRESS(2,COLUMN())),OFFSET($BN$2,0,0,ROW()-1,60),ROW()-1,FALSE))</f>
        <v/>
      </c>
      <c r="AX168" t="str">
        <f ca="1">IF(AND(ISNUMBER($AX$411),$B$258=1),$AX$411,HLOOKUP(INDIRECT(ADDRESS(2,COLUMN())),OFFSET($BN$2,0,0,ROW()-1,60),ROW()-1,FALSE))</f>
        <v/>
      </c>
      <c r="AY168" t="str">
        <f ca="1">IF(AND(ISNUMBER($AY$411),$B$258=1),$AY$411,HLOOKUP(INDIRECT(ADDRESS(2,COLUMN())),OFFSET($BN$2,0,0,ROW()-1,60),ROW()-1,FALSE))</f>
        <v/>
      </c>
      <c r="AZ168" t="str">
        <f ca="1">IF(AND(ISNUMBER($AZ$411),$B$258=1),$AZ$411,HLOOKUP(INDIRECT(ADDRESS(2,COLUMN())),OFFSET($BN$2,0,0,ROW()-1,60),ROW()-1,FALSE))</f>
        <v/>
      </c>
      <c r="BA168" t="str">
        <f ca="1">IF(AND(ISNUMBER($BA$411),$B$258=1),$BA$411,HLOOKUP(INDIRECT(ADDRESS(2,COLUMN())),OFFSET($BN$2,0,0,ROW()-1,60),ROW()-1,FALSE))</f>
        <v/>
      </c>
      <c r="BB168" t="str">
        <f ca="1">IF(AND(ISNUMBER($BB$411),$B$258=1),$BB$411,HLOOKUP(INDIRECT(ADDRESS(2,COLUMN())),OFFSET($BN$2,0,0,ROW()-1,60),ROW()-1,FALSE))</f>
        <v/>
      </c>
      <c r="BC168" t="str">
        <f ca="1">IF(AND(ISNUMBER($BC$411),$B$258=1),$BC$411,HLOOKUP(INDIRECT(ADDRESS(2,COLUMN())),OFFSET($BN$2,0,0,ROW()-1,60),ROW()-1,FALSE))</f>
        <v/>
      </c>
      <c r="BD168" t="str">
        <f ca="1">IF(AND(ISNUMBER($BD$411),$B$258=1),$BD$411,HLOOKUP(INDIRECT(ADDRESS(2,COLUMN())),OFFSET($BN$2,0,0,ROW()-1,60),ROW()-1,FALSE))</f>
        <v/>
      </c>
      <c r="BE168" t="str">
        <f ca="1">IF(AND(ISNUMBER($BE$411),$B$258=1),$BE$411,HLOOKUP(INDIRECT(ADDRESS(2,COLUMN())),OFFSET($BN$2,0,0,ROW()-1,60),ROW()-1,FALSE))</f>
        <v/>
      </c>
      <c r="BF168" t="str">
        <f ca="1">IF(AND(ISNUMBER($BF$411),$B$258=1),$BF$411,HLOOKUP(INDIRECT(ADDRESS(2,COLUMN())),OFFSET($BN$2,0,0,ROW()-1,60),ROW()-1,FALSE))</f>
        <v/>
      </c>
      <c r="BG168" t="str">
        <f ca="1">IF(AND(ISNUMBER($BG$411),$B$258=1),$BG$411,HLOOKUP(INDIRECT(ADDRESS(2,COLUMN())),OFFSET($BN$2,0,0,ROW()-1,60),ROW()-1,FALSE))</f>
        <v/>
      </c>
      <c r="BH168" t="str">
        <f ca="1">IF(AND(ISNUMBER($BH$411),$B$258=1),$BH$411,HLOOKUP(INDIRECT(ADDRESS(2,COLUMN())),OFFSET($BN$2,0,0,ROW()-1,60),ROW()-1,FALSE))</f>
        <v/>
      </c>
      <c r="BI168" t="str">
        <f ca="1">IF(AND(ISNUMBER($BI$411),$B$258=1),$BI$411,HLOOKUP(INDIRECT(ADDRESS(2,COLUMN())),OFFSET($BN$2,0,0,ROW()-1,60),ROW()-1,FALSE))</f>
        <v/>
      </c>
      <c r="BJ168" t="str">
        <f ca="1">IF(AND(ISNUMBER($BJ$411),$B$258=1),$BJ$411,HLOOKUP(INDIRECT(ADDRESS(2,COLUMN())),OFFSET($BN$2,0,0,ROW()-1,60),ROW()-1,FALSE))</f>
        <v/>
      </c>
      <c r="BK168" t="str">
        <f ca="1">IF(AND(ISNUMBER($BK$411),$B$258=1),$BK$411,HLOOKUP(INDIRECT(ADDRESS(2,COLUMN())),OFFSET($BN$2,0,0,ROW()-1,60),ROW()-1,FALSE))</f>
        <v/>
      </c>
      <c r="BL168" t="str">
        <f ca="1">IF(AND(ISNUMBER($BL$411),$B$258=1),$BL$411,HLOOKUP(INDIRECT(ADDRESS(2,COLUMN())),OFFSET($BN$2,0,0,ROW()-1,60),ROW()-1,FALSE))</f>
        <v/>
      </c>
      <c r="BM168" t="str">
        <f ca="1">IF(AND(ISNUMBER($BM$411),$B$258=1),$BM$411,HLOOKUP(INDIRECT(ADDRESS(2,COLUMN())),OFFSET($BN$2,0,0,ROW()-1,60),ROW()-1,FALSE))</f>
        <v/>
      </c>
      <c r="BN168" t="str">
        <f>""</f>
        <v/>
      </c>
      <c r="BO168">
        <f>7.941982256</f>
        <v>7.9419822560000002</v>
      </c>
      <c r="BP168">
        <f>7.478384472</f>
        <v>7.4783844720000001</v>
      </c>
      <c r="BQ168">
        <f>7.536258412</f>
        <v>7.5362584119999996</v>
      </c>
      <c r="BR168">
        <f>7.607400726</f>
        <v>7.6074007259999998</v>
      </c>
      <c r="BS168">
        <f>8.100970515</f>
        <v>8.1009705150000002</v>
      </c>
      <c r="BT168">
        <f>7.549681137</f>
        <v>7.5496811370000003</v>
      </c>
      <c r="BU168">
        <f>7.710909922</f>
        <v>7.7109099219999999</v>
      </c>
      <c r="BV168">
        <f>7.687194354</f>
        <v>7.6871943539999998</v>
      </c>
      <c r="BW168">
        <f>8.00483411</f>
        <v>8.0048341099999991</v>
      </c>
      <c r="BX168">
        <f>7.491835641</f>
        <v>7.4918356409999998</v>
      </c>
      <c r="BY168">
        <f>7.311480179</f>
        <v>7.3114801790000001</v>
      </c>
      <c r="BZ168">
        <f>7.553718864</f>
        <v>7.5537188640000004</v>
      </c>
      <c r="CA168">
        <f>8.386748982</f>
        <v>8.3867489820000003</v>
      </c>
      <c r="CB168">
        <f>7.737775978</f>
        <v>7.7377759780000002</v>
      </c>
      <c r="CC168">
        <f>7.330307386</f>
        <v>7.3303073860000003</v>
      </c>
      <c r="CD168">
        <f>8.046604415</f>
        <v>8.0466044149999991</v>
      </c>
      <c r="CE168">
        <f>8.802256956</f>
        <v>8.8022569560000008</v>
      </c>
      <c r="CF168">
        <f>8.015964117</f>
        <v>8.0159641169999993</v>
      </c>
      <c r="CG168">
        <f>8.089768487</f>
        <v>8.0897684870000006</v>
      </c>
      <c r="CH168">
        <f>8.21306616</f>
        <v>8.2130661600000003</v>
      </c>
      <c r="CI168">
        <f>8.843703165</f>
        <v>8.8437031650000009</v>
      </c>
      <c r="CJ168">
        <f>8.148550028</f>
        <v>8.1485500280000007</v>
      </c>
      <c r="CK168">
        <f>8.114516527</f>
        <v>8.1145165269999993</v>
      </c>
      <c r="CL168">
        <f>8.387304544</f>
        <v>8.3873045439999991</v>
      </c>
      <c r="CM168">
        <f>8.738659436</f>
        <v>8.7386594360000007</v>
      </c>
      <c r="CN168">
        <f>8.122828398</f>
        <v>8.1228283979999993</v>
      </c>
      <c r="CO168">
        <f>8.345104444</f>
        <v>8.3451044440000004</v>
      </c>
      <c r="CP168">
        <f>8.622175495</f>
        <v>8.6221754950000005</v>
      </c>
      <c r="CQ168">
        <f>9.254315371</f>
        <v>9.2543153710000006</v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>
      <c r="A169" t="str">
        <f>"    Ventas Inc"</f>
        <v xml:space="preserve">    Ventas Inc</v>
      </c>
      <c r="B169" t="str">
        <f>"VTR US Equity"</f>
        <v>VTR US Equity</v>
      </c>
      <c r="C169" t="str">
        <f t="shared" si="39"/>
        <v>RX902</v>
      </c>
      <c r="D169" t="str">
        <f t="shared" si="40"/>
        <v>ANN_NOI_GR_AST_NET_RTL_DEV_CTD_%</v>
      </c>
      <c r="E169" t="str">
        <f t="shared" si="41"/>
        <v>动态</v>
      </c>
      <c r="F169" t="str">
        <f ca="1">IF(AND(ISNUMBER($F$412),$B$258=1),$F$412,HLOOKUP(INDIRECT(ADDRESS(2,COLUMN())),OFFSET($BN$2,0,0,ROW()-1,60),ROW()-1,FALSE))</f>
        <v/>
      </c>
      <c r="G169">
        <f ca="1">IF(AND(ISNUMBER($G$412),$B$258=1),$G$412,HLOOKUP(INDIRECT(ADDRESS(2,COLUMN())),OFFSET($BN$2,0,0,ROW()-1,60),ROW()-1,FALSE))</f>
        <v>6.9846761089999996</v>
      </c>
      <c r="H169">
        <f ca="1">IF(AND(ISNUMBER($H$412),$B$258=1),$H$412,HLOOKUP(INDIRECT(ADDRESS(2,COLUMN())),OFFSET($BN$2,0,0,ROW()-1,60),ROW()-1,FALSE))</f>
        <v>7.1724389259999999</v>
      </c>
      <c r="I169">
        <f ca="1">IF(AND(ISNUMBER($I$412),$B$258=1),$I$412,HLOOKUP(INDIRECT(ADDRESS(2,COLUMN())),OFFSET($BN$2,0,0,ROW()-1,60),ROW()-1,FALSE))</f>
        <v>7.2760942059999998</v>
      </c>
      <c r="J169">
        <f ca="1">IF(AND(ISNUMBER($J$412),$B$258=1),$J$412,HLOOKUP(INDIRECT(ADDRESS(2,COLUMN())),OFFSET($BN$2,0,0,ROW()-1,60),ROW()-1,FALSE))</f>
        <v>7.0687777130000002</v>
      </c>
      <c r="K169">
        <f ca="1">IF(AND(ISNUMBER($K$412),$B$258=1),$K$412,HLOOKUP(INDIRECT(ADDRESS(2,COLUMN())),OFFSET($BN$2,0,0,ROW()-1,60),ROW()-1,FALSE))</f>
        <v>7.2476016190000001</v>
      </c>
      <c r="L169">
        <f ca="1">IF(AND(ISNUMBER($L$412),$B$258=1),$L$412,HLOOKUP(INDIRECT(ADDRESS(2,COLUMN())),OFFSET($BN$2,0,0,ROW()-1,60),ROW()-1,FALSE))</f>
        <v>7.1603797140000003</v>
      </c>
      <c r="M169">
        <f ca="1">IF(AND(ISNUMBER($M$412),$B$258=1),$M$412,HLOOKUP(INDIRECT(ADDRESS(2,COLUMN())),OFFSET($BN$2,0,0,ROW()-1,60),ROW()-1,FALSE))</f>
        <v>7.4208215690000001</v>
      </c>
      <c r="N169">
        <f ca="1">IF(AND(ISNUMBER($N$412),$B$258=1),$N$412,HLOOKUP(INDIRECT(ADDRESS(2,COLUMN())),OFFSET($BN$2,0,0,ROW()-1,60),ROW()-1,FALSE))</f>
        <v>7.3862973829999996</v>
      </c>
      <c r="O169">
        <f ca="1">IF(AND(ISNUMBER($O$412),$B$258=1),$O$412,HLOOKUP(INDIRECT(ADDRESS(2,COLUMN())),OFFSET($BN$2,0,0,ROW()-1,60),ROW()-1,FALSE))</f>
        <v>7.279204719</v>
      </c>
      <c r="P169">
        <f ca="1">IF(AND(ISNUMBER($P$412),$B$258=1),$P$412,HLOOKUP(INDIRECT(ADDRESS(2,COLUMN())),OFFSET($BN$2,0,0,ROW()-1,60),ROW()-1,FALSE))</f>
        <v>7.7989838420000002</v>
      </c>
      <c r="Q169">
        <f ca="1">IF(AND(ISNUMBER($Q$412),$B$258=1),$Q$412,HLOOKUP(INDIRECT(ADDRESS(2,COLUMN())),OFFSET($BN$2,0,0,ROW()-1,60),ROW()-1,FALSE))</f>
        <v>6.4566535529999998</v>
      </c>
      <c r="R169">
        <f ca="1">IF(AND(ISNUMBER($R$412),$B$258=1),$R$412,HLOOKUP(INDIRECT(ADDRESS(2,COLUMN())),OFFSET($BN$2,0,0,ROW()-1,60),ROW()-1,FALSE))</f>
        <v>6.387916014</v>
      </c>
      <c r="S169">
        <f ca="1">IF(AND(ISNUMBER($S$412),$B$258=1),$S$412,HLOOKUP(INDIRECT(ADDRESS(2,COLUMN())),OFFSET($BN$2,0,0,ROW()-1,60),ROW()-1,FALSE))</f>
        <v>6.6489158689999996</v>
      </c>
      <c r="T169">
        <f ca="1">IF(AND(ISNUMBER($T$412),$B$258=1),$T$412,HLOOKUP(INDIRECT(ADDRESS(2,COLUMN())),OFFSET($BN$2,0,0,ROW()-1,60),ROW()-1,FALSE))</f>
        <v>6.6029637069999998</v>
      </c>
      <c r="U169">
        <f ca="1">IF(AND(ISNUMBER($U$412),$B$258=1),$U$412,HLOOKUP(INDIRECT(ADDRESS(2,COLUMN())),OFFSET($BN$2,0,0,ROW()-1,60),ROW()-1,FALSE))</f>
        <v>7.8589146249999997</v>
      </c>
      <c r="V169">
        <f ca="1">IF(AND(ISNUMBER($V$412),$B$258=1),$V$412,HLOOKUP(INDIRECT(ADDRESS(2,COLUMN())),OFFSET($BN$2,0,0,ROW()-1,60),ROW()-1,FALSE))</f>
        <v>7.7555977020000002</v>
      </c>
      <c r="W169">
        <f ca="1">IF(AND(ISNUMBER($W$412),$B$258=1),$W$412,HLOOKUP(INDIRECT(ADDRESS(2,COLUMN())),OFFSET($BN$2,0,0,ROW()-1,60),ROW()-1,FALSE))</f>
        <v>7.6605303669999998</v>
      </c>
      <c r="X169">
        <f ca="1">IF(AND(ISNUMBER($X$412),$B$258=1),$X$412,HLOOKUP(INDIRECT(ADDRESS(2,COLUMN())),OFFSET($BN$2,0,0,ROW()-1,60),ROW()-1,FALSE))</f>
        <v>7.3738155489999997</v>
      </c>
      <c r="Y169">
        <f ca="1">IF(AND(ISNUMBER($Y$412),$B$258=1),$Y$412,HLOOKUP(INDIRECT(ADDRESS(2,COLUMN())),OFFSET($BN$2,0,0,ROW()-1,60),ROW()-1,FALSE))</f>
        <v>7.5716358460000004</v>
      </c>
      <c r="Z169">
        <f ca="1">IF(AND(ISNUMBER($Z$412),$B$258=1),$Z$412,HLOOKUP(INDIRECT(ADDRESS(2,COLUMN())),OFFSET($BN$2,0,0,ROW()-1,60),ROW()-1,FALSE))</f>
        <v>7.6807291720000004</v>
      </c>
      <c r="AA169">
        <f ca="1">IF(AND(ISNUMBER($AA$412),$B$258=1),$AA$412,HLOOKUP(INDIRECT(ADDRESS(2,COLUMN())),OFFSET($BN$2,0,0,ROW()-1,60),ROW()-1,FALSE))</f>
        <v>7.190555228</v>
      </c>
      <c r="AB169">
        <f ca="1">IF(AND(ISNUMBER($AB$412),$B$258=1),$AB$412,HLOOKUP(INDIRECT(ADDRESS(2,COLUMN())),OFFSET($BN$2,0,0,ROW()-1,60),ROW()-1,FALSE))</f>
        <v>7.3609084300000003</v>
      </c>
      <c r="AC169">
        <f ca="1">IF(AND(ISNUMBER($AC$412),$B$258=1),$AC$412,HLOOKUP(INDIRECT(ADDRESS(2,COLUMN())),OFFSET($BN$2,0,0,ROW()-1,60),ROW()-1,FALSE))</f>
        <v>7.2546087210000003</v>
      </c>
      <c r="AD169">
        <f ca="1">IF(AND(ISNUMBER($AD$412),$B$258=1),$AD$412,HLOOKUP(INDIRECT(ADDRESS(2,COLUMN())),OFFSET($BN$2,0,0,ROW()-1,60),ROW()-1,FALSE))</f>
        <v>7.213177323</v>
      </c>
      <c r="AE169">
        <f ca="1">IF(AND(ISNUMBER($AE$412),$B$258=1),$AE$412,HLOOKUP(INDIRECT(ADDRESS(2,COLUMN())),OFFSET($BN$2,0,0,ROW()-1,60),ROW()-1,FALSE))</f>
        <v>7.2210977029999999</v>
      </c>
      <c r="AF169">
        <f ca="1">IF(AND(ISNUMBER($AF$412),$B$258=1),$AF$412,HLOOKUP(INDIRECT(ADDRESS(2,COLUMN())),OFFSET($BN$2,0,0,ROW()-1,60),ROW()-1,FALSE))</f>
        <v>7.1963454240000004</v>
      </c>
      <c r="AG169">
        <f ca="1">IF(AND(ISNUMBER($AG$412),$B$258=1),$AG$412,HLOOKUP(INDIRECT(ADDRESS(2,COLUMN())),OFFSET($BN$2,0,0,ROW()-1,60),ROW()-1,FALSE))</f>
        <v>7.5335259629999998</v>
      </c>
      <c r="AH169">
        <f ca="1">IF(AND(ISNUMBER($AH$412),$B$258=1),$AH$412,HLOOKUP(INDIRECT(ADDRESS(2,COLUMN())),OFFSET($BN$2,0,0,ROW()-1,60),ROW()-1,FALSE))</f>
        <v>9.7589830929999994</v>
      </c>
      <c r="AI169">
        <f ca="1">IF(AND(ISNUMBER($AI$412),$B$258=1),$AI$412,HLOOKUP(INDIRECT(ADDRESS(2,COLUMN())),OFFSET($BN$2,0,0,ROW()-1,60),ROW()-1,FALSE))</f>
        <v>10.02651324</v>
      </c>
      <c r="AJ169">
        <f ca="1">IF(AND(ISNUMBER($AJ$412),$B$258=1),$AJ$412,HLOOKUP(INDIRECT(ADDRESS(2,COLUMN())),OFFSET($BN$2,0,0,ROW()-1,60),ROW()-1,FALSE))</f>
        <v>9.8645447100000005</v>
      </c>
      <c r="AK169">
        <f ca="1">IF(AND(ISNUMBER($AK$412),$B$258=1),$AK$412,HLOOKUP(INDIRECT(ADDRESS(2,COLUMN())),OFFSET($BN$2,0,0,ROW()-1,60),ROW()-1,FALSE))</f>
        <v>9.9768341370000009</v>
      </c>
      <c r="AL169">
        <f ca="1">IF(AND(ISNUMBER($AL$412),$B$258=1),$AL$412,HLOOKUP(INDIRECT(ADDRESS(2,COLUMN())),OFFSET($BN$2,0,0,ROW()-1,60),ROW()-1,FALSE))</f>
        <v>9.4311477840000002</v>
      </c>
      <c r="AM169">
        <f ca="1">IF(AND(ISNUMBER($AM$412),$B$258=1),$AM$412,HLOOKUP(INDIRECT(ADDRESS(2,COLUMN())),OFFSET($BN$2,0,0,ROW()-1,60),ROW()-1,FALSE))</f>
        <v>9.2414223129999993</v>
      </c>
      <c r="AN169">
        <f ca="1">IF(AND(ISNUMBER($AN$412),$B$258=1),$AN$412,HLOOKUP(INDIRECT(ADDRESS(2,COLUMN())),OFFSET($BN$2,0,0,ROW()-1,60),ROW()-1,FALSE))</f>
        <v>9.4253261849999994</v>
      </c>
      <c r="AO169">
        <f ca="1">IF(AND(ISNUMBER($AO$412),$B$258=1),$AO$412,HLOOKUP(INDIRECT(ADDRESS(2,COLUMN())),OFFSET($BN$2,0,0,ROW()-1,60),ROW()-1,FALSE))</f>
        <v>9.5562034820000008</v>
      </c>
      <c r="AP169">
        <f ca="1">IF(AND(ISNUMBER($AP$412),$B$258=1),$AP$412,HLOOKUP(INDIRECT(ADDRESS(2,COLUMN())),OFFSET($BN$2,0,0,ROW()-1,60),ROW()-1,FALSE))</f>
        <v>9.3875797209999998</v>
      </c>
      <c r="AQ169">
        <f ca="1">IF(AND(ISNUMBER($AQ$412),$B$258=1),$AQ$412,HLOOKUP(INDIRECT(ADDRESS(2,COLUMN())),OFFSET($BN$2,0,0,ROW()-1,60),ROW()-1,FALSE))</f>
        <v>9.1793755659999992</v>
      </c>
      <c r="AR169">
        <f ca="1">IF(AND(ISNUMBER($AR$412),$B$258=1),$AR$412,HLOOKUP(INDIRECT(ADDRESS(2,COLUMN())),OFFSET($BN$2,0,0,ROW()-1,60),ROW()-1,FALSE))</f>
        <v>8.9566475150000002</v>
      </c>
      <c r="AS169">
        <f ca="1">IF(AND(ISNUMBER($AS$412),$B$258=1),$AS$412,HLOOKUP(INDIRECT(ADDRESS(2,COLUMN())),OFFSET($BN$2,0,0,ROW()-1,60),ROW()-1,FALSE))</f>
        <v>9.445798967</v>
      </c>
      <c r="AT169">
        <f ca="1">IF(AND(ISNUMBER($AT$412),$B$258=1),$AT$412,HLOOKUP(INDIRECT(ADDRESS(2,COLUMN())),OFFSET($BN$2,0,0,ROW()-1,60),ROW()-1,FALSE))</f>
        <v>9.2760709499999994</v>
      </c>
      <c r="AU169">
        <f ca="1">IF(AND(ISNUMBER($AU$412),$B$258=1),$AU$412,HLOOKUP(INDIRECT(ADDRESS(2,COLUMN())),OFFSET($BN$2,0,0,ROW()-1,60),ROW()-1,FALSE))</f>
        <v>8.7682497109999993</v>
      </c>
      <c r="AV169">
        <f ca="1">IF(AND(ISNUMBER($AV$412),$B$258=1),$AV$412,HLOOKUP(INDIRECT(ADDRESS(2,COLUMN())),OFFSET($BN$2,0,0,ROW()-1,60),ROW()-1,FALSE))</f>
        <v>9.4223037089999995</v>
      </c>
      <c r="AW169">
        <f ca="1">IF(AND(ISNUMBER($AW$412),$B$258=1),$AW$412,HLOOKUP(INDIRECT(ADDRESS(2,COLUMN())),OFFSET($BN$2,0,0,ROW()-1,60),ROW()-1,FALSE))</f>
        <v>8.8218166619999998</v>
      </c>
      <c r="AX169">
        <f ca="1">IF(AND(ISNUMBER($AX$412),$B$258=1),$AX$412,HLOOKUP(INDIRECT(ADDRESS(2,COLUMN())),OFFSET($BN$2,0,0,ROW()-1,60),ROW()-1,FALSE))</f>
        <v>11.685306949999999</v>
      </c>
      <c r="AY169">
        <f ca="1">IF(AND(ISNUMBER($AY$412),$B$258=1),$AY$412,HLOOKUP(INDIRECT(ADDRESS(2,COLUMN())),OFFSET($BN$2,0,0,ROW()-1,60),ROW()-1,FALSE))</f>
        <v>11.74236926</v>
      </c>
      <c r="AZ169">
        <f ca="1">IF(AND(ISNUMBER($AZ$412),$B$258=1),$AZ$412,HLOOKUP(INDIRECT(ADDRESS(2,COLUMN())),OFFSET($BN$2,0,0,ROW()-1,60),ROW()-1,FALSE))</f>
        <v>12.320882129999999</v>
      </c>
      <c r="BA169">
        <f ca="1">IF(AND(ISNUMBER($BA$412),$B$258=1),$BA$412,HLOOKUP(INDIRECT(ADDRESS(2,COLUMN())),OFFSET($BN$2,0,0,ROW()-1,60),ROW()-1,FALSE))</f>
        <v>11.74494174</v>
      </c>
      <c r="BB169">
        <f ca="1">IF(AND(ISNUMBER($BB$412),$B$258=1),$BB$412,HLOOKUP(INDIRECT(ADDRESS(2,COLUMN())),OFFSET($BN$2,0,0,ROW()-1,60),ROW()-1,FALSE))</f>
        <v>11.869355759999999</v>
      </c>
      <c r="BC169" t="str">
        <f ca="1">IF(AND(ISNUMBER($BC$412),$B$258=1),$BC$412,HLOOKUP(INDIRECT(ADDRESS(2,COLUMN())),OFFSET($BN$2,0,0,ROW()-1,60),ROW()-1,FALSE))</f>
        <v/>
      </c>
      <c r="BD169" t="str">
        <f ca="1">IF(AND(ISNUMBER($BD$412),$B$258=1),$BD$412,HLOOKUP(INDIRECT(ADDRESS(2,COLUMN())),OFFSET($BN$2,0,0,ROW()-1,60),ROW()-1,FALSE))</f>
        <v/>
      </c>
      <c r="BE169" t="str">
        <f ca="1">IF(AND(ISNUMBER($BE$412),$B$258=1),$BE$412,HLOOKUP(INDIRECT(ADDRESS(2,COLUMN())),OFFSET($BN$2,0,0,ROW()-1,60),ROW()-1,FALSE))</f>
        <v/>
      </c>
      <c r="BF169" t="str">
        <f ca="1">IF(AND(ISNUMBER($BF$412),$B$258=1),$BF$412,HLOOKUP(INDIRECT(ADDRESS(2,COLUMN())),OFFSET($BN$2,0,0,ROW()-1,60),ROW()-1,FALSE))</f>
        <v/>
      </c>
      <c r="BG169" t="str">
        <f ca="1">IF(AND(ISNUMBER($BG$412),$B$258=1),$BG$412,HLOOKUP(INDIRECT(ADDRESS(2,COLUMN())),OFFSET($BN$2,0,0,ROW()-1,60),ROW()-1,FALSE))</f>
        <v/>
      </c>
      <c r="BH169" t="str">
        <f ca="1">IF(AND(ISNUMBER($BH$412),$B$258=1),$BH$412,HLOOKUP(INDIRECT(ADDRESS(2,COLUMN())),OFFSET($BN$2,0,0,ROW()-1,60),ROW()-1,FALSE))</f>
        <v/>
      </c>
      <c r="BI169" t="str">
        <f ca="1">IF(AND(ISNUMBER($BI$412),$B$258=1),$BI$412,HLOOKUP(INDIRECT(ADDRESS(2,COLUMN())),OFFSET($BN$2,0,0,ROW()-1,60),ROW()-1,FALSE))</f>
        <v/>
      </c>
      <c r="BJ169" t="str">
        <f ca="1">IF(AND(ISNUMBER($BJ$412),$B$258=1),$BJ$412,HLOOKUP(INDIRECT(ADDRESS(2,COLUMN())),OFFSET($BN$2,0,0,ROW()-1,60),ROW()-1,FALSE))</f>
        <v/>
      </c>
      <c r="BK169" t="str">
        <f ca="1">IF(AND(ISNUMBER($BK$412),$B$258=1),$BK$412,HLOOKUP(INDIRECT(ADDRESS(2,COLUMN())),OFFSET($BN$2,0,0,ROW()-1,60),ROW()-1,FALSE))</f>
        <v/>
      </c>
      <c r="BL169" t="str">
        <f ca="1">IF(AND(ISNUMBER($BL$412),$B$258=1),$BL$412,HLOOKUP(INDIRECT(ADDRESS(2,COLUMN())),OFFSET($BN$2,0,0,ROW()-1,60),ROW()-1,FALSE))</f>
        <v/>
      </c>
      <c r="BM169" t="str">
        <f ca="1">IF(AND(ISNUMBER($BM$412),$B$258=1),$BM$412,HLOOKUP(INDIRECT(ADDRESS(2,COLUMN())),OFFSET($BN$2,0,0,ROW()-1,60),ROW()-1,FALSE))</f>
        <v/>
      </c>
      <c r="BN169" t="str">
        <f>""</f>
        <v/>
      </c>
      <c r="BO169">
        <f>6.984676109</f>
        <v>6.9846761089999996</v>
      </c>
      <c r="BP169">
        <f>7.172438926</f>
        <v>7.1724389259999999</v>
      </c>
      <c r="BQ169">
        <f>7.276094206</f>
        <v>7.2760942059999998</v>
      </c>
      <c r="BR169">
        <f>7.068777713</f>
        <v>7.0687777130000002</v>
      </c>
      <c r="BS169">
        <f>7.247601619</f>
        <v>7.2476016190000001</v>
      </c>
      <c r="BT169">
        <f>7.160379714</f>
        <v>7.1603797140000003</v>
      </c>
      <c r="BU169">
        <f>7.420821569</f>
        <v>7.4208215690000001</v>
      </c>
      <c r="BV169">
        <f>7.386297383</f>
        <v>7.3862973829999996</v>
      </c>
      <c r="BW169">
        <f>7.279204719</f>
        <v>7.279204719</v>
      </c>
      <c r="BX169">
        <f>7.798983842</f>
        <v>7.7989838420000002</v>
      </c>
      <c r="BY169">
        <f>6.456653553</f>
        <v>6.4566535529999998</v>
      </c>
      <c r="BZ169">
        <f>6.387916014</f>
        <v>6.387916014</v>
      </c>
      <c r="CA169">
        <f>6.648915869</f>
        <v>6.6489158689999996</v>
      </c>
      <c r="CB169">
        <f>6.602963707</f>
        <v>6.6029637069999998</v>
      </c>
      <c r="CC169">
        <f>7.858914625</f>
        <v>7.8589146249999997</v>
      </c>
      <c r="CD169">
        <f>7.755597702</f>
        <v>7.7555977020000002</v>
      </c>
      <c r="CE169">
        <f>7.660530367</f>
        <v>7.6605303669999998</v>
      </c>
      <c r="CF169">
        <f>7.373815549</f>
        <v>7.3738155489999997</v>
      </c>
      <c r="CG169">
        <f>7.571635846</f>
        <v>7.5716358460000004</v>
      </c>
      <c r="CH169">
        <f>7.680729172</f>
        <v>7.6807291720000004</v>
      </c>
      <c r="CI169">
        <f>7.190555228</f>
        <v>7.190555228</v>
      </c>
      <c r="CJ169">
        <f>7.36090843</f>
        <v>7.3609084300000003</v>
      </c>
      <c r="CK169">
        <f>7.254608721</f>
        <v>7.2546087210000003</v>
      </c>
      <c r="CL169">
        <f>7.213177323</f>
        <v>7.213177323</v>
      </c>
      <c r="CM169">
        <f>7.221097703</f>
        <v>7.2210977029999999</v>
      </c>
      <c r="CN169">
        <f>7.196345424</f>
        <v>7.1963454240000004</v>
      </c>
      <c r="CO169">
        <f>7.533525963</f>
        <v>7.5335259629999998</v>
      </c>
      <c r="CP169">
        <f>9.758983093</f>
        <v>9.7589830929999994</v>
      </c>
      <c r="CQ169">
        <f>10.02651324</f>
        <v>10.02651324</v>
      </c>
      <c r="CR169">
        <f>9.86454471</f>
        <v>9.8645447100000005</v>
      </c>
      <c r="CS169">
        <f>9.976834137</f>
        <v>9.9768341370000009</v>
      </c>
      <c r="CT169">
        <f>9.431147784</f>
        <v>9.4311477840000002</v>
      </c>
      <c r="CU169">
        <f>9.241422313</f>
        <v>9.2414223129999993</v>
      </c>
      <c r="CV169">
        <f>9.425326185</f>
        <v>9.4253261849999994</v>
      </c>
      <c r="CW169">
        <f>9.556203482</f>
        <v>9.5562034820000008</v>
      </c>
      <c r="CX169">
        <f>9.387579721</f>
        <v>9.3875797209999998</v>
      </c>
      <c r="CY169">
        <f>9.179375566</f>
        <v>9.1793755659999992</v>
      </c>
      <c r="CZ169">
        <f>8.956647515</f>
        <v>8.9566475150000002</v>
      </c>
      <c r="DA169">
        <f>9.445798967</f>
        <v>9.445798967</v>
      </c>
      <c r="DB169">
        <f>9.27607095</f>
        <v>9.2760709499999994</v>
      </c>
      <c r="DC169">
        <f>8.768249711</f>
        <v>8.7682497109999993</v>
      </c>
      <c r="DD169">
        <f>9.422303709</f>
        <v>9.4223037089999995</v>
      </c>
      <c r="DE169">
        <f>8.821816662</f>
        <v>8.8218166619999998</v>
      </c>
      <c r="DF169">
        <f>11.68530695</f>
        <v>11.685306949999999</v>
      </c>
      <c r="DG169">
        <f>11.74236926</f>
        <v>11.74236926</v>
      </c>
      <c r="DH169">
        <f>12.32088213</f>
        <v>12.320882129999999</v>
      </c>
      <c r="DI169">
        <f>11.74494174</f>
        <v>11.74494174</v>
      </c>
      <c r="DJ169">
        <f>11.86935576</f>
        <v>11.869355759999999</v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>
      <c r="A170" t="str">
        <f>"    Welltower Inc"</f>
        <v xml:space="preserve">    Welltower Inc</v>
      </c>
      <c r="B170" t="str">
        <f>"HCN US Equity"</f>
        <v>HCN US Equity</v>
      </c>
      <c r="C170" t="str">
        <f t="shared" si="39"/>
        <v>RX902</v>
      </c>
      <c r="D170" t="str">
        <f t="shared" si="40"/>
        <v>ANN_NOI_GR_AST_NET_RTL_DEV_CTD_%</v>
      </c>
      <c r="E170" t="str">
        <f t="shared" si="41"/>
        <v>动态</v>
      </c>
      <c r="F170" t="str">
        <f ca="1">IF(AND(ISNUMBER($F$413),$B$258=1),$F$413,HLOOKUP(INDIRECT(ADDRESS(2,COLUMN())),OFFSET($BN$2,0,0,ROW()-1,60),ROW()-1,FALSE))</f>
        <v/>
      </c>
      <c r="G170">
        <f ca="1">IF(AND(ISNUMBER($G$413),$B$258=1),$G$413,HLOOKUP(INDIRECT(ADDRESS(2,COLUMN())),OFFSET($BN$2,0,0,ROW()-1,60),ROW()-1,FALSE))</f>
        <v>6.6880406700000004</v>
      </c>
      <c r="H170">
        <f ca="1">IF(AND(ISNUMBER($H$413),$B$258=1),$H$413,HLOOKUP(INDIRECT(ADDRESS(2,COLUMN())),OFFSET($BN$2,0,0,ROW()-1,60),ROW()-1,FALSE))</f>
        <v>6.8772016870000003</v>
      </c>
      <c r="I170">
        <f ca="1">IF(AND(ISNUMBER($I$413),$B$258=1),$I$413,HLOOKUP(INDIRECT(ADDRESS(2,COLUMN())),OFFSET($BN$2,0,0,ROW()-1,60),ROW()-1,FALSE))</f>
        <v>6.8429655990000002</v>
      </c>
      <c r="J170">
        <f ca="1">IF(AND(ISNUMBER($J$413),$B$258=1),$J$413,HLOOKUP(INDIRECT(ADDRESS(2,COLUMN())),OFFSET($BN$2,0,0,ROW()-1,60),ROW()-1,FALSE))</f>
        <v>6.8015521689999998</v>
      </c>
      <c r="K170">
        <f ca="1">IF(AND(ISNUMBER($K$413),$B$258=1),$K$413,HLOOKUP(INDIRECT(ADDRESS(2,COLUMN())),OFFSET($BN$2,0,0,ROW()-1,60),ROW()-1,FALSE))</f>
        <v>6.9396230030000003</v>
      </c>
      <c r="L170">
        <f ca="1">IF(AND(ISNUMBER($L$413),$B$258=1),$L$413,HLOOKUP(INDIRECT(ADDRESS(2,COLUMN())),OFFSET($BN$2,0,0,ROW()-1,60),ROW()-1,FALSE))</f>
        <v>6.9855587100000003</v>
      </c>
      <c r="M170">
        <f ca="1">IF(AND(ISNUMBER($M$413),$B$258=1),$M$413,HLOOKUP(INDIRECT(ADDRESS(2,COLUMN())),OFFSET($BN$2,0,0,ROW()-1,60),ROW()-1,FALSE))</f>
        <v>7.3477465110000004</v>
      </c>
      <c r="N170">
        <f ca="1">IF(AND(ISNUMBER($N$413),$B$258=1),$N$413,HLOOKUP(INDIRECT(ADDRESS(2,COLUMN())),OFFSET($BN$2,0,0,ROW()-1,60),ROW()-1,FALSE))</f>
        <v>7.2149229469999998</v>
      </c>
      <c r="O170">
        <f ca="1">IF(AND(ISNUMBER($O$413),$B$258=1),$O$413,HLOOKUP(INDIRECT(ADDRESS(2,COLUMN())),OFFSET($BN$2,0,0,ROW()-1,60),ROW()-1,FALSE))</f>
        <v>7.1339971660000003</v>
      </c>
      <c r="P170">
        <f ca="1">IF(AND(ISNUMBER($P$413),$B$258=1),$P$413,HLOOKUP(INDIRECT(ADDRESS(2,COLUMN())),OFFSET($BN$2,0,0,ROW()-1,60),ROW()-1,FALSE))</f>
        <v>7.3217536829999998</v>
      </c>
      <c r="Q170">
        <f ca="1">IF(AND(ISNUMBER($Q$413),$B$258=1),$Q$413,HLOOKUP(INDIRECT(ADDRESS(2,COLUMN())),OFFSET($BN$2,0,0,ROW()-1,60),ROW()-1,FALSE))</f>
        <v>7.2641027119999997</v>
      </c>
      <c r="R170">
        <f ca="1">IF(AND(ISNUMBER($R$413),$B$258=1),$R$413,HLOOKUP(INDIRECT(ADDRESS(2,COLUMN())),OFFSET($BN$2,0,0,ROW()-1,60),ROW()-1,FALSE))</f>
        <v>6.9455211009999998</v>
      </c>
      <c r="S170">
        <f ca="1">IF(AND(ISNUMBER($S$413),$B$258=1),$S$413,HLOOKUP(INDIRECT(ADDRESS(2,COLUMN())),OFFSET($BN$2,0,0,ROW()-1,60),ROW()-1,FALSE))</f>
        <v>7.3340780250000002</v>
      </c>
      <c r="T170">
        <f ca="1">IF(AND(ISNUMBER($T$413),$B$258=1),$T$413,HLOOKUP(INDIRECT(ADDRESS(2,COLUMN())),OFFSET($BN$2,0,0,ROW()-1,60),ROW()-1,FALSE))</f>
        <v>7.2840588720000001</v>
      </c>
      <c r="U170">
        <f ca="1">IF(AND(ISNUMBER($U$413),$B$258=1),$U$413,HLOOKUP(INDIRECT(ADDRESS(2,COLUMN())),OFFSET($BN$2,0,0,ROW()-1,60),ROW()-1,FALSE))</f>
        <v>7.4566223789999997</v>
      </c>
      <c r="V170">
        <f ca="1">IF(AND(ISNUMBER($V$413),$B$258=1),$V$413,HLOOKUP(INDIRECT(ADDRESS(2,COLUMN())),OFFSET($BN$2,0,0,ROW()-1,60),ROW()-1,FALSE))</f>
        <v>7.129855783</v>
      </c>
      <c r="W170">
        <f ca="1">IF(AND(ISNUMBER($W$413),$B$258=1),$W$413,HLOOKUP(INDIRECT(ADDRESS(2,COLUMN())),OFFSET($BN$2,0,0,ROW()-1,60),ROW()-1,FALSE))</f>
        <v>7.4366951879999998</v>
      </c>
      <c r="X170">
        <f ca="1">IF(AND(ISNUMBER($X$413),$B$258=1),$X$413,HLOOKUP(INDIRECT(ADDRESS(2,COLUMN())),OFFSET($BN$2,0,0,ROW()-1,60),ROW()-1,FALSE))</f>
        <v>7.3561812</v>
      </c>
      <c r="Y170">
        <f ca="1">IF(AND(ISNUMBER($Y$413),$B$258=1),$Y$413,HLOOKUP(INDIRECT(ADDRESS(2,COLUMN())),OFFSET($BN$2,0,0,ROW()-1,60),ROW()-1,FALSE))</f>
        <v>6.6894456619999998</v>
      </c>
      <c r="Z170">
        <f ca="1">IF(AND(ISNUMBER($Z$413),$B$258=1),$Z$413,HLOOKUP(INDIRECT(ADDRESS(2,COLUMN())),OFFSET($BN$2,0,0,ROW()-1,60),ROW()-1,FALSE))</f>
        <v>6.6919147140000002</v>
      </c>
      <c r="AA170">
        <f ca="1">IF(AND(ISNUMBER($AA$413),$B$258=1),$AA$413,HLOOKUP(INDIRECT(ADDRESS(2,COLUMN())),OFFSET($BN$2,0,0,ROW()-1,60),ROW()-1,FALSE))</f>
        <v>7.0108060190000003</v>
      </c>
      <c r="AB170">
        <f ca="1">IF(AND(ISNUMBER($AB$413),$B$258=1),$AB$413,HLOOKUP(INDIRECT(ADDRESS(2,COLUMN())),OFFSET($BN$2,0,0,ROW()-1,60),ROW()-1,FALSE))</f>
        <v>6.672412209</v>
      </c>
      <c r="AC170">
        <f ca="1">IF(AND(ISNUMBER($AC$413),$B$258=1),$AC$413,HLOOKUP(INDIRECT(ADDRESS(2,COLUMN())),OFFSET($BN$2,0,0,ROW()-1,60),ROW()-1,FALSE))</f>
        <v>6.8382262669999996</v>
      </c>
      <c r="AD170">
        <f ca="1">IF(AND(ISNUMBER($AD$413),$B$258=1),$AD$413,HLOOKUP(INDIRECT(ADDRESS(2,COLUMN())),OFFSET($BN$2,0,0,ROW()-1,60),ROW()-1,FALSE))</f>
        <v>6.7519011649999996</v>
      </c>
      <c r="AE170">
        <f ca="1">IF(AND(ISNUMBER($AE$413),$B$258=1),$AE$413,HLOOKUP(INDIRECT(ADDRESS(2,COLUMN())),OFFSET($BN$2,0,0,ROW()-1,60),ROW()-1,FALSE))</f>
        <v>7.5440524470000003</v>
      </c>
      <c r="AF170">
        <f ca="1">IF(AND(ISNUMBER($AF$413),$B$258=1),$AF$413,HLOOKUP(INDIRECT(ADDRESS(2,COLUMN())),OFFSET($BN$2,0,0,ROW()-1,60),ROW()-1,FALSE))</f>
        <v>7.1619417719999996</v>
      </c>
      <c r="AG170">
        <f ca="1">IF(AND(ISNUMBER($AG$413),$B$258=1),$AG$413,HLOOKUP(INDIRECT(ADDRESS(2,COLUMN())),OFFSET($BN$2,0,0,ROW()-1,60),ROW()-1,FALSE))</f>
        <v>7.4688887429999999</v>
      </c>
      <c r="AH170">
        <f ca="1">IF(AND(ISNUMBER($AH$413),$B$258=1),$AH$413,HLOOKUP(INDIRECT(ADDRESS(2,COLUMN())),OFFSET($BN$2,0,0,ROW()-1,60),ROW()-1,FALSE))</f>
        <v>5.1594134519999999</v>
      </c>
      <c r="AI170">
        <f ca="1">IF(AND(ISNUMBER($AI$413),$B$258=1),$AI$413,HLOOKUP(INDIRECT(ADDRESS(2,COLUMN())),OFFSET($BN$2,0,0,ROW()-1,60),ROW()-1,FALSE))</f>
        <v>6.8263240249999999</v>
      </c>
      <c r="AJ170">
        <f ca="1">IF(AND(ISNUMBER($AJ$413),$B$258=1),$AJ$413,HLOOKUP(INDIRECT(ADDRESS(2,COLUMN())),OFFSET($BN$2,0,0,ROW()-1,60),ROW()-1,FALSE))</f>
        <v>7.2193715770000004</v>
      </c>
      <c r="AK170">
        <f ca="1">IF(AND(ISNUMBER($AK$413),$B$258=1),$AK$413,HLOOKUP(INDIRECT(ADDRESS(2,COLUMN())),OFFSET($BN$2,0,0,ROW()-1,60),ROW()-1,FALSE))</f>
        <v>7.6868085380000002</v>
      </c>
      <c r="AL170">
        <f ca="1">IF(AND(ISNUMBER($AL$413),$B$258=1),$AL$413,HLOOKUP(INDIRECT(ADDRESS(2,COLUMN())),OFFSET($BN$2,0,0,ROW()-1,60),ROW()-1,FALSE))</f>
        <v>7.4966011830000001</v>
      </c>
      <c r="AM170">
        <f ca="1">IF(AND(ISNUMBER($AM$413),$B$258=1),$AM$413,HLOOKUP(INDIRECT(ADDRESS(2,COLUMN())),OFFSET($BN$2,0,0,ROW()-1,60),ROW()-1,FALSE))</f>
        <v>8.2706166060000008</v>
      </c>
      <c r="AN170">
        <f ca="1">IF(AND(ISNUMBER($AN$413),$B$258=1),$AN$413,HLOOKUP(INDIRECT(ADDRESS(2,COLUMN())),OFFSET($BN$2,0,0,ROW()-1,60),ROW()-1,FALSE))</f>
        <v>7.6053024909999998</v>
      </c>
      <c r="AO170">
        <f ca="1">IF(AND(ISNUMBER($AO$413),$B$258=1),$AO$413,HLOOKUP(INDIRECT(ADDRESS(2,COLUMN())),OFFSET($BN$2,0,0,ROW()-1,60),ROW()-1,FALSE))</f>
        <v>7.7413311829999998</v>
      </c>
      <c r="AP170">
        <f ca="1">IF(AND(ISNUMBER($AP$413),$B$258=1),$AP$413,HLOOKUP(INDIRECT(ADDRESS(2,COLUMN())),OFFSET($BN$2,0,0,ROW()-1,60),ROW()-1,FALSE))</f>
        <v>7.9388278220000004</v>
      </c>
      <c r="AQ170">
        <f ca="1">IF(AND(ISNUMBER($AQ$413),$B$258=1),$AQ$413,HLOOKUP(INDIRECT(ADDRESS(2,COLUMN())),OFFSET($BN$2,0,0,ROW()-1,60),ROW()-1,FALSE))</f>
        <v>8.0347286570000005</v>
      </c>
      <c r="AR170">
        <f ca="1">IF(AND(ISNUMBER($AR$413),$B$258=1),$AR$413,HLOOKUP(INDIRECT(ADDRESS(2,COLUMN())),OFFSET($BN$2,0,0,ROW()-1,60),ROW()-1,FALSE))</f>
        <v>8.2002415909999993</v>
      </c>
      <c r="AS170">
        <f ca="1">IF(AND(ISNUMBER($AS$413),$B$258=1),$AS$413,HLOOKUP(INDIRECT(ADDRESS(2,COLUMN())),OFFSET($BN$2,0,0,ROW()-1,60),ROW()-1,FALSE))</f>
        <v>8.1695225610000008</v>
      </c>
      <c r="AT170">
        <f ca="1">IF(AND(ISNUMBER($AT$413),$B$258=1),$AT$413,HLOOKUP(INDIRECT(ADDRESS(2,COLUMN())),OFFSET($BN$2,0,0,ROW()-1,60),ROW()-1,FALSE))</f>
        <v>8.4408604789999995</v>
      </c>
      <c r="AU170">
        <f ca="1">IF(AND(ISNUMBER($AU$413),$B$258=1),$AU$413,HLOOKUP(INDIRECT(ADDRESS(2,COLUMN())),OFFSET($BN$2,0,0,ROW()-1,60),ROW()-1,FALSE))</f>
        <v>8.6454005980000002</v>
      </c>
      <c r="AV170">
        <f ca="1">IF(AND(ISNUMBER($AV$413),$B$258=1),$AV$413,HLOOKUP(INDIRECT(ADDRESS(2,COLUMN())),OFFSET($BN$2,0,0,ROW()-1,60),ROW()-1,FALSE))</f>
        <v>8.5250674239999995</v>
      </c>
      <c r="AW170">
        <f ca="1">IF(AND(ISNUMBER($AW$413),$B$258=1),$AW$413,HLOOKUP(INDIRECT(ADDRESS(2,COLUMN())),OFFSET($BN$2,0,0,ROW()-1,60),ROW()-1,FALSE))</f>
        <v>8.5016849150000002</v>
      </c>
      <c r="AX170">
        <f ca="1">IF(AND(ISNUMBER($AX$413),$B$258=1),$AX$413,HLOOKUP(INDIRECT(ADDRESS(2,COLUMN())),OFFSET($BN$2,0,0,ROW()-1,60),ROW()-1,FALSE))</f>
        <v>8.7387414559999996</v>
      </c>
      <c r="AY170">
        <f ca="1">IF(AND(ISNUMBER($AY$413),$B$258=1),$AY$413,HLOOKUP(INDIRECT(ADDRESS(2,COLUMN())),OFFSET($BN$2,0,0,ROW()-1,60),ROW()-1,FALSE))</f>
        <v>7.2826251610000003</v>
      </c>
      <c r="AZ170">
        <f ca="1">IF(AND(ISNUMBER($AZ$413),$B$258=1),$AZ$413,HLOOKUP(INDIRECT(ADDRESS(2,COLUMN())),OFFSET($BN$2,0,0,ROW()-1,60),ROW()-1,FALSE))</f>
        <v>9.2546340239999996</v>
      </c>
      <c r="BA170">
        <f ca="1">IF(AND(ISNUMBER($BA$413),$B$258=1),$BA$413,HLOOKUP(INDIRECT(ADDRESS(2,COLUMN())),OFFSET($BN$2,0,0,ROW()-1,60),ROW()-1,FALSE))</f>
        <v>9.5072723779999997</v>
      </c>
      <c r="BB170">
        <f ca="1">IF(AND(ISNUMBER($BB$413),$B$258=1),$BB$413,HLOOKUP(INDIRECT(ADDRESS(2,COLUMN())),OFFSET($BN$2,0,0,ROW()-1,60),ROW()-1,FALSE))</f>
        <v>9.4025546989999995</v>
      </c>
      <c r="BC170" t="str">
        <f ca="1">IF(AND(ISNUMBER($BC$413),$B$258=1),$BC$413,HLOOKUP(INDIRECT(ADDRESS(2,COLUMN())),OFFSET($BN$2,0,0,ROW()-1,60),ROW()-1,FALSE))</f>
        <v/>
      </c>
      <c r="BD170" t="str">
        <f ca="1">IF(AND(ISNUMBER($BD$413),$B$258=1),$BD$413,HLOOKUP(INDIRECT(ADDRESS(2,COLUMN())),OFFSET($BN$2,0,0,ROW()-1,60),ROW()-1,FALSE))</f>
        <v/>
      </c>
      <c r="BE170" t="str">
        <f ca="1">IF(AND(ISNUMBER($BE$413),$B$258=1),$BE$413,HLOOKUP(INDIRECT(ADDRESS(2,COLUMN())),OFFSET($BN$2,0,0,ROW()-1,60),ROW()-1,FALSE))</f>
        <v/>
      </c>
      <c r="BF170" t="str">
        <f ca="1">IF(AND(ISNUMBER($BF$413),$B$258=1),$BF$413,HLOOKUP(INDIRECT(ADDRESS(2,COLUMN())),OFFSET($BN$2,0,0,ROW()-1,60),ROW()-1,FALSE))</f>
        <v/>
      </c>
      <c r="BG170" t="str">
        <f ca="1">IF(AND(ISNUMBER($BG$413),$B$258=1),$BG$413,HLOOKUP(INDIRECT(ADDRESS(2,COLUMN())),OFFSET($BN$2,0,0,ROW()-1,60),ROW()-1,FALSE))</f>
        <v/>
      </c>
      <c r="BH170" t="str">
        <f ca="1">IF(AND(ISNUMBER($BH$413),$B$258=1),$BH$413,HLOOKUP(INDIRECT(ADDRESS(2,COLUMN())),OFFSET($BN$2,0,0,ROW()-1,60),ROW()-1,FALSE))</f>
        <v/>
      </c>
      <c r="BI170" t="str">
        <f ca="1">IF(AND(ISNUMBER($BI$413),$B$258=1),$BI$413,HLOOKUP(INDIRECT(ADDRESS(2,COLUMN())),OFFSET($BN$2,0,0,ROW()-1,60),ROW()-1,FALSE))</f>
        <v/>
      </c>
      <c r="BJ170" t="str">
        <f ca="1">IF(AND(ISNUMBER($BJ$413),$B$258=1),$BJ$413,HLOOKUP(INDIRECT(ADDRESS(2,COLUMN())),OFFSET($BN$2,0,0,ROW()-1,60),ROW()-1,FALSE))</f>
        <v/>
      </c>
      <c r="BK170" t="str">
        <f ca="1">IF(AND(ISNUMBER($BK$413),$B$258=1),$BK$413,HLOOKUP(INDIRECT(ADDRESS(2,COLUMN())),OFFSET($BN$2,0,0,ROW()-1,60),ROW()-1,FALSE))</f>
        <v/>
      </c>
      <c r="BL170" t="str">
        <f ca="1">IF(AND(ISNUMBER($BL$413),$B$258=1),$BL$413,HLOOKUP(INDIRECT(ADDRESS(2,COLUMN())),OFFSET($BN$2,0,0,ROW()-1,60),ROW()-1,FALSE))</f>
        <v/>
      </c>
      <c r="BM170" t="str">
        <f ca="1">IF(AND(ISNUMBER($BM$413),$B$258=1),$BM$413,HLOOKUP(INDIRECT(ADDRESS(2,COLUMN())),OFFSET($BN$2,0,0,ROW()-1,60),ROW()-1,FALSE))</f>
        <v/>
      </c>
      <c r="BN170" t="str">
        <f>""</f>
        <v/>
      </c>
      <c r="BO170">
        <f>6.68804067</f>
        <v>6.6880406700000004</v>
      </c>
      <c r="BP170">
        <f>6.877201687</f>
        <v>6.8772016870000003</v>
      </c>
      <c r="BQ170">
        <f>6.842965599</f>
        <v>6.8429655990000002</v>
      </c>
      <c r="BR170">
        <f>6.801552169</f>
        <v>6.8015521689999998</v>
      </c>
      <c r="BS170">
        <f>6.939623003</f>
        <v>6.9396230030000003</v>
      </c>
      <c r="BT170">
        <f>6.98555871</f>
        <v>6.9855587100000003</v>
      </c>
      <c r="BU170">
        <f>7.347746511</f>
        <v>7.3477465110000004</v>
      </c>
      <c r="BV170">
        <f>7.214922947</f>
        <v>7.2149229469999998</v>
      </c>
      <c r="BW170">
        <f>7.133997166</f>
        <v>7.1339971660000003</v>
      </c>
      <c r="BX170">
        <f>7.321753683</f>
        <v>7.3217536829999998</v>
      </c>
      <c r="BY170">
        <f>7.264102712</f>
        <v>7.2641027119999997</v>
      </c>
      <c r="BZ170">
        <f>6.945521101</f>
        <v>6.9455211009999998</v>
      </c>
      <c r="CA170">
        <f>7.334078025</f>
        <v>7.3340780250000002</v>
      </c>
      <c r="CB170">
        <f>7.284058872</f>
        <v>7.2840588720000001</v>
      </c>
      <c r="CC170">
        <f>7.456622379</f>
        <v>7.4566223789999997</v>
      </c>
      <c r="CD170">
        <f>7.129855783</f>
        <v>7.129855783</v>
      </c>
      <c r="CE170">
        <f>7.436695188</f>
        <v>7.4366951879999998</v>
      </c>
      <c r="CF170">
        <f>7.3561812</f>
        <v>7.3561812</v>
      </c>
      <c r="CG170">
        <f>6.689445662</f>
        <v>6.6894456619999998</v>
      </c>
      <c r="CH170">
        <f>6.691914714</f>
        <v>6.6919147140000002</v>
      </c>
      <c r="CI170">
        <f>7.010806019</f>
        <v>7.0108060190000003</v>
      </c>
      <c r="CJ170">
        <f>6.672412209</f>
        <v>6.672412209</v>
      </c>
      <c r="CK170">
        <f>6.838226267</f>
        <v>6.8382262669999996</v>
      </c>
      <c r="CL170">
        <f>6.751901165</f>
        <v>6.7519011649999996</v>
      </c>
      <c r="CM170">
        <f>7.544052447</f>
        <v>7.5440524470000003</v>
      </c>
      <c r="CN170">
        <f>7.161941772</f>
        <v>7.1619417719999996</v>
      </c>
      <c r="CO170">
        <f>7.468888743</f>
        <v>7.4688887429999999</v>
      </c>
      <c r="CP170">
        <f>5.159413452</f>
        <v>5.1594134519999999</v>
      </c>
      <c r="CQ170">
        <f>6.826324025</f>
        <v>6.8263240249999999</v>
      </c>
      <c r="CR170">
        <f>7.219371577</f>
        <v>7.2193715770000004</v>
      </c>
      <c r="CS170">
        <f>7.686808538</f>
        <v>7.6868085380000002</v>
      </c>
      <c r="CT170">
        <f>7.496601183</f>
        <v>7.4966011830000001</v>
      </c>
      <c r="CU170">
        <f>8.270616606</f>
        <v>8.2706166060000008</v>
      </c>
      <c r="CV170">
        <f>7.605302491</f>
        <v>7.6053024909999998</v>
      </c>
      <c r="CW170">
        <f>7.741331183</f>
        <v>7.7413311829999998</v>
      </c>
      <c r="CX170">
        <f>7.938827822</f>
        <v>7.9388278220000004</v>
      </c>
      <c r="CY170">
        <f>8.034728657</f>
        <v>8.0347286570000005</v>
      </c>
      <c r="CZ170">
        <f>8.200241591</f>
        <v>8.2002415909999993</v>
      </c>
      <c r="DA170">
        <f>8.169522561</f>
        <v>8.1695225610000008</v>
      </c>
      <c r="DB170">
        <f>8.440860479</f>
        <v>8.4408604789999995</v>
      </c>
      <c r="DC170">
        <f>8.645400598</f>
        <v>8.6454005980000002</v>
      </c>
      <c r="DD170">
        <f>8.525067424</f>
        <v>8.5250674239999995</v>
      </c>
      <c r="DE170">
        <f>8.501684915</f>
        <v>8.5016849150000002</v>
      </c>
      <c r="DF170">
        <f>8.738741456</f>
        <v>8.7387414559999996</v>
      </c>
      <c r="DG170">
        <f>7.282625161</f>
        <v>7.2826251610000003</v>
      </c>
      <c r="DH170">
        <f>9.254634024</f>
        <v>9.2546340239999996</v>
      </c>
      <c r="DI170">
        <f>9.507272378</f>
        <v>9.5072723779999997</v>
      </c>
      <c r="DJ170">
        <f>9.402554699</f>
        <v>9.4025546989999995</v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>
      <c r="A171" t="str">
        <f>"EBITDA/房地产资产(%)"</f>
        <v>EBITDA/房地产资产(%)</v>
      </c>
      <c r="B171" t="str">
        <f>""</f>
        <v/>
      </c>
      <c r="E171" t="str">
        <f>"Median"</f>
        <v>Median</v>
      </c>
      <c r="F171" t="str">
        <f ca="1">IF(ISERROR(IF(MEDIAN($F$172:$F$182) = 0, "", MEDIAN($F$172:$F$182))), "", (IF(MEDIAN($F$172:$F$182) = 0, "", MEDIAN($F$172:$F$182))))</f>
        <v/>
      </c>
      <c r="G171">
        <f ca="1">IF(ISERROR(IF(MEDIAN($G$172:$G$182) = 0, "", MEDIAN($G$172:$G$182))), "", (IF(MEDIAN($G$172:$G$182) = 0, "", MEDIAN($G$172:$G$182))))</f>
        <v>1.9788474535</v>
      </c>
      <c r="H171">
        <f ca="1">IF(ISERROR(IF(MEDIAN($H$172:$H$182) = 0, "", MEDIAN($H$172:$H$182))), "", (IF(MEDIAN($H$172:$H$182) = 0, "", MEDIAN($H$172:$H$182))))</f>
        <v>1.9070274475</v>
      </c>
      <c r="I171">
        <f ca="1">IF(ISERROR(IF(MEDIAN($I$172:$I$182) = 0, "", MEDIAN($I$172:$I$182))), "", (IF(MEDIAN($I$172:$I$182) = 0, "", MEDIAN($I$172:$I$182))))</f>
        <v>2.1488176029999999</v>
      </c>
      <c r="J171">
        <f ca="1">IF(ISERROR(IF(MEDIAN($J$172:$J$182) = 0, "", MEDIAN($J$172:$J$182))), "", (IF(MEDIAN($J$172:$J$182) = 0, "", MEDIAN($J$172:$J$182))))</f>
        <v>2.4172091010000001</v>
      </c>
      <c r="K171">
        <f ca="1">IF(ISERROR(IF(MEDIAN($K$172:$K$182) = 0, "", MEDIAN($K$172:$K$182))), "", (IF(MEDIAN($K$172:$K$182) = 0, "", MEDIAN($K$172:$K$182))))</f>
        <v>2.2619707170000001</v>
      </c>
      <c r="L171">
        <f ca="1">IF(ISERROR(IF(MEDIAN($L$172:$L$182) = 0, "", MEDIAN($L$172:$L$182))), "", (IF(MEDIAN($L$172:$L$182) = 0, "", MEDIAN($L$172:$L$182))))</f>
        <v>2.2408617560000001</v>
      </c>
      <c r="M171">
        <f ca="1">IF(ISERROR(IF(MEDIAN($M$172:$M$182) = 0, "", MEDIAN($M$172:$M$182))), "", (IF(MEDIAN($M$172:$M$182) = 0, "", MEDIAN($M$172:$M$182))))</f>
        <v>2.2867699149999998</v>
      </c>
      <c r="N171">
        <f ca="1">IF(ISERROR(IF(MEDIAN($N$172:$N$182) = 0, "", MEDIAN($N$172:$N$182))), "", (IF(MEDIAN($N$172:$N$182) = 0, "", MEDIAN($N$172:$N$182))))</f>
        <v>2.2284126620000002</v>
      </c>
      <c r="O171">
        <f ca="1">IF(ISERROR(IF(MEDIAN($O$172:$O$182) = 0, "", MEDIAN($O$172:$O$182))), "", (IF(MEDIAN($O$172:$O$182) = 0, "", MEDIAN($O$172:$O$182))))</f>
        <v>2.462326053</v>
      </c>
      <c r="P171">
        <f ca="1">IF(ISERROR(IF(MEDIAN($P$172:$P$182) = 0, "", MEDIAN($P$172:$P$182))), "", (IF(MEDIAN($P$172:$P$182) = 0, "", MEDIAN($P$172:$P$182))))</f>
        <v>2.1991917409999999</v>
      </c>
      <c r="Q171">
        <f ca="1">IF(ISERROR(IF(MEDIAN($Q$172:$Q$182) = 0, "", MEDIAN($Q$172:$Q$182))), "", (IF(MEDIAN($Q$172:$Q$182) = 0, "", MEDIAN($Q$172:$Q$182))))</f>
        <v>2.0153221055000001</v>
      </c>
      <c r="R171">
        <f ca="1">IF(ISERROR(IF(MEDIAN($R$172:$R$182) = 0, "", MEDIAN($R$172:$R$182))), "", (IF(MEDIAN($R$172:$R$182) = 0, "", MEDIAN($R$172:$R$182))))</f>
        <v>2.1892065375</v>
      </c>
      <c r="S171">
        <f ca="1">IF(ISERROR(IF(MEDIAN($S$172:$S$182) = 0, "", MEDIAN($S$172:$S$182))), "", (IF(MEDIAN($S$172:$S$182) = 0, "", MEDIAN($S$172:$S$182))))</f>
        <v>2.2860932795000002</v>
      </c>
      <c r="T171">
        <f ca="1">IF(ISERROR(IF(MEDIAN($T$172:$T$182) = 0, "", MEDIAN($T$172:$T$182))), "", (IF(MEDIAN($T$172:$T$182) = 0, "", MEDIAN($T$172:$T$182))))</f>
        <v>2.3853677380000002</v>
      </c>
      <c r="U171">
        <f ca="1">IF(ISERROR(IF(MEDIAN($U$172:$U$182) = 0, "", MEDIAN($U$172:$U$182))), "", (IF(MEDIAN($U$172:$U$182) = 0, "", MEDIAN($U$172:$U$182))))</f>
        <v>2.2156794550000001</v>
      </c>
      <c r="V171">
        <f ca="1">IF(ISERROR(IF(MEDIAN($V$172:$V$182) = 0, "", MEDIAN($V$172:$V$182))), "", (IF(MEDIAN($V$172:$V$182) = 0, "", MEDIAN($V$172:$V$182))))</f>
        <v>2.2890290320000002</v>
      </c>
      <c r="W171">
        <f ca="1">IF(ISERROR(IF(MEDIAN($W$172:$W$182) = 0, "", MEDIAN($W$172:$W$182))), "", (IF(MEDIAN($W$172:$W$182) = 0, "", MEDIAN($W$172:$W$182))))</f>
        <v>2.4307408635000001</v>
      </c>
      <c r="X171">
        <f ca="1">IF(ISERROR(IF(MEDIAN($X$172:$X$182) = 0, "", MEDIAN($X$172:$X$182))), "", (IF(MEDIAN($X$172:$X$182) = 0, "", MEDIAN($X$172:$X$182))))</f>
        <v>2.2683764114999998</v>
      </c>
      <c r="Y171">
        <f ca="1">IF(ISERROR(IF(MEDIAN($Y$172:$Y$182) = 0, "", MEDIAN($Y$172:$Y$182))), "", (IF(MEDIAN($Y$172:$Y$182) = 0, "", MEDIAN($Y$172:$Y$182))))</f>
        <v>2.2706810974999998</v>
      </c>
      <c r="Z171">
        <f ca="1">IF(ISERROR(IF(MEDIAN($Z$172:$Z$182) = 0, "", MEDIAN($Z$172:$Z$182))), "", (IF(MEDIAN($Z$172:$Z$182) = 0, "", MEDIAN($Z$172:$Z$182))))</f>
        <v>2.2546291245000001</v>
      </c>
      <c r="AA171">
        <f ca="1">IF(ISERROR(IF(MEDIAN($AA$172:$AA$182) = 0, "", MEDIAN($AA$172:$AA$182))), "", (IF(MEDIAN($AA$172:$AA$182) = 0, "", MEDIAN($AA$172:$AA$182))))</f>
        <v>2.2310301575000002</v>
      </c>
      <c r="AB171">
        <f ca="1">IF(ISERROR(IF(MEDIAN($AB$172:$AB$182) = 0, "", MEDIAN($AB$172:$AB$182))), "", (IF(MEDIAN($AB$172:$AB$182) = 0, "", MEDIAN($AB$172:$AB$182))))</f>
        <v>2.1597880759999999</v>
      </c>
      <c r="AC171">
        <f ca="1">IF(ISERROR(IF(MEDIAN($AC$172:$AC$182) = 0, "", MEDIAN($AC$172:$AC$182))), "", (IF(MEDIAN($AC$172:$AC$182) = 0, "", MEDIAN($AC$172:$AC$182))))</f>
        <v>2.1134360504999998</v>
      </c>
      <c r="AD171">
        <f ca="1">IF(ISERROR(IF(MEDIAN($AD$172:$AD$182) = 0, "", MEDIAN($AD$172:$AD$182))), "", (IF(MEDIAN($AD$172:$AD$182) = 0, "", MEDIAN($AD$172:$AD$182))))</f>
        <v>1.9388297055000001</v>
      </c>
      <c r="AE171">
        <f ca="1">IF(ISERROR(IF(MEDIAN($AE$172:$AE$182) = 0, "", MEDIAN($AE$172:$AE$182))), "", (IF(MEDIAN($AE$172:$AE$182) = 0, "", MEDIAN($AE$172:$AE$182))))</f>
        <v>1.8490138439999999</v>
      </c>
      <c r="AF171">
        <f ca="1">IF(ISERROR(IF(MEDIAN($AF$172:$AF$182) = 0, "", MEDIAN($AF$172:$AF$182))), "", (IF(MEDIAN($AF$172:$AF$182) = 0, "", MEDIAN($AF$172:$AF$182))))</f>
        <v>2.0900208615000002</v>
      </c>
      <c r="AG171">
        <f ca="1">IF(ISERROR(IF(MEDIAN($AG$172:$AG$182) = 0, "", MEDIAN($AG$172:$AG$182))), "", (IF(MEDIAN($AG$172:$AG$182) = 0, "", MEDIAN($AG$172:$AG$182))))</f>
        <v>2.0983142714999996</v>
      </c>
      <c r="AH171">
        <f ca="1">IF(ISERROR(IF(MEDIAN($AH$172:$AH$182) = 0, "", MEDIAN($AH$172:$AH$182))), "", (IF(MEDIAN($AH$172:$AH$182) = 0, "", MEDIAN($AH$172:$AH$182))))</f>
        <v>1.967887875</v>
      </c>
      <c r="AI171">
        <f ca="1">IF(ISERROR(IF(MEDIAN($AI$172:$AI$182) = 0, "", MEDIAN($AI$172:$AI$182))), "", (IF(MEDIAN($AI$172:$AI$182) = 0, "", MEDIAN($AI$172:$AI$182))))</f>
        <v>2.0493155019999998</v>
      </c>
      <c r="AJ171">
        <f ca="1">IF(ISERROR(IF(MEDIAN($AJ$172:$AJ$182) = 0, "", MEDIAN($AJ$172:$AJ$182))), "", (IF(MEDIAN($AJ$172:$AJ$182) = 0, "", MEDIAN($AJ$172:$AJ$182))))</f>
        <v>1.8579857930000001</v>
      </c>
      <c r="AK171">
        <f ca="1">IF(ISERROR(IF(MEDIAN($AK$172:$AK$182) = 0, "", MEDIAN($AK$172:$AK$182))), "", (IF(MEDIAN($AK$172:$AK$182) = 0, "", MEDIAN($AK$172:$AK$182))))</f>
        <v>2.0601920589999998</v>
      </c>
      <c r="AL171">
        <f ca="1">IF(ISERROR(IF(MEDIAN($AL$172:$AL$182) = 0, "", MEDIAN($AL$172:$AL$182))), "", (IF(MEDIAN($AL$172:$AL$182) = 0, "", MEDIAN($AL$172:$AL$182))))</f>
        <v>2.0093910570000002</v>
      </c>
      <c r="AM171">
        <f ca="1">IF(ISERROR(IF(MEDIAN($AM$172:$AM$182) = 0, "", MEDIAN($AM$172:$AM$182))), "", (IF(MEDIAN($AM$172:$AM$182) = 0, "", MEDIAN($AM$172:$AM$182))))</f>
        <v>2.1194822700000002</v>
      </c>
      <c r="AN171">
        <f ca="1">IF(ISERROR(IF(MEDIAN($AN$172:$AN$182) = 0, "", MEDIAN($AN$172:$AN$182))), "", (IF(MEDIAN($AN$172:$AN$182) = 0, "", MEDIAN($AN$172:$AN$182))))</f>
        <v>2.0749485244999999</v>
      </c>
      <c r="AO171">
        <f ca="1">IF(ISERROR(IF(MEDIAN($AO$172:$AO$182) = 0, "", MEDIAN($AO$172:$AO$182))), "", (IF(MEDIAN($AO$172:$AO$182) = 0, "", MEDIAN($AO$172:$AO$182))))</f>
        <v>2.0460955890000001</v>
      </c>
      <c r="AP171">
        <f ca="1">IF(ISERROR(IF(MEDIAN($AP$172:$AP$182) = 0, "", MEDIAN($AP$172:$AP$182))), "", (IF(MEDIAN($AP$172:$AP$182) = 0, "", MEDIAN($AP$172:$AP$182))))</f>
        <v>1.9962585920000002</v>
      </c>
      <c r="AQ171">
        <f ca="1">IF(ISERROR(IF(MEDIAN($AQ$172:$AQ$182) = 0, "", MEDIAN($AQ$172:$AQ$182))), "", (IF(MEDIAN($AQ$172:$AQ$182) = 0, "", MEDIAN($AQ$172:$AQ$182))))</f>
        <v>1.9817297465000001</v>
      </c>
      <c r="AR171">
        <f ca="1">IF(ISERROR(IF(MEDIAN($AR$172:$AR$182) = 0, "", MEDIAN($AR$172:$AR$182))), "", (IF(MEDIAN($AR$172:$AR$182) = 0, "", MEDIAN($AR$172:$AR$182))))</f>
        <v>2.0826207110000001</v>
      </c>
      <c r="AS171">
        <f ca="1">IF(ISERROR(IF(MEDIAN($AS$172:$AS$182) = 0, "", MEDIAN($AS$172:$AS$182))), "", (IF(MEDIAN($AS$172:$AS$182) = 0, "", MEDIAN($AS$172:$AS$182))))</f>
        <v>2.351549178</v>
      </c>
      <c r="AT171">
        <f ca="1">IF(ISERROR(IF(MEDIAN($AT$172:$AT$182) = 0, "", MEDIAN($AT$172:$AT$182))), "", (IF(MEDIAN($AT$172:$AT$182) = 0, "", MEDIAN($AT$172:$AT$182))))</f>
        <v>2.25094028</v>
      </c>
      <c r="AU171">
        <f ca="1">IF(ISERROR(IF(MEDIAN($AU$172:$AU$182) = 0, "", MEDIAN($AU$172:$AU$182))), "", (IF(MEDIAN($AU$172:$AU$182) = 0, "", MEDIAN($AU$172:$AU$182))))</f>
        <v>2.3338548650000002</v>
      </c>
      <c r="AV171">
        <f ca="1">IF(ISERROR(IF(MEDIAN($AV$172:$AV$182) = 0, "", MEDIAN($AV$172:$AV$182))), "", (IF(MEDIAN($AV$172:$AV$182) = 0, "", MEDIAN($AV$172:$AV$182))))</f>
        <v>2.2114537224999999</v>
      </c>
      <c r="AW171">
        <f ca="1">IF(ISERROR(IF(MEDIAN($AW$172:$AW$182) = 0, "", MEDIAN($AW$172:$AW$182))), "", (IF(MEDIAN($AW$172:$AW$182) = 0, "", MEDIAN($AW$172:$AW$182))))</f>
        <v>2.3594402695000003</v>
      </c>
      <c r="AX171">
        <f ca="1">IF(ISERROR(IF(MEDIAN($AX$172:$AX$182) = 0, "", MEDIAN($AX$172:$AX$182))), "", (IF(MEDIAN($AX$172:$AX$182) = 0, "", MEDIAN($AX$172:$AX$182))))</f>
        <v>2.2763193419999999</v>
      </c>
      <c r="AY171">
        <f ca="1">IF(ISERROR(IF(MEDIAN($AY$172:$AY$182) = 0, "", MEDIAN($AY$172:$AY$182))), "", (IF(MEDIAN($AY$172:$AY$182) = 0, "", MEDIAN($AY$172:$AY$182))))</f>
        <v>2.1397447974999997</v>
      </c>
      <c r="AZ171">
        <f ca="1">IF(ISERROR(IF(MEDIAN($AZ$172:$AZ$182) = 0, "", MEDIAN($AZ$172:$AZ$182))), "", (IF(MEDIAN($AZ$172:$AZ$182) = 0, "", MEDIAN($AZ$172:$AZ$182))))</f>
        <v>2.3190420625000003</v>
      </c>
      <c r="BA171">
        <f ca="1">IF(ISERROR(IF(MEDIAN($BA$172:$BA$182) = 0, "", MEDIAN($BA$172:$BA$182))), "", (IF(MEDIAN($BA$172:$BA$182) = 0, "", MEDIAN($BA$172:$BA$182))))</f>
        <v>2.4752458485000002</v>
      </c>
      <c r="BB171">
        <f ca="1">IF(ISERROR(IF(MEDIAN($BB$172:$BB$182) = 0, "", MEDIAN($BB$172:$BB$182))), "", (IF(MEDIAN($BB$172:$BB$182) = 0, "", MEDIAN($BB$172:$BB$182))))</f>
        <v>2.5765980955000001</v>
      </c>
      <c r="BC171">
        <f ca="1">IF(ISERROR(IF(MEDIAN($BC$172:$BC$182) = 0, "", MEDIAN($BC$172:$BC$182))), "", (IF(MEDIAN($BC$172:$BC$182) = 0, "", MEDIAN($BC$172:$BC$182))))</f>
        <v>2.3742218854999999</v>
      </c>
      <c r="BD171">
        <f ca="1">IF(ISERROR(IF(MEDIAN($BD$172:$BD$182) = 0, "", MEDIAN($BD$172:$BD$182))), "", (IF(MEDIAN($BD$172:$BD$182) = 0, "", MEDIAN($BD$172:$BD$182))))</f>
        <v>2.6137886630000002</v>
      </c>
      <c r="BE171">
        <f ca="1">IF(ISERROR(IF(MEDIAN($BE$172:$BE$182) = 0, "", MEDIAN($BE$172:$BE$182))), "", (IF(MEDIAN($BE$172:$BE$182) = 0, "", MEDIAN($BE$172:$BE$182))))</f>
        <v>2.493683259</v>
      </c>
      <c r="BF171">
        <f ca="1">IF(ISERROR(IF(MEDIAN($BF$172:$BF$182) = 0, "", MEDIAN($BF$172:$BF$182))), "", (IF(MEDIAN($BF$172:$BF$182) = 0, "", MEDIAN($BF$172:$BF$182))))</f>
        <v>2.5659450535000001</v>
      </c>
      <c r="BG171">
        <f ca="1">IF(ISERROR(IF(MEDIAN($BG$172:$BG$182) = 0, "", MEDIAN($BG$172:$BG$182))), "", (IF(MEDIAN($BG$172:$BG$182) = 0, "", MEDIAN($BG$172:$BG$182))))</f>
        <v>2.3037737969999998</v>
      </c>
      <c r="BH171">
        <f ca="1">IF(ISERROR(IF(MEDIAN($BH$172:$BH$182) = 0, "", MEDIAN($BH$172:$BH$182))), "", (IF(MEDIAN($BH$172:$BH$182) = 0, "", MEDIAN($BH$172:$BH$182))))</f>
        <v>2.6170678629999999</v>
      </c>
      <c r="BI171">
        <f ca="1">IF(ISERROR(IF(MEDIAN($BI$172:$BI$182) = 0, "", MEDIAN($BI$172:$BI$182))), "", (IF(MEDIAN($BI$172:$BI$182) = 0, "", MEDIAN($BI$172:$BI$182))))</f>
        <v>2.683825541</v>
      </c>
      <c r="BJ171">
        <f ca="1">IF(ISERROR(IF(MEDIAN($BJ$172:$BJ$182) = 0, "", MEDIAN($BJ$172:$BJ$182))), "", (IF(MEDIAN($BJ$172:$BJ$182) = 0, "", MEDIAN($BJ$172:$BJ$182))))</f>
        <v>2.7911139220000001</v>
      </c>
      <c r="BK171">
        <f ca="1">IF(ISERROR(IF(MEDIAN($BK$172:$BK$182) = 0, "", MEDIAN($BK$172:$BK$182))), "", (IF(MEDIAN($BK$172:$BK$182) = 0, "", MEDIAN($BK$172:$BK$182))))</f>
        <v>2.8213004255</v>
      </c>
      <c r="BL171">
        <f ca="1">IF(ISERROR(IF(MEDIAN($BL$172:$BL$182) = 0, "", MEDIAN($BL$172:$BL$182))), "", (IF(MEDIAN($BL$172:$BL$182) = 0, "", MEDIAN($BL$172:$BL$182))))</f>
        <v>3.419690557</v>
      </c>
      <c r="BM171">
        <f ca="1">IF(ISERROR(IF(MEDIAN($BM$172:$BM$182) = 0, "", MEDIAN($BM$172:$BM$182))), "", (IF(MEDIAN($BM$172:$BM$182) = 0, "", MEDIAN($BM$172:$BM$182))))</f>
        <v>2.5797291580000001</v>
      </c>
      <c r="BN171" t="str">
        <f>""</f>
        <v/>
      </c>
      <c r="BO171">
        <f>1.978847454</f>
        <v>1.9788474540000001</v>
      </c>
      <c r="BP171">
        <f>1.907027447</f>
        <v>1.9070274469999999</v>
      </c>
      <c r="BQ171">
        <f>2.148817603</f>
        <v>2.1488176029999999</v>
      </c>
      <c r="BR171">
        <f>2.417209101</f>
        <v>2.4172091010000001</v>
      </c>
      <c r="BS171">
        <f>2.261970717</f>
        <v>2.2619707170000001</v>
      </c>
      <c r="BT171">
        <f>2.240861756</f>
        <v>2.2408617560000001</v>
      </c>
      <c r="BU171">
        <f>2.286769915</f>
        <v>2.2867699149999998</v>
      </c>
      <c r="BV171">
        <f>2.228412662</f>
        <v>2.2284126620000002</v>
      </c>
      <c r="BW171">
        <f>2.462326053</f>
        <v>2.462326053</v>
      </c>
      <c r="BX171">
        <f>2.199191741</f>
        <v>2.1991917409999999</v>
      </c>
      <c r="BY171">
        <f>2.015322106</f>
        <v>2.0153221060000002</v>
      </c>
      <c r="BZ171">
        <f>2.189206537</f>
        <v>2.189206537</v>
      </c>
      <c r="CA171">
        <f>2.28609328</f>
        <v>2.2860932799999998</v>
      </c>
      <c r="CB171">
        <f>2.385367738</f>
        <v>2.3853677379999998</v>
      </c>
      <c r="CC171">
        <f>2.215679455</f>
        <v>2.2156794550000001</v>
      </c>
      <c r="CD171">
        <f>2.289029032</f>
        <v>2.2890290320000002</v>
      </c>
      <c r="CE171">
        <f>2.430740863</f>
        <v>2.430740863</v>
      </c>
      <c r="CF171">
        <f>2.268376411</f>
        <v>2.2683764110000002</v>
      </c>
      <c r="CG171">
        <f>2.270681098</f>
        <v>2.2706810979999998</v>
      </c>
      <c r="CH171">
        <f>2.254629124</f>
        <v>2.254629124</v>
      </c>
      <c r="CI171">
        <f>2.231030157</f>
        <v>2.2310301570000002</v>
      </c>
      <c r="CJ171">
        <f>2.159788076</f>
        <v>2.1597880759999999</v>
      </c>
      <c r="CK171">
        <f>2.113436051</f>
        <v>2.1134360509999999</v>
      </c>
      <c r="CL171">
        <f>1.938829705</f>
        <v>1.9388297050000001</v>
      </c>
      <c r="CM171">
        <f>1.849013844</f>
        <v>1.8490138439999999</v>
      </c>
      <c r="CN171">
        <f>2.090020862</f>
        <v>2.0900208619999998</v>
      </c>
      <c r="CO171">
        <f>2.098314272</f>
        <v>2.0983142720000001</v>
      </c>
      <c r="CP171">
        <f>1.967887875</f>
        <v>1.967887875</v>
      </c>
      <c r="CQ171">
        <f>2.049315502</f>
        <v>2.0493155019999998</v>
      </c>
      <c r="CR171">
        <f>1.857985793</f>
        <v>1.8579857930000001</v>
      </c>
      <c r="CS171">
        <f>2.060192059</f>
        <v>2.0601920589999998</v>
      </c>
      <c r="CT171">
        <f>2.009391057</f>
        <v>2.0093910570000002</v>
      </c>
      <c r="CU171">
        <f>2.11948227</f>
        <v>2.1194822699999998</v>
      </c>
      <c r="CV171">
        <f>2.074948525</f>
        <v>2.0749485249999999</v>
      </c>
      <c r="CW171">
        <f>2.046095589</f>
        <v>2.0460955890000001</v>
      </c>
      <c r="CX171">
        <f>1.996258592</f>
        <v>1.996258592</v>
      </c>
      <c r="CY171">
        <f>1.981729746</f>
        <v>1.9817297460000001</v>
      </c>
      <c r="CZ171">
        <f>2.082620711</f>
        <v>2.0826207110000001</v>
      </c>
      <c r="DA171">
        <f>2.351549178</f>
        <v>2.351549178</v>
      </c>
      <c r="DB171">
        <f>2.25094028</f>
        <v>2.25094028</v>
      </c>
      <c r="DC171">
        <f>2.333854865</f>
        <v>2.3338548650000002</v>
      </c>
      <c r="DD171">
        <f>2.211453723</f>
        <v>2.211453723</v>
      </c>
      <c r="DE171">
        <f>2.35944027</f>
        <v>2.3594402699999999</v>
      </c>
      <c r="DF171">
        <f>2.276319342</f>
        <v>2.2763193419999999</v>
      </c>
      <c r="DG171">
        <f>2.139744798</f>
        <v>2.1397447980000002</v>
      </c>
      <c r="DH171">
        <f>2.319042062</f>
        <v>2.3190420619999998</v>
      </c>
      <c r="DI171">
        <f>2.475245849</f>
        <v>2.4752458490000002</v>
      </c>
      <c r="DJ171">
        <f>2.576598095</f>
        <v>2.576598095</v>
      </c>
      <c r="DK171">
        <f>2.374221886</f>
        <v>2.3742218859999999</v>
      </c>
      <c r="DL171">
        <f>2.613788663</f>
        <v>2.6137886629999998</v>
      </c>
      <c r="DM171">
        <f>2.493683259</f>
        <v>2.493683259</v>
      </c>
      <c r="DN171">
        <f>2.565945054</f>
        <v>2.5659450540000002</v>
      </c>
      <c r="DO171">
        <f>2.303773797</f>
        <v>2.3037737969999998</v>
      </c>
      <c r="DP171">
        <f>2.617067863</f>
        <v>2.6170678629999999</v>
      </c>
      <c r="DQ171">
        <f>2.683825541</f>
        <v>2.683825541</v>
      </c>
      <c r="DR171">
        <f>2.791113922</f>
        <v>2.7911139220000001</v>
      </c>
      <c r="DS171">
        <f>2.821300425</f>
        <v>2.821300425</v>
      </c>
      <c r="DT171">
        <f>3.419690557</f>
        <v>3.419690557</v>
      </c>
      <c r="DU171">
        <f>2.579729158</f>
        <v>2.5797291580000001</v>
      </c>
    </row>
    <row r="172" spans="1:125">
      <c r="A172" t="str">
        <f>"    Alexandria Real Estate Equitie"</f>
        <v xml:space="preserve">    Alexandria Real Estate Equitie</v>
      </c>
      <c r="B172" t="str">
        <f>"ARE US Equity"</f>
        <v>ARE US Equity</v>
      </c>
      <c r="C172" t="str">
        <f t="shared" ref="C172:C182" si="42">"RR553"</f>
        <v>RR553</v>
      </c>
      <c r="D172" t="str">
        <f t="shared" ref="D172:D182" si="43">"EBITDA_RE_ASSET"</f>
        <v>EBITDA_RE_ASSET</v>
      </c>
      <c r="E172" t="str">
        <f t="shared" ref="E172:E182" si="44">"动态"</f>
        <v>动态</v>
      </c>
      <c r="F172" t="str">
        <f ca="1">IF(AND(ISNUMBER($F$414),$B$258=1),$F$414,HLOOKUP(INDIRECT(ADDRESS(2,COLUMN())),OFFSET($BN$2,0,0,ROW()-1,60),ROW()-1,FALSE))</f>
        <v/>
      </c>
      <c r="G172">
        <f ca="1">IF(AND(ISNUMBER($G$414),$B$258=1),$G$414,HLOOKUP(INDIRECT(ADDRESS(2,COLUMN())),OFFSET($BN$2,0,0,ROW()-1,60),ROW()-1,FALSE))</f>
        <v>1.8427773009999999</v>
      </c>
      <c r="H172">
        <f ca="1">IF(AND(ISNUMBER($H$414),$B$258=1),$H$414,HLOOKUP(INDIRECT(ADDRESS(2,COLUMN())),OFFSET($BN$2,0,0,ROW()-1,60),ROW()-1,FALSE))</f>
        <v>1.8279871670000001</v>
      </c>
      <c r="I172">
        <f ca="1">IF(AND(ISNUMBER($I$414),$B$258=1),$I$414,HLOOKUP(INDIRECT(ADDRESS(2,COLUMN())),OFFSET($BN$2,0,0,ROW()-1,60),ROW()-1,FALSE))</f>
        <v>1.78832773</v>
      </c>
      <c r="J172">
        <f ca="1">IF(AND(ISNUMBER($J$414),$B$258=1),$J$414,HLOOKUP(INDIRECT(ADDRESS(2,COLUMN())),OFFSET($BN$2,0,0,ROW()-1,60),ROW()-1,FALSE))</f>
        <v>1.8334074840000001</v>
      </c>
      <c r="K172">
        <f ca="1">IF(AND(ISNUMBER($K$414),$B$258=1),$K$414,HLOOKUP(INDIRECT(ADDRESS(2,COLUMN())),OFFSET($BN$2,0,0,ROW()-1,60),ROW()-1,FALSE))</f>
        <v>1.560396455</v>
      </c>
      <c r="L172">
        <f ca="1">IF(AND(ISNUMBER($L$414),$B$258=1),$L$414,HLOOKUP(INDIRECT(ADDRESS(2,COLUMN())),OFFSET($BN$2,0,0,ROW()-1,60),ROW()-1,FALSE))</f>
        <v>1.6649698079999999</v>
      </c>
      <c r="M172">
        <f ca="1">IF(AND(ISNUMBER($M$414),$B$258=1),$M$414,HLOOKUP(INDIRECT(ADDRESS(2,COLUMN())),OFFSET($BN$2,0,0,ROW()-1,60),ROW()-1,FALSE))</f>
        <v>-0.16157751000000001</v>
      </c>
      <c r="N172">
        <f ca="1">IF(AND(ISNUMBER($N$414),$B$258=1),$N$414,HLOOKUP(INDIRECT(ADDRESS(2,COLUMN())),OFFSET($BN$2,0,0,ROW()-1,60),ROW()-1,FALSE))</f>
        <v>1.348188776</v>
      </c>
      <c r="O172">
        <f ca="1">IF(AND(ISNUMBER($O$414),$B$258=1),$O$414,HLOOKUP(INDIRECT(ADDRESS(2,COLUMN())),OFFSET($BN$2,0,0,ROW()-1,60),ROW()-1,FALSE))</f>
        <v>1.691346314</v>
      </c>
      <c r="P172">
        <f ca="1">IF(AND(ISNUMBER($P$414),$B$258=1),$P$414,HLOOKUP(INDIRECT(ADDRESS(2,COLUMN())),OFFSET($BN$2,0,0,ROW()-1,60),ROW()-1,FALSE))</f>
        <v>1.758783958</v>
      </c>
      <c r="Q172">
        <f ca="1">IF(AND(ISNUMBER($Q$414),$B$258=1),$Q$414,HLOOKUP(INDIRECT(ADDRESS(2,COLUMN())),OFFSET($BN$2,0,0,ROW()-1,60),ROW()-1,FALSE))</f>
        <v>1.705214719</v>
      </c>
      <c r="R172">
        <f ca="1">IF(AND(ISNUMBER($R$414),$B$258=1),$R$414,HLOOKUP(INDIRECT(ADDRESS(2,COLUMN())),OFFSET($BN$2,0,0,ROW()-1,60),ROW()-1,FALSE))</f>
        <v>1.4433154909999999</v>
      </c>
      <c r="S172">
        <f ca="1">IF(AND(ISNUMBER($S$414),$B$258=1),$S$414,HLOOKUP(INDIRECT(ADDRESS(2,COLUMN())),OFFSET($BN$2,0,0,ROW()-1,60),ROW()-1,FALSE))</f>
        <v>0.91692296299999998</v>
      </c>
      <c r="T172">
        <f ca="1">IF(AND(ISNUMBER($T$414),$B$258=1),$T$414,HLOOKUP(INDIRECT(ADDRESS(2,COLUMN())),OFFSET($BN$2,0,0,ROW()-1,60),ROW()-1,FALSE))</f>
        <v>1.605848036</v>
      </c>
      <c r="U172">
        <f ca="1">IF(AND(ISNUMBER($U$414),$B$258=1),$U$414,HLOOKUP(INDIRECT(ADDRESS(2,COLUMN())),OFFSET($BN$2,0,0,ROW()-1,60),ROW()-1,FALSE))</f>
        <v>1.567726398</v>
      </c>
      <c r="V172">
        <f ca="1">IF(AND(ISNUMBER($V$414),$B$258=1),$V$414,HLOOKUP(INDIRECT(ADDRESS(2,COLUMN())),OFFSET($BN$2,0,0,ROW()-1,60),ROW()-1,FALSE))</f>
        <v>1.593806987</v>
      </c>
      <c r="W172">
        <f ca="1">IF(AND(ISNUMBER($W$414),$B$258=1),$W$414,HLOOKUP(INDIRECT(ADDRESS(2,COLUMN())),OFFSET($BN$2,0,0,ROW()-1,60),ROW()-1,FALSE))</f>
        <v>1.5670406910000001</v>
      </c>
      <c r="X172">
        <f ca="1">IF(AND(ISNUMBER($X$414),$B$258=1),$X$414,HLOOKUP(INDIRECT(ADDRESS(2,COLUMN())),OFFSET($BN$2,0,0,ROW()-1,60),ROW()-1,FALSE))</f>
        <v>1.499918125</v>
      </c>
      <c r="Y172">
        <f ca="1">IF(AND(ISNUMBER($Y$414),$B$258=1),$Y$414,HLOOKUP(INDIRECT(ADDRESS(2,COLUMN())),OFFSET($BN$2,0,0,ROW()-1,60),ROW()-1,FALSE))</f>
        <v>1.4788221800000001</v>
      </c>
      <c r="Z172">
        <f ca="1">IF(AND(ISNUMBER($Z$414),$B$258=1),$Z$414,HLOOKUP(INDIRECT(ADDRESS(2,COLUMN())),OFFSET($BN$2,0,0,ROW()-1,60),ROW()-1,FALSE))</f>
        <v>1.480977327</v>
      </c>
      <c r="AA172">
        <f ca="1">IF(AND(ISNUMBER($AA$414),$B$258=1),$AA$414,HLOOKUP(INDIRECT(ADDRESS(2,COLUMN())),OFFSET($BN$2,0,0,ROW()-1,60),ROW()-1,FALSE))</f>
        <v>1.4200310119999999</v>
      </c>
      <c r="AB172">
        <f ca="1">IF(AND(ISNUMBER($AB$414),$B$258=1),$AB$414,HLOOKUP(INDIRECT(ADDRESS(2,COLUMN())),OFFSET($BN$2,0,0,ROW()-1,60),ROW()-1,FALSE))</f>
        <v>1.3931051409999999</v>
      </c>
      <c r="AC172">
        <f ca="1">IF(AND(ISNUMBER($AC$414),$B$258=1),$AC$414,HLOOKUP(INDIRECT(ADDRESS(2,COLUMN())),OFFSET($BN$2,0,0,ROW()-1,60),ROW()-1,FALSE))</f>
        <v>1.4948728760000001</v>
      </c>
      <c r="AD172">
        <f ca="1">IF(AND(ISNUMBER($AD$414),$B$258=1),$AD$414,HLOOKUP(INDIRECT(ADDRESS(2,COLUMN())),OFFSET($BN$2,0,0,ROW()-1,60),ROW()-1,FALSE))</f>
        <v>1.415286005</v>
      </c>
      <c r="AE172">
        <f ca="1">IF(AND(ISNUMBER($AE$414),$B$258=1),$AE$414,HLOOKUP(INDIRECT(ADDRESS(2,COLUMN())),OFFSET($BN$2,0,0,ROW()-1,60),ROW()-1,FALSE))</f>
        <v>1.469582787</v>
      </c>
      <c r="AF172">
        <f ca="1">IF(AND(ISNUMBER($AF$414),$B$258=1),$AF$414,HLOOKUP(INDIRECT(ADDRESS(2,COLUMN())),OFFSET($BN$2,0,0,ROW()-1,60),ROW()-1,FALSE))</f>
        <v>1.4876735190000001</v>
      </c>
      <c r="AG172">
        <f ca="1">IF(AND(ISNUMBER($AG$414),$B$258=1),$AG$414,HLOOKUP(INDIRECT(ADDRESS(2,COLUMN())),OFFSET($BN$2,0,0,ROW()-1,60),ROW()-1,FALSE))</f>
        <v>1.573808031</v>
      </c>
      <c r="AH172">
        <f ca="1">IF(AND(ISNUMBER($AH$414),$B$258=1),$AH$414,HLOOKUP(INDIRECT(ADDRESS(2,COLUMN())),OFFSET($BN$2,0,0,ROW()-1,60),ROW()-1,FALSE))</f>
        <v>1.627490581</v>
      </c>
      <c r="AI172">
        <f ca="1">IF(AND(ISNUMBER($AI$414),$B$258=1),$AI$414,HLOOKUP(INDIRECT(ADDRESS(2,COLUMN())),OFFSET($BN$2,0,0,ROW()-1,60),ROW()-1,FALSE))</f>
        <v>1.591073634</v>
      </c>
      <c r="AJ172">
        <f ca="1">IF(AND(ISNUMBER($AJ$414),$B$258=1),$AJ$414,HLOOKUP(INDIRECT(ADDRESS(2,COLUMN())),OFFSET($BN$2,0,0,ROW()-1,60),ROW()-1,FALSE))</f>
        <v>1.5050110459999999</v>
      </c>
      <c r="AK172">
        <f ca="1">IF(AND(ISNUMBER($AK$414),$B$258=1),$AK$414,HLOOKUP(INDIRECT(ADDRESS(2,COLUMN())),OFFSET($BN$2,0,0,ROW()-1,60),ROW()-1,FALSE))</f>
        <v>1.5216447230000001</v>
      </c>
      <c r="AL172">
        <f ca="1">IF(AND(ISNUMBER($AL$414),$B$258=1),$AL$414,HLOOKUP(INDIRECT(ADDRESS(2,COLUMN())),OFFSET($BN$2,0,0,ROW()-1,60),ROW()-1,FALSE))</f>
        <v>1.493346584</v>
      </c>
      <c r="AM172">
        <f ca="1">IF(AND(ISNUMBER($AM$414),$B$258=1),$AM$414,HLOOKUP(INDIRECT(ADDRESS(2,COLUMN())),OFFSET($BN$2,0,0,ROW()-1,60),ROW()-1,FALSE))</f>
        <v>1.5317729579999999</v>
      </c>
      <c r="AN172">
        <f ca="1">IF(AND(ISNUMBER($AN$414),$B$258=1),$AN$414,HLOOKUP(INDIRECT(ADDRESS(2,COLUMN())),OFFSET($BN$2,0,0,ROW()-1,60),ROW()-1,FALSE))</f>
        <v>1.513146315</v>
      </c>
      <c r="AO172">
        <f ca="1">IF(AND(ISNUMBER($AO$414),$B$258=1),$AO$414,HLOOKUP(INDIRECT(ADDRESS(2,COLUMN())),OFFSET($BN$2,0,0,ROW()-1,60),ROW()-1,FALSE))</f>
        <v>1.7020610899999999</v>
      </c>
      <c r="AP172">
        <f ca="1">IF(AND(ISNUMBER($AP$414),$B$258=1),$AP$414,HLOOKUP(INDIRECT(ADDRESS(2,COLUMN())),OFFSET($BN$2,0,0,ROW()-1,60),ROW()-1,FALSE))</f>
        <v>1.8764460329999999</v>
      </c>
      <c r="AQ172">
        <f ca="1">IF(AND(ISNUMBER($AQ$414),$B$258=1),$AQ$414,HLOOKUP(INDIRECT(ADDRESS(2,COLUMN())),OFFSET($BN$2,0,0,ROW()-1,60),ROW()-1,FALSE))</f>
        <v>1.855847129</v>
      </c>
      <c r="AR172">
        <f ca="1">IF(AND(ISNUMBER($AR$414),$B$258=1),$AR$414,HLOOKUP(INDIRECT(ADDRESS(2,COLUMN())),OFFSET($BN$2,0,0,ROW()-1,60),ROW()-1,FALSE))</f>
        <v>1.6123703570000001</v>
      </c>
      <c r="AS172">
        <f ca="1">IF(AND(ISNUMBER($AS$414),$B$258=1),$AS$414,HLOOKUP(INDIRECT(ADDRESS(2,COLUMN())),OFFSET($BN$2,0,0,ROW()-1,60),ROW()-1,FALSE))</f>
        <v>1.6967140540000001</v>
      </c>
      <c r="AT172">
        <f ca="1">IF(AND(ISNUMBER($AT$414),$B$258=1),$AT$414,HLOOKUP(INDIRECT(ADDRESS(2,COLUMN())),OFFSET($BN$2,0,0,ROW()-1,60),ROW()-1,FALSE))</f>
        <v>1.6812241160000001</v>
      </c>
      <c r="AU172">
        <f ca="1">IF(AND(ISNUMBER($AU$414),$B$258=1),$AU$414,HLOOKUP(INDIRECT(ADDRESS(2,COLUMN())),OFFSET($BN$2,0,0,ROW()-1,60),ROW()-1,FALSE))</f>
        <v>1.702501295</v>
      </c>
      <c r="AV172">
        <f ca="1">IF(AND(ISNUMBER($AV$414),$B$258=1),$AV$414,HLOOKUP(INDIRECT(ADDRESS(2,COLUMN())),OFFSET($BN$2,0,0,ROW()-1,60),ROW()-1,FALSE))</f>
        <v>1.753953613</v>
      </c>
      <c r="AW172">
        <f ca="1">IF(AND(ISNUMBER($AW$414),$B$258=1),$AW$414,HLOOKUP(INDIRECT(ADDRESS(2,COLUMN())),OFFSET($BN$2,0,0,ROW()-1,60),ROW()-1,FALSE))</f>
        <v>1.8334996859999999</v>
      </c>
      <c r="AX172">
        <f ca="1">IF(AND(ISNUMBER($AX$414),$B$258=1),$AX$414,HLOOKUP(INDIRECT(ADDRESS(2,COLUMN())),OFFSET($BN$2,0,0,ROW()-1,60),ROW()-1,FALSE))</f>
        <v>1.8861683149999999</v>
      </c>
      <c r="AY172">
        <f ca="1">IF(AND(ISNUMBER($AY$414),$B$258=1),$AY$414,HLOOKUP(INDIRECT(ADDRESS(2,COLUMN())),OFFSET($BN$2,0,0,ROW()-1,60),ROW()-1,FALSE))</f>
        <v>1.924647759</v>
      </c>
      <c r="AZ172">
        <f ca="1">IF(AND(ISNUMBER($AZ$414),$B$258=1),$AZ$414,HLOOKUP(INDIRECT(ADDRESS(2,COLUMN())),OFFSET($BN$2,0,0,ROW()-1,60),ROW()-1,FALSE))</f>
        <v>1.9427740570000001</v>
      </c>
      <c r="BA172">
        <f ca="1">IF(AND(ISNUMBER($BA$414),$B$258=1),$BA$414,HLOOKUP(INDIRECT(ADDRESS(2,COLUMN())),OFFSET($BN$2,0,0,ROW()-1,60),ROW()-1,FALSE))</f>
        <v>2.1543335149999998</v>
      </c>
      <c r="BB172">
        <f ca="1">IF(AND(ISNUMBER($BB$414),$B$258=1),$BB$414,HLOOKUP(INDIRECT(ADDRESS(2,COLUMN())),OFFSET($BN$2,0,0,ROW()-1,60),ROW()-1,FALSE))</f>
        <v>2.0715846249999998</v>
      </c>
      <c r="BC172">
        <f ca="1">IF(AND(ISNUMBER($BC$414),$B$258=1),$BC$414,HLOOKUP(INDIRECT(ADDRESS(2,COLUMN())),OFFSET($BN$2,0,0,ROW()-1,60),ROW()-1,FALSE))</f>
        <v>2.0971071060000002</v>
      </c>
      <c r="BD172">
        <f ca="1">IF(AND(ISNUMBER($BD$414),$B$258=1),$BD$414,HLOOKUP(INDIRECT(ADDRESS(2,COLUMN())),OFFSET($BN$2,0,0,ROW()-1,60),ROW()-1,FALSE))</f>
        <v>2.147028852</v>
      </c>
      <c r="BE172">
        <f ca="1">IF(AND(ISNUMBER($BE$414),$B$258=1),$BE$414,HLOOKUP(INDIRECT(ADDRESS(2,COLUMN())),OFFSET($BN$2,0,0,ROW()-1,60),ROW()-1,FALSE))</f>
        <v>2.1354737309999998</v>
      </c>
      <c r="BF172">
        <f ca="1">IF(AND(ISNUMBER($BF$414),$B$258=1),$BF$414,HLOOKUP(INDIRECT(ADDRESS(2,COLUMN())),OFFSET($BN$2,0,0,ROW()-1,60),ROW()-1,FALSE))</f>
        <v>2.12601979</v>
      </c>
      <c r="BG172">
        <f ca="1">IF(AND(ISNUMBER($BG$414),$B$258=1),$BG$414,HLOOKUP(INDIRECT(ADDRESS(2,COLUMN())),OFFSET($BN$2,0,0,ROW()-1,60),ROW()-1,FALSE))</f>
        <v>2.1208236170000001</v>
      </c>
      <c r="BH172">
        <f ca="1">IF(AND(ISNUMBER($BH$414),$B$258=1),$BH$414,HLOOKUP(INDIRECT(ADDRESS(2,COLUMN())),OFFSET($BN$2,0,0,ROW()-1,60),ROW()-1,FALSE))</f>
        <v>2.4187396730000001</v>
      </c>
      <c r="BI172">
        <f ca="1">IF(AND(ISNUMBER($BI$414),$B$258=1),$BI$414,HLOOKUP(INDIRECT(ADDRESS(2,COLUMN())),OFFSET($BN$2,0,0,ROW()-1,60),ROW()-1,FALSE))</f>
        <v>2.511494388</v>
      </c>
      <c r="BJ172">
        <f ca="1">IF(AND(ISNUMBER($BJ$414),$B$258=1),$BJ$414,HLOOKUP(INDIRECT(ADDRESS(2,COLUMN())),OFFSET($BN$2,0,0,ROW()-1,60),ROW()-1,FALSE))</f>
        <v>2.6476479089999998</v>
      </c>
      <c r="BK172">
        <f ca="1">IF(AND(ISNUMBER($BK$414),$B$258=1),$BK$414,HLOOKUP(INDIRECT(ADDRESS(2,COLUMN())),OFFSET($BN$2,0,0,ROW()-1,60),ROW()-1,FALSE))</f>
        <v>3.5013384049999998</v>
      </c>
      <c r="BL172">
        <f ca="1">IF(AND(ISNUMBER($BL$414),$B$258=1),$BL$414,HLOOKUP(INDIRECT(ADDRESS(2,COLUMN())),OFFSET($BN$2,0,0,ROW()-1,60),ROW()-1,FALSE))</f>
        <v>4.386689391</v>
      </c>
      <c r="BM172">
        <f ca="1">IF(AND(ISNUMBER($BM$414),$B$258=1),$BM$414,HLOOKUP(INDIRECT(ADDRESS(2,COLUMN())),OFFSET($BN$2,0,0,ROW()-1,60),ROW()-1,FALSE))</f>
        <v>2.5148228119999998</v>
      </c>
      <c r="BN172" t="str">
        <f>""</f>
        <v/>
      </c>
      <c r="BO172">
        <f>1.842777301</f>
        <v>1.8427773009999999</v>
      </c>
      <c r="BP172">
        <f>1.827987167</f>
        <v>1.8279871670000001</v>
      </c>
      <c r="BQ172">
        <f>1.78832773</f>
        <v>1.78832773</v>
      </c>
      <c r="BR172">
        <f>1.833407484</f>
        <v>1.8334074840000001</v>
      </c>
      <c r="BS172">
        <f>1.560396455</f>
        <v>1.560396455</v>
      </c>
      <c r="BT172">
        <f>1.664969808</f>
        <v>1.6649698079999999</v>
      </c>
      <c r="BU172">
        <f>-0.16157751</f>
        <v>-0.16157751000000001</v>
      </c>
      <c r="BV172">
        <f>1.348188776</f>
        <v>1.348188776</v>
      </c>
      <c r="BW172">
        <f>1.691346314</f>
        <v>1.691346314</v>
      </c>
      <c r="BX172">
        <f>1.758783958</f>
        <v>1.758783958</v>
      </c>
      <c r="BY172">
        <f>1.705214719</f>
        <v>1.705214719</v>
      </c>
      <c r="BZ172">
        <f>1.443315491</f>
        <v>1.4433154909999999</v>
      </c>
      <c r="CA172">
        <f>0.916922963</f>
        <v>0.91692296299999998</v>
      </c>
      <c r="CB172">
        <f>1.605848036</f>
        <v>1.605848036</v>
      </c>
      <c r="CC172">
        <f>1.567726398</f>
        <v>1.567726398</v>
      </c>
      <c r="CD172">
        <f>1.593806987</f>
        <v>1.593806987</v>
      </c>
      <c r="CE172">
        <f>1.567040691</f>
        <v>1.5670406910000001</v>
      </c>
      <c r="CF172">
        <f>1.499918125</f>
        <v>1.499918125</v>
      </c>
      <c r="CG172">
        <f>1.47882218</f>
        <v>1.4788221800000001</v>
      </c>
      <c r="CH172">
        <f>1.480977327</f>
        <v>1.480977327</v>
      </c>
      <c r="CI172">
        <f>1.420031012</f>
        <v>1.4200310119999999</v>
      </c>
      <c r="CJ172">
        <f>1.393105141</f>
        <v>1.3931051409999999</v>
      </c>
      <c r="CK172">
        <f>1.494872876</f>
        <v>1.4948728760000001</v>
      </c>
      <c r="CL172">
        <f>1.415286005</f>
        <v>1.415286005</v>
      </c>
      <c r="CM172">
        <f>1.469582787</f>
        <v>1.469582787</v>
      </c>
      <c r="CN172">
        <f>1.487673519</f>
        <v>1.4876735190000001</v>
      </c>
      <c r="CO172">
        <f>1.573808031</f>
        <v>1.573808031</v>
      </c>
      <c r="CP172">
        <f>1.627490581</f>
        <v>1.627490581</v>
      </c>
      <c r="CQ172">
        <f>1.591073634</f>
        <v>1.591073634</v>
      </c>
      <c r="CR172">
        <f>1.505011046</f>
        <v>1.5050110459999999</v>
      </c>
      <c r="CS172">
        <f>1.521644723</f>
        <v>1.5216447230000001</v>
      </c>
      <c r="CT172">
        <f>1.493346584</f>
        <v>1.493346584</v>
      </c>
      <c r="CU172">
        <f>1.531772958</f>
        <v>1.5317729579999999</v>
      </c>
      <c r="CV172">
        <f>1.513146315</f>
        <v>1.513146315</v>
      </c>
      <c r="CW172">
        <f>1.70206109</f>
        <v>1.7020610899999999</v>
      </c>
      <c r="CX172">
        <f>1.876446033</f>
        <v>1.8764460329999999</v>
      </c>
      <c r="CY172">
        <f>1.855847129</f>
        <v>1.855847129</v>
      </c>
      <c r="CZ172">
        <f>1.612370357</f>
        <v>1.6123703570000001</v>
      </c>
      <c r="DA172">
        <f>1.696714054</f>
        <v>1.6967140540000001</v>
      </c>
      <c r="DB172">
        <f>1.681224116</f>
        <v>1.6812241160000001</v>
      </c>
      <c r="DC172">
        <f>1.702501295</f>
        <v>1.702501295</v>
      </c>
      <c r="DD172">
        <f>1.753953613</f>
        <v>1.753953613</v>
      </c>
      <c r="DE172">
        <f>1.833499686</f>
        <v>1.8334996859999999</v>
      </c>
      <c r="DF172">
        <f>1.886168315</f>
        <v>1.8861683149999999</v>
      </c>
      <c r="DG172">
        <f>1.924647759</f>
        <v>1.924647759</v>
      </c>
      <c r="DH172">
        <f>1.942774057</f>
        <v>1.9427740570000001</v>
      </c>
      <c r="DI172">
        <f>2.154333515</f>
        <v>2.1543335149999998</v>
      </c>
      <c r="DJ172">
        <f>2.071584625</f>
        <v>2.0715846249999998</v>
      </c>
      <c r="DK172">
        <f>2.097107106</f>
        <v>2.0971071060000002</v>
      </c>
      <c r="DL172">
        <f>2.147028852</f>
        <v>2.147028852</v>
      </c>
      <c r="DM172">
        <f>2.135473731</f>
        <v>2.1354737309999998</v>
      </c>
      <c r="DN172">
        <f>2.12601979</f>
        <v>2.12601979</v>
      </c>
      <c r="DO172">
        <f>2.120823617</f>
        <v>2.1208236170000001</v>
      </c>
      <c r="DP172">
        <f>2.418739673</f>
        <v>2.4187396730000001</v>
      </c>
      <c r="DQ172">
        <f>2.511494388</f>
        <v>2.511494388</v>
      </c>
      <c r="DR172">
        <f>2.647647909</f>
        <v>2.6476479089999998</v>
      </c>
      <c r="DS172">
        <f>3.501338405</f>
        <v>3.5013384049999998</v>
      </c>
      <c r="DT172">
        <f>4.386689391</f>
        <v>4.386689391</v>
      </c>
      <c r="DU172">
        <f>2.514822812</f>
        <v>2.5148228119999998</v>
      </c>
    </row>
    <row r="173" spans="1:125">
      <c r="A173" t="str">
        <f>"    Care Capital Properties Inc"</f>
        <v xml:space="preserve">    Care Capital Properties Inc</v>
      </c>
      <c r="B173" t="str">
        <f>"CCP US Equity"</f>
        <v>CCP US Equity</v>
      </c>
      <c r="C173" t="str">
        <f t="shared" si="42"/>
        <v>RR553</v>
      </c>
      <c r="D173" t="str">
        <f t="shared" si="43"/>
        <v>EBITDA_RE_ASSET</v>
      </c>
      <c r="E173" t="str">
        <f t="shared" si="44"/>
        <v>动态</v>
      </c>
      <c r="F173" t="str">
        <f ca="1">IF(AND(ISNUMBER($F$415),$B$258=1),$F$415,HLOOKUP(INDIRECT(ADDRESS(2,COLUMN())),OFFSET($BN$2,0,0,ROW()-1,60),ROW()-1,FALSE))</f>
        <v/>
      </c>
      <c r="G173" t="str">
        <f ca="1">IF(AND(ISNUMBER($G$415),$B$258=1),$G$415,HLOOKUP(INDIRECT(ADDRESS(2,COLUMN())),OFFSET($BN$2,0,0,ROW()-1,60),ROW()-1,FALSE))</f>
        <v/>
      </c>
      <c r="H173" t="str">
        <f ca="1">IF(AND(ISNUMBER($H$415),$B$258=1),$H$415,HLOOKUP(INDIRECT(ADDRESS(2,COLUMN())),OFFSET($BN$2,0,0,ROW()-1,60),ROW()-1,FALSE))</f>
        <v/>
      </c>
      <c r="I173">
        <f ca="1">IF(AND(ISNUMBER($I$415),$B$258=1),$I$415,HLOOKUP(INDIRECT(ADDRESS(2,COLUMN())),OFFSET($BN$2,0,0,ROW()-1,60),ROW()-1,FALSE))</f>
        <v>3.3390213210000002</v>
      </c>
      <c r="J173">
        <f ca="1">IF(AND(ISNUMBER($J$415),$B$258=1),$J$415,HLOOKUP(INDIRECT(ADDRESS(2,COLUMN())),OFFSET($BN$2,0,0,ROW()-1,60),ROW()-1,FALSE))</f>
        <v>2.8652135900000002</v>
      </c>
      <c r="K173">
        <f ca="1">IF(AND(ISNUMBER($K$415),$B$258=1),$K$415,HLOOKUP(INDIRECT(ADDRESS(2,COLUMN())),OFFSET($BN$2,0,0,ROW()-1,60),ROW()-1,FALSE))</f>
        <v>3.1507918290000001</v>
      </c>
      <c r="L173">
        <f ca="1">IF(AND(ISNUMBER($L$415),$B$258=1),$L$415,HLOOKUP(INDIRECT(ADDRESS(2,COLUMN())),OFFSET($BN$2,0,0,ROW()-1,60),ROW()-1,FALSE))</f>
        <v>2.8583596139999998</v>
      </c>
      <c r="M173">
        <f ca="1">IF(AND(ISNUMBER($M$415),$B$258=1),$M$415,HLOOKUP(INDIRECT(ADDRESS(2,COLUMN())),OFFSET($BN$2,0,0,ROW()-1,60),ROW()-1,FALSE))</f>
        <v>2.8659099530000001</v>
      </c>
      <c r="N173">
        <f ca="1">IF(AND(ISNUMBER($N$415),$B$258=1),$N$415,HLOOKUP(INDIRECT(ADDRESS(2,COLUMN())),OFFSET($BN$2,0,0,ROW()-1,60),ROW()-1,FALSE))</f>
        <v>2.8223288219999998</v>
      </c>
      <c r="O173">
        <f ca="1">IF(AND(ISNUMBER($O$415),$B$258=1),$O$415,HLOOKUP(INDIRECT(ADDRESS(2,COLUMN())),OFFSET($BN$2,0,0,ROW()-1,60),ROW()-1,FALSE))</f>
        <v>2.7774209769999998</v>
      </c>
      <c r="P173">
        <f ca="1">IF(AND(ISNUMBER($P$415),$B$258=1),$P$415,HLOOKUP(INDIRECT(ADDRESS(2,COLUMN())),OFFSET($BN$2,0,0,ROW()-1,60),ROW()-1,FALSE))</f>
        <v>2.532013896</v>
      </c>
      <c r="Q173" t="str">
        <f ca="1">IF(AND(ISNUMBER($Q$415),$B$258=1),$Q$415,HLOOKUP(INDIRECT(ADDRESS(2,COLUMN())),OFFSET($BN$2,0,0,ROW()-1,60),ROW()-1,FALSE))</f>
        <v/>
      </c>
      <c r="R173" t="str">
        <f ca="1">IF(AND(ISNUMBER($R$415),$B$258=1),$R$415,HLOOKUP(INDIRECT(ADDRESS(2,COLUMN())),OFFSET($BN$2,0,0,ROW()-1,60),ROW()-1,FALSE))</f>
        <v/>
      </c>
      <c r="S173" t="str">
        <f ca="1">IF(AND(ISNUMBER($S$415),$B$258=1),$S$415,HLOOKUP(INDIRECT(ADDRESS(2,COLUMN())),OFFSET($BN$2,0,0,ROW()-1,60),ROW()-1,FALSE))</f>
        <v/>
      </c>
      <c r="T173" t="str">
        <f ca="1">IF(AND(ISNUMBER($T$415),$B$258=1),$T$415,HLOOKUP(INDIRECT(ADDRESS(2,COLUMN())),OFFSET($BN$2,0,0,ROW()-1,60),ROW()-1,FALSE))</f>
        <v/>
      </c>
      <c r="U173" t="str">
        <f ca="1">IF(AND(ISNUMBER($U$415),$B$258=1),$U$415,HLOOKUP(INDIRECT(ADDRESS(2,COLUMN())),OFFSET($BN$2,0,0,ROW()-1,60),ROW()-1,FALSE))</f>
        <v/>
      </c>
      <c r="V173" t="str">
        <f ca="1">IF(AND(ISNUMBER($V$415),$B$258=1),$V$415,HLOOKUP(INDIRECT(ADDRESS(2,COLUMN())),OFFSET($BN$2,0,0,ROW()-1,60),ROW()-1,FALSE))</f>
        <v/>
      </c>
      <c r="W173" t="str">
        <f ca="1">IF(AND(ISNUMBER($W$415),$B$258=1),$W$415,HLOOKUP(INDIRECT(ADDRESS(2,COLUMN())),OFFSET($BN$2,0,0,ROW()-1,60),ROW()-1,FALSE))</f>
        <v/>
      </c>
      <c r="X173" t="str">
        <f ca="1">IF(AND(ISNUMBER($X$415),$B$258=1),$X$415,HLOOKUP(INDIRECT(ADDRESS(2,COLUMN())),OFFSET($BN$2,0,0,ROW()-1,60),ROW()-1,FALSE))</f>
        <v/>
      </c>
      <c r="Y173" t="str">
        <f ca="1">IF(AND(ISNUMBER($Y$415),$B$258=1),$Y$415,HLOOKUP(INDIRECT(ADDRESS(2,COLUMN())),OFFSET($BN$2,0,0,ROW()-1,60),ROW()-1,FALSE))</f>
        <v/>
      </c>
      <c r="Z173" t="str">
        <f ca="1">IF(AND(ISNUMBER($Z$415),$B$258=1),$Z$415,HLOOKUP(INDIRECT(ADDRESS(2,COLUMN())),OFFSET($BN$2,0,0,ROW()-1,60),ROW()-1,FALSE))</f>
        <v/>
      </c>
      <c r="AA173" t="str">
        <f ca="1">IF(AND(ISNUMBER($AA$415),$B$258=1),$AA$415,HLOOKUP(INDIRECT(ADDRESS(2,COLUMN())),OFFSET($BN$2,0,0,ROW()-1,60),ROW()-1,FALSE))</f>
        <v/>
      </c>
      <c r="AB173" t="str">
        <f ca="1">IF(AND(ISNUMBER($AB$415),$B$258=1),$AB$415,HLOOKUP(INDIRECT(ADDRESS(2,COLUMN())),OFFSET($BN$2,0,0,ROW()-1,60),ROW()-1,FALSE))</f>
        <v/>
      </c>
      <c r="AC173" t="str">
        <f ca="1">IF(AND(ISNUMBER($AC$415),$B$258=1),$AC$415,HLOOKUP(INDIRECT(ADDRESS(2,COLUMN())),OFFSET($BN$2,0,0,ROW()-1,60),ROW()-1,FALSE))</f>
        <v/>
      </c>
      <c r="AD173" t="str">
        <f ca="1">IF(AND(ISNUMBER($AD$415),$B$258=1),$AD$415,HLOOKUP(INDIRECT(ADDRESS(2,COLUMN())),OFFSET($BN$2,0,0,ROW()-1,60),ROW()-1,FALSE))</f>
        <v/>
      </c>
      <c r="AE173" t="str">
        <f ca="1">IF(AND(ISNUMBER($AE$415),$B$258=1),$AE$415,HLOOKUP(INDIRECT(ADDRESS(2,COLUMN())),OFFSET($BN$2,0,0,ROW()-1,60),ROW()-1,FALSE))</f>
        <v/>
      </c>
      <c r="AF173" t="str">
        <f ca="1">IF(AND(ISNUMBER($AF$415),$B$258=1),$AF$415,HLOOKUP(INDIRECT(ADDRESS(2,COLUMN())),OFFSET($BN$2,0,0,ROW()-1,60),ROW()-1,FALSE))</f>
        <v/>
      </c>
      <c r="AG173" t="str">
        <f ca="1">IF(AND(ISNUMBER($AG$415),$B$258=1),$AG$415,HLOOKUP(INDIRECT(ADDRESS(2,COLUMN())),OFFSET($BN$2,0,0,ROW()-1,60),ROW()-1,FALSE))</f>
        <v/>
      </c>
      <c r="AH173" t="str">
        <f ca="1">IF(AND(ISNUMBER($AH$415),$B$258=1),$AH$415,HLOOKUP(INDIRECT(ADDRESS(2,COLUMN())),OFFSET($BN$2,0,0,ROW()-1,60),ROW()-1,FALSE))</f>
        <v/>
      </c>
      <c r="AI173" t="str">
        <f ca="1">IF(AND(ISNUMBER($AI$415),$B$258=1),$AI$415,HLOOKUP(INDIRECT(ADDRESS(2,COLUMN())),OFFSET($BN$2,0,0,ROW()-1,60),ROW()-1,FALSE))</f>
        <v/>
      </c>
      <c r="AJ173" t="str">
        <f ca="1">IF(AND(ISNUMBER($AJ$415),$B$258=1),$AJ$415,HLOOKUP(INDIRECT(ADDRESS(2,COLUMN())),OFFSET($BN$2,0,0,ROW()-1,60),ROW()-1,FALSE))</f>
        <v/>
      </c>
      <c r="AK173" t="str">
        <f ca="1">IF(AND(ISNUMBER($AK$415),$B$258=1),$AK$415,HLOOKUP(INDIRECT(ADDRESS(2,COLUMN())),OFFSET($BN$2,0,0,ROW()-1,60),ROW()-1,FALSE))</f>
        <v/>
      </c>
      <c r="AL173" t="str">
        <f ca="1">IF(AND(ISNUMBER($AL$415),$B$258=1),$AL$415,HLOOKUP(INDIRECT(ADDRESS(2,COLUMN())),OFFSET($BN$2,0,0,ROW()-1,60),ROW()-1,FALSE))</f>
        <v/>
      </c>
      <c r="AM173" t="str">
        <f ca="1">IF(AND(ISNUMBER($AM$415),$B$258=1),$AM$415,HLOOKUP(INDIRECT(ADDRESS(2,COLUMN())),OFFSET($BN$2,0,0,ROW()-1,60),ROW()-1,FALSE))</f>
        <v/>
      </c>
      <c r="AN173" t="str">
        <f ca="1">IF(AND(ISNUMBER($AN$415),$B$258=1),$AN$415,HLOOKUP(INDIRECT(ADDRESS(2,COLUMN())),OFFSET($BN$2,0,0,ROW()-1,60),ROW()-1,FALSE))</f>
        <v/>
      </c>
      <c r="AO173" t="str">
        <f ca="1">IF(AND(ISNUMBER($AO$415),$B$258=1),$AO$415,HLOOKUP(INDIRECT(ADDRESS(2,COLUMN())),OFFSET($BN$2,0,0,ROW()-1,60),ROW()-1,FALSE))</f>
        <v/>
      </c>
      <c r="AP173" t="str">
        <f ca="1">IF(AND(ISNUMBER($AP$415),$B$258=1),$AP$415,HLOOKUP(INDIRECT(ADDRESS(2,COLUMN())),OFFSET($BN$2,0,0,ROW()-1,60),ROW()-1,FALSE))</f>
        <v/>
      </c>
      <c r="AQ173" t="str">
        <f ca="1">IF(AND(ISNUMBER($AQ$415),$B$258=1),$AQ$415,HLOOKUP(INDIRECT(ADDRESS(2,COLUMN())),OFFSET($BN$2,0,0,ROW()-1,60),ROW()-1,FALSE))</f>
        <v/>
      </c>
      <c r="AR173" t="str">
        <f ca="1">IF(AND(ISNUMBER($AR$415),$B$258=1),$AR$415,HLOOKUP(INDIRECT(ADDRESS(2,COLUMN())),OFFSET($BN$2,0,0,ROW()-1,60),ROW()-1,FALSE))</f>
        <v/>
      </c>
      <c r="AS173" t="str">
        <f ca="1">IF(AND(ISNUMBER($AS$415),$B$258=1),$AS$415,HLOOKUP(INDIRECT(ADDRESS(2,COLUMN())),OFFSET($BN$2,0,0,ROW()-1,60),ROW()-1,FALSE))</f>
        <v/>
      </c>
      <c r="AT173" t="str">
        <f ca="1">IF(AND(ISNUMBER($AT$415),$B$258=1),$AT$415,HLOOKUP(INDIRECT(ADDRESS(2,COLUMN())),OFFSET($BN$2,0,0,ROW()-1,60),ROW()-1,FALSE))</f>
        <v/>
      </c>
      <c r="AU173" t="str">
        <f ca="1">IF(AND(ISNUMBER($AU$415),$B$258=1),$AU$415,HLOOKUP(INDIRECT(ADDRESS(2,COLUMN())),OFFSET($BN$2,0,0,ROW()-1,60),ROW()-1,FALSE))</f>
        <v/>
      </c>
      <c r="AV173" t="str">
        <f ca="1">IF(AND(ISNUMBER($AV$415),$B$258=1),$AV$415,HLOOKUP(INDIRECT(ADDRESS(2,COLUMN())),OFFSET($BN$2,0,0,ROW()-1,60),ROW()-1,FALSE))</f>
        <v/>
      </c>
      <c r="AW173" t="str">
        <f ca="1">IF(AND(ISNUMBER($AW$415),$B$258=1),$AW$415,HLOOKUP(INDIRECT(ADDRESS(2,COLUMN())),OFFSET($BN$2,0,0,ROW()-1,60),ROW()-1,FALSE))</f>
        <v/>
      </c>
      <c r="AX173" t="str">
        <f ca="1">IF(AND(ISNUMBER($AX$415),$B$258=1),$AX$415,HLOOKUP(INDIRECT(ADDRESS(2,COLUMN())),OFFSET($BN$2,0,0,ROW()-1,60),ROW()-1,FALSE))</f>
        <v/>
      </c>
      <c r="AY173" t="str">
        <f ca="1">IF(AND(ISNUMBER($AY$415),$B$258=1),$AY$415,HLOOKUP(INDIRECT(ADDRESS(2,COLUMN())),OFFSET($BN$2,0,0,ROW()-1,60),ROW()-1,FALSE))</f>
        <v/>
      </c>
      <c r="AZ173" t="str">
        <f ca="1">IF(AND(ISNUMBER($AZ$415),$B$258=1),$AZ$415,HLOOKUP(INDIRECT(ADDRESS(2,COLUMN())),OFFSET($BN$2,0,0,ROW()-1,60),ROW()-1,FALSE))</f>
        <v/>
      </c>
      <c r="BA173" t="str">
        <f ca="1">IF(AND(ISNUMBER($BA$415),$B$258=1),$BA$415,HLOOKUP(INDIRECT(ADDRESS(2,COLUMN())),OFFSET($BN$2,0,0,ROW()-1,60),ROW()-1,FALSE))</f>
        <v/>
      </c>
      <c r="BB173" t="str">
        <f ca="1">IF(AND(ISNUMBER($BB$415),$B$258=1),$BB$415,HLOOKUP(INDIRECT(ADDRESS(2,COLUMN())),OFFSET($BN$2,0,0,ROW()-1,60),ROW()-1,FALSE))</f>
        <v/>
      </c>
      <c r="BC173" t="str">
        <f ca="1">IF(AND(ISNUMBER($BC$415),$B$258=1),$BC$415,HLOOKUP(INDIRECT(ADDRESS(2,COLUMN())),OFFSET($BN$2,0,0,ROW()-1,60),ROW()-1,FALSE))</f>
        <v/>
      </c>
      <c r="BD173" t="str">
        <f ca="1">IF(AND(ISNUMBER($BD$415),$B$258=1),$BD$415,HLOOKUP(INDIRECT(ADDRESS(2,COLUMN())),OFFSET($BN$2,0,0,ROW()-1,60),ROW()-1,FALSE))</f>
        <v/>
      </c>
      <c r="BE173" t="str">
        <f ca="1">IF(AND(ISNUMBER($BE$415),$B$258=1),$BE$415,HLOOKUP(INDIRECT(ADDRESS(2,COLUMN())),OFFSET($BN$2,0,0,ROW()-1,60),ROW()-1,FALSE))</f>
        <v/>
      </c>
      <c r="BF173" t="str">
        <f ca="1">IF(AND(ISNUMBER($BF$415),$B$258=1),$BF$415,HLOOKUP(INDIRECT(ADDRESS(2,COLUMN())),OFFSET($BN$2,0,0,ROW()-1,60),ROW()-1,FALSE))</f>
        <v/>
      </c>
      <c r="BG173" t="str">
        <f ca="1">IF(AND(ISNUMBER($BG$415),$B$258=1),$BG$415,HLOOKUP(INDIRECT(ADDRESS(2,COLUMN())),OFFSET($BN$2,0,0,ROW()-1,60),ROW()-1,FALSE))</f>
        <v/>
      </c>
      <c r="BH173" t="str">
        <f ca="1">IF(AND(ISNUMBER($BH$415),$B$258=1),$BH$415,HLOOKUP(INDIRECT(ADDRESS(2,COLUMN())),OFFSET($BN$2,0,0,ROW()-1,60),ROW()-1,FALSE))</f>
        <v/>
      </c>
      <c r="BI173" t="str">
        <f ca="1">IF(AND(ISNUMBER($BI$415),$B$258=1),$BI$415,HLOOKUP(INDIRECT(ADDRESS(2,COLUMN())),OFFSET($BN$2,0,0,ROW()-1,60),ROW()-1,FALSE))</f>
        <v/>
      </c>
      <c r="BJ173" t="str">
        <f ca="1">IF(AND(ISNUMBER($BJ$415),$B$258=1),$BJ$415,HLOOKUP(INDIRECT(ADDRESS(2,COLUMN())),OFFSET($BN$2,0,0,ROW()-1,60),ROW()-1,FALSE))</f>
        <v/>
      </c>
      <c r="BK173" t="str">
        <f ca="1">IF(AND(ISNUMBER($BK$415),$B$258=1),$BK$415,HLOOKUP(INDIRECT(ADDRESS(2,COLUMN())),OFFSET($BN$2,0,0,ROW()-1,60),ROW()-1,FALSE))</f>
        <v/>
      </c>
      <c r="BL173" t="str">
        <f ca="1">IF(AND(ISNUMBER($BL$415),$B$258=1),$BL$415,HLOOKUP(INDIRECT(ADDRESS(2,COLUMN())),OFFSET($BN$2,0,0,ROW()-1,60),ROW()-1,FALSE))</f>
        <v/>
      </c>
      <c r="BM173" t="str">
        <f ca="1">IF(AND(ISNUMBER($BM$415),$B$258=1),$BM$415,HLOOKUP(INDIRECT(ADDRESS(2,COLUMN())),OFFSET($BN$2,0,0,ROW()-1,60),ROW()-1,FALSE))</f>
        <v/>
      </c>
      <c r="BN173" t="str">
        <f>""</f>
        <v/>
      </c>
      <c r="BO173" t="str">
        <f>""</f>
        <v/>
      </c>
      <c r="BP173" t="str">
        <f>""</f>
        <v/>
      </c>
      <c r="BQ173">
        <f>3.339021321</f>
        <v>3.3390213210000002</v>
      </c>
      <c r="BR173">
        <f>2.86521359</f>
        <v>2.8652135900000002</v>
      </c>
      <c r="BS173">
        <f>3.150791829</f>
        <v>3.1507918290000001</v>
      </c>
      <c r="BT173">
        <f>2.858359614</f>
        <v>2.8583596139999998</v>
      </c>
      <c r="BU173">
        <f>2.865909953</f>
        <v>2.8659099530000001</v>
      </c>
      <c r="BV173">
        <f>2.822328822</f>
        <v>2.8223288219999998</v>
      </c>
      <c r="BW173">
        <f>2.777420977</f>
        <v>2.7774209769999998</v>
      </c>
      <c r="BX173">
        <f>2.532013896</f>
        <v>2.532013896</v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>
      <c r="A174" t="str">
        <f>"    HCP Inc"</f>
        <v xml:space="preserve">    HCP Inc</v>
      </c>
      <c r="B174" t="str">
        <f>"HCP US Equity"</f>
        <v>HCP US Equity</v>
      </c>
      <c r="C174" t="str">
        <f t="shared" si="42"/>
        <v>RR553</v>
      </c>
      <c r="D174" t="str">
        <f t="shared" si="43"/>
        <v>EBITDA_RE_ASSET</v>
      </c>
      <c r="E174" t="str">
        <f t="shared" si="44"/>
        <v>动态</v>
      </c>
      <c r="F174" t="str">
        <f ca="1">IF(AND(ISNUMBER($F$416),$B$258=1),$F$416,HLOOKUP(INDIRECT(ADDRESS(2,COLUMN())),OFFSET($BN$2,0,0,ROW()-1,60),ROW()-1,FALSE))</f>
        <v/>
      </c>
      <c r="G174">
        <f ca="1">IF(AND(ISNUMBER($G$416),$B$258=1),$G$416,HLOOKUP(INDIRECT(ADDRESS(2,COLUMN())),OFFSET($BN$2,0,0,ROW()-1,60),ROW()-1,FALSE))</f>
        <v>1.053099193</v>
      </c>
      <c r="H174">
        <f ca="1">IF(AND(ISNUMBER($H$416),$B$258=1),$H$416,HLOOKUP(INDIRECT(ADDRESS(2,COLUMN())),OFFSET($BN$2,0,0,ROW()-1,60),ROW()-1,FALSE))</f>
        <v>1.993680471</v>
      </c>
      <c r="I174">
        <f ca="1">IF(AND(ISNUMBER($I$416),$B$258=1),$I$416,HLOOKUP(INDIRECT(ADDRESS(2,COLUMN())),OFFSET($BN$2,0,0,ROW()-1,60),ROW()-1,FALSE))</f>
        <v>1.829459658</v>
      </c>
      <c r="J174">
        <f ca="1">IF(AND(ISNUMBER($J$416),$B$258=1),$J$416,HLOOKUP(INDIRECT(ADDRESS(2,COLUMN())),OFFSET($BN$2,0,0,ROW()-1,60),ROW()-1,FALSE))</f>
        <v>2.4172091010000001</v>
      </c>
      <c r="K174">
        <f ca="1">IF(AND(ISNUMBER($K$416),$B$258=1),$K$416,HLOOKUP(INDIRECT(ADDRESS(2,COLUMN())),OFFSET($BN$2,0,0,ROW()-1,60),ROW()-1,FALSE))</f>
        <v>2.2619707170000001</v>
      </c>
      <c r="L174">
        <f ca="1">IF(AND(ISNUMBER($L$416),$B$258=1),$L$416,HLOOKUP(INDIRECT(ADDRESS(2,COLUMN())),OFFSET($BN$2,0,0,ROW()-1,60),ROW()-1,FALSE))</f>
        <v>2.1547725459999998</v>
      </c>
      <c r="M174">
        <f ca="1">IF(AND(ISNUMBER($M$416),$B$258=1),$M$416,HLOOKUP(INDIRECT(ADDRESS(2,COLUMN())),OFFSET($BN$2,0,0,ROW()-1,60),ROW()-1,FALSE))</f>
        <v>1.744144116</v>
      </c>
      <c r="N174">
        <f ca="1">IF(AND(ISNUMBER($N$416),$B$258=1),$N$416,HLOOKUP(INDIRECT(ADDRESS(2,COLUMN())),OFFSET($BN$2,0,0,ROW()-1,60),ROW()-1,FALSE))</f>
        <v>2.2473440999999998</v>
      </c>
      <c r="O174">
        <f ca="1">IF(AND(ISNUMBER($O$416),$B$258=1),$O$416,HLOOKUP(INDIRECT(ADDRESS(2,COLUMN())),OFFSET($BN$2,0,0,ROW()-1,60),ROW()-1,FALSE))</f>
        <v>1.7072468089999999</v>
      </c>
      <c r="P174">
        <f ca="1">IF(AND(ISNUMBER($P$416),$B$258=1),$P$416,HLOOKUP(INDIRECT(ADDRESS(2,COLUMN())),OFFSET($BN$2,0,0,ROW()-1,60),ROW()-1,FALSE))</f>
        <v>1.936626739</v>
      </c>
      <c r="Q174">
        <f ca="1">IF(AND(ISNUMBER($Q$416),$B$258=1),$Q$416,HLOOKUP(INDIRECT(ADDRESS(2,COLUMN())),OFFSET($BN$2,0,0,ROW()-1,60),ROW()-1,FALSE))</f>
        <v>1.885939789</v>
      </c>
      <c r="R174">
        <f ca="1">IF(AND(ISNUMBER($R$416),$B$258=1),$R$416,HLOOKUP(INDIRECT(ADDRESS(2,COLUMN())),OFFSET($BN$2,0,0,ROW()-1,60),ROW()-1,FALSE))</f>
        <v>-0.114210673</v>
      </c>
      <c r="S174">
        <f ca="1">IF(AND(ISNUMBER($S$416),$B$258=1),$S$416,HLOOKUP(INDIRECT(ADDRESS(2,COLUMN())),OFFSET($BN$2,0,0,ROW()-1,60),ROW()-1,FALSE))</f>
        <v>2.3083716509999999</v>
      </c>
      <c r="T174">
        <f ca="1">IF(AND(ISNUMBER($T$416),$B$258=1),$T$416,HLOOKUP(INDIRECT(ADDRESS(2,COLUMN())),OFFSET($BN$2,0,0,ROW()-1,60),ROW()-1,FALSE))</f>
        <v>2.492028194</v>
      </c>
      <c r="U174">
        <f ca="1">IF(AND(ISNUMBER($U$416),$B$258=1),$U$416,HLOOKUP(INDIRECT(ADDRESS(2,COLUMN())),OFFSET($BN$2,0,0,ROW()-1,60),ROW()-1,FALSE))</f>
        <v>2.3333952870000001</v>
      </c>
      <c r="V174">
        <f ca="1">IF(AND(ISNUMBER($V$416),$B$258=1),$V$416,HLOOKUP(INDIRECT(ADDRESS(2,COLUMN())),OFFSET($BN$2,0,0,ROW()-1,60),ROW()-1,FALSE))</f>
        <v>2.3849605450000002</v>
      </c>
      <c r="W174">
        <f ca="1">IF(AND(ISNUMBER($W$416),$B$258=1),$W$416,HLOOKUP(INDIRECT(ADDRESS(2,COLUMN())),OFFSET($BN$2,0,0,ROW()-1,60),ROW()-1,FALSE))</f>
        <v>2.5939876979999998</v>
      </c>
      <c r="X174">
        <f ca="1">IF(AND(ISNUMBER($X$416),$B$258=1),$X$416,HLOOKUP(INDIRECT(ADDRESS(2,COLUMN())),OFFSET($BN$2,0,0,ROW()-1,60),ROW()-1,FALSE))</f>
        <v>2.3130274599999998</v>
      </c>
      <c r="Y174">
        <f ca="1">IF(AND(ISNUMBER($Y$416),$B$258=1),$Y$416,HLOOKUP(INDIRECT(ADDRESS(2,COLUMN())),OFFSET($BN$2,0,0,ROW()-1,60),ROW()-1,FALSE))</f>
        <v>2.2388077370000001</v>
      </c>
      <c r="Z174">
        <f ca="1">IF(AND(ISNUMBER($Z$416),$B$258=1),$Z$416,HLOOKUP(INDIRECT(ADDRESS(2,COLUMN())),OFFSET($BN$2,0,0,ROW()-1,60),ROW()-1,FALSE))</f>
        <v>2.3208517710000001</v>
      </c>
      <c r="AA174">
        <f ca="1">IF(AND(ISNUMBER($AA$416),$B$258=1),$AA$416,HLOOKUP(INDIRECT(ADDRESS(2,COLUMN())),OFFSET($BN$2,0,0,ROW()-1,60),ROW()-1,FALSE))</f>
        <v>2.3555296530000001</v>
      </c>
      <c r="AB174">
        <f ca="1">IF(AND(ISNUMBER($AB$416),$B$258=1),$AB$416,HLOOKUP(INDIRECT(ADDRESS(2,COLUMN())),OFFSET($BN$2,0,0,ROW()-1,60),ROW()-1,FALSE))</f>
        <v>2.2238679490000002</v>
      </c>
      <c r="AC174">
        <f ca="1">IF(AND(ISNUMBER($AC$416),$B$258=1),$AC$416,HLOOKUP(INDIRECT(ADDRESS(2,COLUMN())),OFFSET($BN$2,0,0,ROW()-1,60),ROW()-1,FALSE))</f>
        <v>2.3008171740000001</v>
      </c>
      <c r="AD174">
        <f ca="1">IF(AND(ISNUMBER($AD$416),$B$258=1),$AD$416,HLOOKUP(INDIRECT(ADDRESS(2,COLUMN())),OFFSET($BN$2,0,0,ROW()-1,60),ROW()-1,FALSE))</f>
        <v>2.2552025900000001</v>
      </c>
      <c r="AE174">
        <f ca="1">IF(AND(ISNUMBER($AE$416),$B$258=1),$AE$416,HLOOKUP(INDIRECT(ADDRESS(2,COLUMN())),OFFSET($BN$2,0,0,ROW()-1,60),ROW()-1,FALSE))</f>
        <v>1.6298577359999999</v>
      </c>
      <c r="AF174">
        <f ca="1">IF(AND(ISNUMBER($AF$416),$B$258=1),$AF$416,HLOOKUP(INDIRECT(ADDRESS(2,COLUMN())),OFFSET($BN$2,0,0,ROW()-1,60),ROW()-1,FALSE))</f>
        <v>2.1211267569999999</v>
      </c>
      <c r="AG174">
        <f ca="1">IF(AND(ISNUMBER($AG$416),$B$258=1),$AG$416,HLOOKUP(INDIRECT(ADDRESS(2,COLUMN())),OFFSET($BN$2,0,0,ROW()-1,60),ROW()-1,FALSE))</f>
        <v>2.4634806569999999</v>
      </c>
      <c r="AH174">
        <f ca="1">IF(AND(ISNUMBER($AH$416),$B$258=1),$AH$416,HLOOKUP(INDIRECT(ADDRESS(2,COLUMN())),OFFSET($BN$2,0,0,ROW()-1,60),ROW()-1,FALSE))</f>
        <v>2.07746326</v>
      </c>
      <c r="AI174">
        <f ca="1">IF(AND(ISNUMBER($AI$416),$B$258=1),$AI$416,HLOOKUP(INDIRECT(ADDRESS(2,COLUMN())),OFFSET($BN$2,0,0,ROW()-1,60),ROW()-1,FALSE))</f>
        <v>2.2969946029999999</v>
      </c>
      <c r="AJ174">
        <f ca="1">IF(AND(ISNUMBER($AJ$416),$B$258=1),$AJ$416,HLOOKUP(INDIRECT(ADDRESS(2,COLUMN())),OFFSET($BN$2,0,0,ROW()-1,60),ROW()-1,FALSE))</f>
        <v>1.452185783</v>
      </c>
      <c r="AK174">
        <f ca="1">IF(AND(ISNUMBER($AK$416),$B$258=1),$AK$416,HLOOKUP(INDIRECT(ADDRESS(2,COLUMN())),OFFSET($BN$2,0,0,ROW()-1,60),ROW()-1,FALSE))</f>
        <v>2.101646095</v>
      </c>
      <c r="AL174">
        <f ca="1">IF(AND(ISNUMBER($AL$416),$B$258=1),$AL$416,HLOOKUP(INDIRECT(ADDRESS(2,COLUMN())),OFFSET($BN$2,0,0,ROW()-1,60),ROW()-1,FALSE))</f>
        <v>2.1021903399999999</v>
      </c>
      <c r="AM174">
        <f ca="1">IF(AND(ISNUMBER($AM$416),$B$258=1),$AM$416,HLOOKUP(INDIRECT(ADDRESS(2,COLUMN())),OFFSET($BN$2,0,0,ROW()-1,60),ROW()-1,FALSE))</f>
        <v>1.5821647700000001</v>
      </c>
      <c r="AN174">
        <f ca="1">IF(AND(ISNUMBER($AN$416),$B$258=1),$AN$416,HLOOKUP(INDIRECT(ADDRESS(2,COLUMN())),OFFSET($BN$2,0,0,ROW()-1,60),ROW()-1,FALSE))</f>
        <v>0.90354951999999999</v>
      </c>
      <c r="AO174">
        <f ca="1">IF(AND(ISNUMBER($AO$416),$B$258=1),$AO$416,HLOOKUP(INDIRECT(ADDRESS(2,COLUMN())),OFFSET($BN$2,0,0,ROW()-1,60),ROW()-1,FALSE))</f>
        <v>2.0009551330000002</v>
      </c>
      <c r="AP174">
        <f ca="1">IF(AND(ISNUMBER($AP$416),$B$258=1),$AP$416,HLOOKUP(INDIRECT(ADDRESS(2,COLUMN())),OFFSET($BN$2,0,0,ROW()-1,60),ROW()-1,FALSE))</f>
        <v>1.9473534610000001</v>
      </c>
      <c r="AQ174">
        <f ca="1">IF(AND(ISNUMBER($AQ$416),$B$258=1),$AQ$416,HLOOKUP(INDIRECT(ADDRESS(2,COLUMN())),OFFSET($BN$2,0,0,ROW()-1,60),ROW()-1,FALSE))</f>
        <v>2.107612364</v>
      </c>
      <c r="AR174">
        <f ca="1">IF(AND(ISNUMBER($AR$416),$B$258=1),$AR$416,HLOOKUP(INDIRECT(ADDRESS(2,COLUMN())),OFFSET($BN$2,0,0,ROW()-1,60),ROW()-1,FALSE))</f>
        <v>1.8593756880000001</v>
      </c>
      <c r="AS174">
        <f ca="1">IF(AND(ISNUMBER($AS$416),$B$258=1),$AS$416,HLOOKUP(INDIRECT(ADDRESS(2,COLUMN())),OFFSET($BN$2,0,0,ROW()-1,60),ROW()-1,FALSE))</f>
        <v>1.6906217699999999</v>
      </c>
      <c r="AT174">
        <f ca="1">IF(AND(ISNUMBER($AT$416),$B$258=1),$AT$416,HLOOKUP(INDIRECT(ADDRESS(2,COLUMN())),OFFSET($BN$2,0,0,ROW()-1,60),ROW()-1,FALSE))</f>
        <v>1.5983285890000001</v>
      </c>
      <c r="AU174">
        <f ca="1">IF(AND(ISNUMBER($AU$416),$B$258=1),$AU$416,HLOOKUP(INDIRECT(ADDRESS(2,COLUMN())),OFFSET($BN$2,0,0,ROW()-1,60),ROW()-1,FALSE))</f>
        <v>1.6249259629999999</v>
      </c>
      <c r="AV174">
        <f ca="1">IF(AND(ISNUMBER($AV$416),$B$258=1),$AV$416,HLOOKUP(INDIRECT(ADDRESS(2,COLUMN())),OFFSET($BN$2,0,0,ROW()-1,60),ROW()-1,FALSE))</f>
        <v>1.748079017</v>
      </c>
      <c r="AW174">
        <f ca="1">IF(AND(ISNUMBER($AW$416),$B$258=1),$AW$416,HLOOKUP(INDIRECT(ADDRESS(2,COLUMN())),OFFSET($BN$2,0,0,ROW()-1,60),ROW()-1,FALSE))</f>
        <v>2.0488332809999998</v>
      </c>
      <c r="AX174">
        <f ca="1">IF(AND(ISNUMBER($AX$416),$B$258=1),$AX$416,HLOOKUP(INDIRECT(ADDRESS(2,COLUMN())),OFFSET($BN$2,0,0,ROW()-1,60),ROW()-1,FALSE))</f>
        <v>1.8879468479999999</v>
      </c>
      <c r="AY174">
        <f ca="1">IF(AND(ISNUMBER($AY$416),$B$258=1),$AY$416,HLOOKUP(INDIRECT(ADDRESS(2,COLUMN())),OFFSET($BN$2,0,0,ROW()-1,60),ROW()-1,FALSE))</f>
        <v>1.478068041</v>
      </c>
      <c r="AZ174">
        <f ca="1">IF(AND(ISNUMBER($AZ$416),$B$258=1),$AZ$416,HLOOKUP(INDIRECT(ADDRESS(2,COLUMN())),OFFSET($BN$2,0,0,ROW()-1,60),ROW()-1,FALSE))</f>
        <v>2.5993645810000001</v>
      </c>
      <c r="BA174">
        <f ca="1">IF(AND(ISNUMBER($BA$416),$B$258=1),$BA$416,HLOOKUP(INDIRECT(ADDRESS(2,COLUMN())),OFFSET($BN$2,0,0,ROW()-1,60),ROW()-1,FALSE))</f>
        <v>2.526918749</v>
      </c>
      <c r="BB174">
        <f ca="1">IF(AND(ISNUMBER($BB$416),$B$258=1),$BB$416,HLOOKUP(INDIRECT(ADDRESS(2,COLUMN())),OFFSET($BN$2,0,0,ROW()-1,60),ROW()-1,FALSE))</f>
        <v>2.7196585990000002</v>
      </c>
      <c r="BC174">
        <f ca="1">IF(AND(ISNUMBER($BC$416),$B$258=1),$BC$416,HLOOKUP(INDIRECT(ADDRESS(2,COLUMN())),OFFSET($BN$2,0,0,ROW()-1,60),ROW()-1,FALSE))</f>
        <v>1.8642151730000001</v>
      </c>
      <c r="BD174">
        <f ca="1">IF(AND(ISNUMBER($BD$416),$B$258=1),$BD$416,HLOOKUP(INDIRECT(ADDRESS(2,COLUMN())),OFFSET($BN$2,0,0,ROW()-1,60),ROW()-1,FALSE))</f>
        <v>2.8698533930000001</v>
      </c>
      <c r="BE174">
        <f ca="1">IF(AND(ISNUMBER($BE$416),$B$258=1),$BE$416,HLOOKUP(INDIRECT(ADDRESS(2,COLUMN())),OFFSET($BN$2,0,0,ROW()-1,60),ROW()-1,FALSE))</f>
        <v>3.0374711990000001</v>
      </c>
      <c r="BF174">
        <f ca="1">IF(AND(ISNUMBER($BF$416),$B$258=1),$BF$416,HLOOKUP(INDIRECT(ADDRESS(2,COLUMN())),OFFSET($BN$2,0,0,ROW()-1,60),ROW()-1,FALSE))</f>
        <v>2.9231031559999998</v>
      </c>
      <c r="BG174">
        <f ca="1">IF(AND(ISNUMBER($BG$416),$B$258=1),$BG$416,HLOOKUP(INDIRECT(ADDRESS(2,COLUMN())),OFFSET($BN$2,0,0,ROW()-1,60),ROW()-1,FALSE))</f>
        <v>2.7516807600000002</v>
      </c>
      <c r="BH174">
        <f ca="1">IF(AND(ISNUMBER($BH$416),$B$258=1),$BH$416,HLOOKUP(INDIRECT(ADDRESS(2,COLUMN())),OFFSET($BN$2,0,0,ROW()-1,60),ROW()-1,FALSE))</f>
        <v>3.4917848490000001</v>
      </c>
      <c r="BI174">
        <f ca="1">IF(AND(ISNUMBER($BI$416),$B$258=1),$BI$416,HLOOKUP(INDIRECT(ADDRESS(2,COLUMN())),OFFSET($BN$2,0,0,ROW()-1,60),ROW()-1,FALSE))</f>
        <v>3.3744381739999998</v>
      </c>
      <c r="BJ174">
        <f ca="1">IF(AND(ISNUMBER($BJ$416),$B$258=1),$BJ$416,HLOOKUP(INDIRECT(ADDRESS(2,COLUMN())),OFFSET($BN$2,0,0,ROW()-1,60),ROW()-1,FALSE))</f>
        <v>2.8169240069999999</v>
      </c>
      <c r="BK174" t="str">
        <f ca="1">IF(AND(ISNUMBER($BK$416),$B$258=1),$BK$416,HLOOKUP(INDIRECT(ADDRESS(2,COLUMN())),OFFSET($BN$2,0,0,ROW()-1,60),ROW()-1,FALSE))</f>
        <v/>
      </c>
      <c r="BL174">
        <f ca="1">IF(AND(ISNUMBER($BL$416),$B$258=1),$BL$416,HLOOKUP(INDIRECT(ADDRESS(2,COLUMN())),OFFSET($BN$2,0,0,ROW()-1,60),ROW()-1,FALSE))</f>
        <v>3.419690557</v>
      </c>
      <c r="BM174">
        <f ca="1">IF(AND(ISNUMBER($BM$416),$B$258=1),$BM$416,HLOOKUP(INDIRECT(ADDRESS(2,COLUMN())),OFFSET($BN$2,0,0,ROW()-1,60),ROW()-1,FALSE))</f>
        <v>3.0689705890000001</v>
      </c>
      <c r="BN174" t="str">
        <f>""</f>
        <v/>
      </c>
      <c r="BO174">
        <f>1.053099193</f>
        <v>1.053099193</v>
      </c>
      <c r="BP174">
        <f>1.993680471</f>
        <v>1.993680471</v>
      </c>
      <c r="BQ174">
        <f>1.829459658</f>
        <v>1.829459658</v>
      </c>
      <c r="BR174">
        <f>2.417209101</f>
        <v>2.4172091010000001</v>
      </c>
      <c r="BS174">
        <f>2.261970717</f>
        <v>2.2619707170000001</v>
      </c>
      <c r="BT174">
        <f>2.154772546</f>
        <v>2.1547725459999998</v>
      </c>
      <c r="BU174">
        <f>1.744144116</f>
        <v>1.744144116</v>
      </c>
      <c r="BV174">
        <f>2.2473441</f>
        <v>2.2473440999999998</v>
      </c>
      <c r="BW174">
        <f>1.707246809</f>
        <v>1.7072468089999999</v>
      </c>
      <c r="BX174">
        <f>1.936626739</f>
        <v>1.936626739</v>
      </c>
      <c r="BY174">
        <f>1.885939789</f>
        <v>1.885939789</v>
      </c>
      <c r="BZ174">
        <f>-0.114210673</f>
        <v>-0.114210673</v>
      </c>
      <c r="CA174">
        <f>2.308371651</f>
        <v>2.3083716509999999</v>
      </c>
      <c r="CB174">
        <f>2.492028194</f>
        <v>2.492028194</v>
      </c>
      <c r="CC174">
        <f>2.333395287</f>
        <v>2.3333952870000001</v>
      </c>
      <c r="CD174">
        <f>2.384960545</f>
        <v>2.3849605450000002</v>
      </c>
      <c r="CE174">
        <f>2.593987698</f>
        <v>2.5939876979999998</v>
      </c>
      <c r="CF174">
        <f>2.31302746</f>
        <v>2.3130274599999998</v>
      </c>
      <c r="CG174">
        <f>2.238807737</f>
        <v>2.2388077370000001</v>
      </c>
      <c r="CH174">
        <f>2.320851771</f>
        <v>2.3208517710000001</v>
      </c>
      <c r="CI174">
        <f>2.355529653</f>
        <v>2.3555296530000001</v>
      </c>
      <c r="CJ174">
        <f>2.223867949</f>
        <v>2.2238679490000002</v>
      </c>
      <c r="CK174">
        <f>2.300817174</f>
        <v>2.3008171740000001</v>
      </c>
      <c r="CL174">
        <f>2.25520259</f>
        <v>2.2552025900000001</v>
      </c>
      <c r="CM174">
        <f>1.629857736</f>
        <v>1.6298577359999999</v>
      </c>
      <c r="CN174">
        <f>2.121126757</f>
        <v>2.1211267569999999</v>
      </c>
      <c r="CO174">
        <f>2.463480657</f>
        <v>2.4634806569999999</v>
      </c>
      <c r="CP174">
        <f>2.07746326</f>
        <v>2.07746326</v>
      </c>
      <c r="CQ174">
        <f>2.296994603</f>
        <v>2.2969946029999999</v>
      </c>
      <c r="CR174">
        <f>1.452185783</f>
        <v>1.452185783</v>
      </c>
      <c r="CS174">
        <f>2.101646095</f>
        <v>2.101646095</v>
      </c>
      <c r="CT174">
        <f>2.10219034</f>
        <v>2.1021903399999999</v>
      </c>
      <c r="CU174">
        <f>1.58216477</f>
        <v>1.5821647700000001</v>
      </c>
      <c r="CV174">
        <f>0.90354952</f>
        <v>0.90354951999999999</v>
      </c>
      <c r="CW174">
        <f>2.000955133</f>
        <v>2.0009551330000002</v>
      </c>
      <c r="CX174">
        <f>1.947353461</f>
        <v>1.9473534610000001</v>
      </c>
      <c r="CY174">
        <f>2.107612364</f>
        <v>2.107612364</v>
      </c>
      <c r="CZ174">
        <f>1.859375688</f>
        <v>1.8593756880000001</v>
      </c>
      <c r="DA174">
        <f>1.69062177</f>
        <v>1.6906217699999999</v>
      </c>
      <c r="DB174">
        <f>1.598328589</f>
        <v>1.5983285890000001</v>
      </c>
      <c r="DC174">
        <f>1.624925963</f>
        <v>1.6249259629999999</v>
      </c>
      <c r="DD174">
        <f>1.748079017</f>
        <v>1.748079017</v>
      </c>
      <c r="DE174">
        <f>2.048833281</f>
        <v>2.0488332809999998</v>
      </c>
      <c r="DF174">
        <f>1.887946848</f>
        <v>1.8879468479999999</v>
      </c>
      <c r="DG174">
        <f>1.478068041</f>
        <v>1.478068041</v>
      </c>
      <c r="DH174">
        <f>2.599364581</f>
        <v>2.5993645810000001</v>
      </c>
      <c r="DI174">
        <f>2.526918749</f>
        <v>2.526918749</v>
      </c>
      <c r="DJ174">
        <f>2.719658599</f>
        <v>2.7196585990000002</v>
      </c>
      <c r="DK174">
        <f>1.864215173</f>
        <v>1.8642151730000001</v>
      </c>
      <c r="DL174">
        <f>2.869853393</f>
        <v>2.8698533930000001</v>
      </c>
      <c r="DM174">
        <f>3.037471199</f>
        <v>3.0374711990000001</v>
      </c>
      <c r="DN174">
        <f>2.923103156</f>
        <v>2.9231031559999998</v>
      </c>
      <c r="DO174">
        <f>2.75168076</f>
        <v>2.7516807600000002</v>
      </c>
      <c r="DP174">
        <f>3.491784849</f>
        <v>3.4917848490000001</v>
      </c>
      <c r="DQ174">
        <f>3.374438174</f>
        <v>3.3744381739999998</v>
      </c>
      <c r="DR174">
        <f>2.816924007</f>
        <v>2.8169240069999999</v>
      </c>
      <c r="DS174" t="str">
        <f>""</f>
        <v/>
      </c>
      <c r="DT174">
        <f>3.419690557</f>
        <v>3.419690557</v>
      </c>
      <c r="DU174">
        <f>3.068970589</f>
        <v>3.0689705890000001</v>
      </c>
    </row>
    <row r="175" spans="1:125">
      <c r="A175" t="str">
        <f>"    Healthcare Realty Trust Inc"</f>
        <v xml:space="preserve">    Healthcare Realty Trust Inc</v>
      </c>
      <c r="B175" t="str">
        <f>"HR US Equity"</f>
        <v>HR US Equity</v>
      </c>
      <c r="C175" t="str">
        <f t="shared" si="42"/>
        <v>RR553</v>
      </c>
      <c r="D175" t="str">
        <f t="shared" si="43"/>
        <v>EBITDA_RE_ASSET</v>
      </c>
      <c r="E175" t="str">
        <f t="shared" si="44"/>
        <v>动态</v>
      </c>
      <c r="F175" t="str">
        <f ca="1">IF(AND(ISNUMBER($F$417),$B$258=1),$F$417,HLOOKUP(INDIRECT(ADDRESS(2,COLUMN())),OFFSET($BN$2,0,0,ROW()-1,60),ROW()-1,FALSE))</f>
        <v/>
      </c>
      <c r="G175">
        <f ca="1">IF(AND(ISNUMBER($G$417),$B$258=1),$G$417,HLOOKUP(INDIRECT(ADDRESS(2,COLUMN())),OFFSET($BN$2,0,0,ROW()-1,60),ROW()-1,FALSE))</f>
        <v>1.9919026470000001</v>
      </c>
      <c r="H175">
        <f ca="1">IF(AND(ISNUMBER($H$417),$B$258=1),$H$417,HLOOKUP(INDIRECT(ADDRESS(2,COLUMN())),OFFSET($BN$2,0,0,ROW()-1,60),ROW()-1,FALSE))</f>
        <v>1.8435435819999999</v>
      </c>
      <c r="I175">
        <f ca="1">IF(AND(ISNUMBER($I$417),$B$258=1),$I$417,HLOOKUP(INDIRECT(ADDRESS(2,COLUMN())),OFFSET($BN$2,0,0,ROW()-1,60),ROW()-1,FALSE))</f>
        <v>2.1488176029999999</v>
      </c>
      <c r="J175">
        <f ca="1">IF(AND(ISNUMBER($J$417),$B$258=1),$J$417,HLOOKUP(INDIRECT(ADDRESS(2,COLUMN())),OFFSET($BN$2,0,0,ROW()-1,60),ROW()-1,FALSE))</f>
        <v>2.143295583</v>
      </c>
      <c r="K175">
        <f ca="1">IF(AND(ISNUMBER($K$417),$B$258=1),$K$417,HLOOKUP(INDIRECT(ADDRESS(2,COLUMN())),OFFSET($BN$2,0,0,ROW()-1,60),ROW()-1,FALSE))</f>
        <v>2.1598761849999999</v>
      </c>
      <c r="L175">
        <f ca="1">IF(AND(ISNUMBER($L$417),$B$258=1),$L$417,HLOOKUP(INDIRECT(ADDRESS(2,COLUMN())),OFFSET($BN$2,0,0,ROW()-1,60),ROW()-1,FALSE))</f>
        <v>2.1091016859999998</v>
      </c>
      <c r="M175">
        <f ca="1">IF(AND(ISNUMBER($M$417),$B$258=1),$M$417,HLOOKUP(INDIRECT(ADDRESS(2,COLUMN())),OFFSET($BN$2,0,0,ROW()-1,60),ROW()-1,FALSE))</f>
        <v>2.1937603970000001</v>
      </c>
      <c r="N175">
        <f ca="1">IF(AND(ISNUMBER($N$417),$B$258=1),$N$417,HLOOKUP(INDIRECT(ADDRESS(2,COLUMN())),OFFSET($BN$2,0,0,ROW()-1,60),ROW()-1,FALSE))</f>
        <v>2.0831588750000001</v>
      </c>
      <c r="O175">
        <f ca="1">IF(AND(ISNUMBER($O$417),$B$258=1),$O$417,HLOOKUP(INDIRECT(ADDRESS(2,COLUMN())),OFFSET($BN$2,0,0,ROW()-1,60),ROW()-1,FALSE))</f>
        <v>2.1147911669999999</v>
      </c>
      <c r="P175">
        <f ca="1">IF(AND(ISNUMBER($P$417),$B$258=1),$P$417,HLOOKUP(INDIRECT(ADDRESS(2,COLUMN())),OFFSET($BN$2,0,0,ROW()-1,60),ROW()-1,FALSE))</f>
        <v>2.1991917409999999</v>
      </c>
      <c r="Q175">
        <f ca="1">IF(AND(ISNUMBER($Q$417),$B$258=1),$Q$417,HLOOKUP(INDIRECT(ADDRESS(2,COLUMN())),OFFSET($BN$2,0,0,ROW()-1,60),ROW()-1,FALSE))</f>
        <v>2.0240854170000002</v>
      </c>
      <c r="R175">
        <f ca="1">IF(AND(ISNUMBER($R$417),$B$258=1),$R$417,HLOOKUP(INDIRECT(ADDRESS(2,COLUMN())),OFFSET($BN$2,0,0,ROW()-1,60),ROW()-1,FALSE))</f>
        <v>2.0768916590000002</v>
      </c>
      <c r="S175">
        <f ca="1">IF(AND(ISNUMBER($S$417),$B$258=1),$S$417,HLOOKUP(INDIRECT(ADDRESS(2,COLUMN())),OFFSET($BN$2,0,0,ROW()-1,60),ROW()-1,FALSE))</f>
        <v>2.2232788490000002</v>
      </c>
      <c r="T175">
        <f ca="1">IF(AND(ISNUMBER($T$417),$B$258=1),$T$417,HLOOKUP(INDIRECT(ADDRESS(2,COLUMN())),OFFSET($BN$2,0,0,ROW()-1,60),ROW()-1,FALSE))</f>
        <v>2.1841443840000001</v>
      </c>
      <c r="U175">
        <f ca="1">IF(AND(ISNUMBER($U$417),$B$258=1),$U$417,HLOOKUP(INDIRECT(ADDRESS(2,COLUMN())),OFFSET($BN$2,0,0,ROW()-1,60),ROW()-1,FALSE))</f>
        <v>2.1093161660000002</v>
      </c>
      <c r="V175">
        <f ca="1">IF(AND(ISNUMBER($V$417),$B$258=1),$V$417,HLOOKUP(INDIRECT(ADDRESS(2,COLUMN())),OFFSET($BN$2,0,0,ROW()-1,60),ROW()-1,FALSE))</f>
        <v>2.0997689400000001</v>
      </c>
      <c r="W175">
        <f ca="1">IF(AND(ISNUMBER($W$417),$B$258=1),$W$417,HLOOKUP(INDIRECT(ADDRESS(2,COLUMN())),OFFSET($BN$2,0,0,ROW()-1,60),ROW()-1,FALSE))</f>
        <v>2.080195265</v>
      </c>
      <c r="X175">
        <f ca="1">IF(AND(ISNUMBER($X$417),$B$258=1),$X$417,HLOOKUP(INDIRECT(ADDRESS(2,COLUMN())),OFFSET($BN$2,0,0,ROW()-1,60),ROW()-1,FALSE))</f>
        <v>1.921939872</v>
      </c>
      <c r="Y175">
        <f ca="1">IF(AND(ISNUMBER($Y$417),$B$258=1),$Y$417,HLOOKUP(INDIRECT(ADDRESS(2,COLUMN())),OFFSET($BN$2,0,0,ROW()-1,60),ROW()-1,FALSE))</f>
        <v>1.9609241180000001</v>
      </c>
      <c r="Z175">
        <f ca="1">IF(AND(ISNUMBER($Z$417),$B$258=1),$Z$417,HLOOKUP(INDIRECT(ADDRESS(2,COLUMN())),OFFSET($BN$2,0,0,ROW()-1,60),ROW()-1,FALSE))</f>
        <v>1.9244353219999999</v>
      </c>
      <c r="AA175">
        <f ca="1">IF(AND(ISNUMBER($AA$417),$B$258=1),$AA$417,HLOOKUP(INDIRECT(ADDRESS(2,COLUMN())),OFFSET($BN$2,0,0,ROW()-1,60),ROW()-1,FALSE))</f>
        <v>0.80794141399999997</v>
      </c>
      <c r="AB175">
        <f ca="1">IF(AND(ISNUMBER($AB$417),$B$258=1),$AB$417,HLOOKUP(INDIRECT(ADDRESS(2,COLUMN())),OFFSET($BN$2,0,0,ROW()-1,60),ROW()-1,FALSE))</f>
        <v>1.9102024479999999</v>
      </c>
      <c r="AC175">
        <f ca="1">IF(AND(ISNUMBER($AC$417),$B$258=1),$AC$417,HLOOKUP(INDIRECT(ADDRESS(2,COLUMN())),OFFSET($BN$2,0,0,ROW()-1,60),ROW()-1,FALSE))</f>
        <v>1.946250088</v>
      </c>
      <c r="AD175">
        <f ca="1">IF(AND(ISNUMBER($AD$417),$B$258=1),$AD$417,HLOOKUP(INDIRECT(ADDRESS(2,COLUMN())),OFFSET($BN$2,0,0,ROW()-1,60),ROW()-1,FALSE))</f>
        <v>1.8768598000000001</v>
      </c>
      <c r="AE175">
        <f ca="1">IF(AND(ISNUMBER($AE$417),$B$258=1),$AE$417,HLOOKUP(INDIRECT(ADDRESS(2,COLUMN())),OFFSET($BN$2,0,0,ROW()-1,60),ROW()-1,FALSE))</f>
        <v>1.9007264740000001</v>
      </c>
      <c r="AF175">
        <f ca="1">IF(AND(ISNUMBER($AF$417),$B$258=1),$AF$417,HLOOKUP(INDIRECT(ADDRESS(2,COLUMN())),OFFSET($BN$2,0,0,ROW()-1,60),ROW()-1,FALSE))</f>
        <v>1.7247672199999999</v>
      </c>
      <c r="AG175">
        <f ca="1">IF(AND(ISNUMBER($AG$417),$B$258=1),$AG$417,HLOOKUP(INDIRECT(ADDRESS(2,COLUMN())),OFFSET($BN$2,0,0,ROW()-1,60),ROW()-1,FALSE))</f>
        <v>1.799110639</v>
      </c>
      <c r="AH175">
        <f ca="1">IF(AND(ISNUMBER($AH$417),$B$258=1),$AH$417,HLOOKUP(INDIRECT(ADDRESS(2,COLUMN())),OFFSET($BN$2,0,0,ROW()-1,60),ROW()-1,FALSE))</f>
        <v>1.8184695120000001</v>
      </c>
      <c r="AI175">
        <f ca="1">IF(AND(ISNUMBER($AI$417),$B$258=1),$AI$417,HLOOKUP(INDIRECT(ADDRESS(2,COLUMN())),OFFSET($BN$2,0,0,ROW()-1,60),ROW()-1,FALSE))</f>
        <v>1.757376635</v>
      </c>
      <c r="AJ175">
        <f ca="1">IF(AND(ISNUMBER($AJ$417),$B$258=1),$AJ$417,HLOOKUP(INDIRECT(ADDRESS(2,COLUMN())),OFFSET($BN$2,0,0,ROW()-1,60),ROW()-1,FALSE))</f>
        <v>1.7184109380000001</v>
      </c>
      <c r="AK175">
        <f ca="1">IF(AND(ISNUMBER($AK$417),$B$258=1),$AK$417,HLOOKUP(INDIRECT(ADDRESS(2,COLUMN())),OFFSET($BN$2,0,0,ROW()-1,60),ROW()-1,FALSE))</f>
        <v>2.0554210240000002</v>
      </c>
      <c r="AL175">
        <f ca="1">IF(AND(ISNUMBER($AL$417),$B$258=1),$AL$417,HLOOKUP(INDIRECT(ADDRESS(2,COLUMN())),OFFSET($BN$2,0,0,ROW()-1,60),ROW()-1,FALSE))</f>
        <v>1.9443878750000001</v>
      </c>
      <c r="AM175">
        <f ca="1">IF(AND(ISNUMBER($AM$417),$B$258=1),$AM$417,HLOOKUP(INDIRECT(ADDRESS(2,COLUMN())),OFFSET($BN$2,0,0,ROW()-1,60),ROW()-1,FALSE))</f>
        <v>1.8852790450000001</v>
      </c>
      <c r="AN175">
        <f ca="1">IF(AND(ISNUMBER($AN$417),$B$258=1),$AN$417,HLOOKUP(INDIRECT(ADDRESS(2,COLUMN())),OFFSET($BN$2,0,0,ROW()-1,60),ROW()-1,FALSE))</f>
        <v>1.945909385</v>
      </c>
      <c r="AO175">
        <f ca="1">IF(AND(ISNUMBER($AO$417),$B$258=1),$AO$417,HLOOKUP(INDIRECT(ADDRESS(2,COLUMN())),OFFSET($BN$2,0,0,ROW()-1,60),ROW()-1,FALSE))</f>
        <v>2.0434179449999998</v>
      </c>
      <c r="AP175">
        <f ca="1">IF(AND(ISNUMBER($AP$417),$B$258=1),$AP$417,HLOOKUP(INDIRECT(ADDRESS(2,COLUMN())),OFFSET($BN$2,0,0,ROW()-1,60),ROW()-1,FALSE))</f>
        <v>1.853371205</v>
      </c>
      <c r="AQ175">
        <f ca="1">IF(AND(ISNUMBER($AQ$417),$B$258=1),$AQ$417,HLOOKUP(INDIRECT(ADDRESS(2,COLUMN())),OFFSET($BN$2,0,0,ROW()-1,60),ROW()-1,FALSE))</f>
        <v>1.483554934</v>
      </c>
      <c r="AR175">
        <f ca="1">IF(AND(ISNUMBER($AR$417),$B$258=1),$AR$417,HLOOKUP(INDIRECT(ADDRESS(2,COLUMN())),OFFSET($BN$2,0,0,ROW()-1,60),ROW()-1,FALSE))</f>
        <v>1.9342444889999999</v>
      </c>
      <c r="AS175">
        <f ca="1">IF(AND(ISNUMBER($AS$417),$B$258=1),$AS$417,HLOOKUP(INDIRECT(ADDRESS(2,COLUMN())),OFFSET($BN$2,0,0,ROW()-1,60),ROW()-1,FALSE))</f>
        <v>2.0608095660000001</v>
      </c>
      <c r="AT175">
        <f ca="1">IF(AND(ISNUMBER($AT$417),$B$258=1),$AT$417,HLOOKUP(INDIRECT(ADDRESS(2,COLUMN())),OFFSET($BN$2,0,0,ROW()-1,60),ROW()-1,FALSE))</f>
        <v>2.077479619</v>
      </c>
      <c r="AU175">
        <f ca="1">IF(AND(ISNUMBER($AU$417),$B$258=1),$AU$417,HLOOKUP(INDIRECT(ADDRESS(2,COLUMN())),OFFSET($BN$2,0,0,ROW()-1,60),ROW()-1,FALSE))</f>
        <v>1.7369270750000001</v>
      </c>
      <c r="AV175">
        <f ca="1">IF(AND(ISNUMBER($AV$417),$B$258=1),$AV$417,HLOOKUP(INDIRECT(ADDRESS(2,COLUMN())),OFFSET($BN$2,0,0,ROW()-1,60),ROW()-1,FALSE))</f>
        <v>2.112662442</v>
      </c>
      <c r="AW175">
        <f ca="1">IF(AND(ISNUMBER($AW$417),$B$258=1),$AW$417,HLOOKUP(INDIRECT(ADDRESS(2,COLUMN())),OFFSET($BN$2,0,0,ROW()-1,60),ROW()-1,FALSE))</f>
        <v>2.2068094870000001</v>
      </c>
      <c r="AX175">
        <f ca="1">IF(AND(ISNUMBER($AX$417),$B$258=1),$AX$417,HLOOKUP(INDIRECT(ADDRESS(2,COLUMN())),OFFSET($BN$2,0,0,ROW()-1,60),ROW()-1,FALSE))</f>
        <v>2.3546776129999998</v>
      </c>
      <c r="AY175">
        <f ca="1">IF(AND(ISNUMBER($AY$417),$B$258=1),$AY$417,HLOOKUP(INDIRECT(ADDRESS(2,COLUMN())),OFFSET($BN$2,0,0,ROW()-1,60),ROW()-1,FALSE))</f>
        <v>2.060576883</v>
      </c>
      <c r="AZ175">
        <f ca="1">IF(AND(ISNUMBER($AZ$417),$B$258=1),$AZ$417,HLOOKUP(INDIRECT(ADDRESS(2,COLUMN())),OFFSET($BN$2,0,0,ROW()-1,60),ROW()-1,FALSE))</f>
        <v>2.2114226110000001</v>
      </c>
      <c r="BA175">
        <f ca="1">IF(AND(ISNUMBER($BA$417),$B$258=1),$BA$417,HLOOKUP(INDIRECT(ADDRESS(2,COLUMN())),OFFSET($BN$2,0,0,ROW()-1,60),ROW()-1,FALSE))</f>
        <v>2.0734931040000002</v>
      </c>
      <c r="BB175">
        <f ca="1">IF(AND(ISNUMBER($BB$417),$B$258=1),$BB$417,HLOOKUP(INDIRECT(ADDRESS(2,COLUMN())),OFFSET($BN$2,0,0,ROW()-1,60),ROW()-1,FALSE))</f>
        <v>2.0922370469999998</v>
      </c>
      <c r="BC175">
        <f ca="1">IF(AND(ISNUMBER($BC$417),$B$258=1),$BC$417,HLOOKUP(INDIRECT(ADDRESS(2,COLUMN())),OFFSET($BN$2,0,0,ROW()-1,60),ROW()-1,FALSE))</f>
        <v>2.1671651129999998</v>
      </c>
      <c r="BD175">
        <f ca="1">IF(AND(ISNUMBER($BD$417),$B$258=1),$BD$417,HLOOKUP(INDIRECT(ADDRESS(2,COLUMN())),OFFSET($BN$2,0,0,ROW()-1,60),ROW()-1,FALSE))</f>
        <v>2.4013710559999999</v>
      </c>
      <c r="BE175">
        <f ca="1">IF(AND(ISNUMBER($BE$417),$B$258=1),$BE$417,HLOOKUP(INDIRECT(ADDRESS(2,COLUMN())),OFFSET($BN$2,0,0,ROW()-1,60),ROW()-1,FALSE))</f>
        <v>2.1702561820000001</v>
      </c>
      <c r="BF175">
        <f ca="1">IF(AND(ISNUMBER($BF$417),$B$258=1),$BF$417,HLOOKUP(INDIRECT(ADDRESS(2,COLUMN())),OFFSET($BN$2,0,0,ROW()-1,60),ROW()-1,FALSE))</f>
        <v>2.3693291840000001</v>
      </c>
      <c r="BG175">
        <f ca="1">IF(AND(ISNUMBER($BG$417),$B$258=1),$BG$417,HLOOKUP(INDIRECT(ADDRESS(2,COLUMN())),OFFSET($BN$2,0,0,ROW()-1,60),ROW()-1,FALSE))</f>
        <v>1.87491228</v>
      </c>
      <c r="BH175">
        <f ca="1">IF(AND(ISNUMBER($BH$417),$B$258=1),$BH$417,HLOOKUP(INDIRECT(ADDRESS(2,COLUMN())),OFFSET($BN$2,0,0,ROW()-1,60),ROW()-1,FALSE))</f>
        <v>2.340851507</v>
      </c>
      <c r="BI175">
        <f ca="1">IF(AND(ISNUMBER($BI$417),$B$258=1),$BI$417,HLOOKUP(INDIRECT(ADDRESS(2,COLUMN())),OFFSET($BN$2,0,0,ROW()-1,60),ROW()-1,FALSE))</f>
        <v>2.3561908709999999</v>
      </c>
      <c r="BJ175">
        <f ca="1">IF(AND(ISNUMBER($BJ$417),$B$258=1),$BJ$417,HLOOKUP(INDIRECT(ADDRESS(2,COLUMN())),OFFSET($BN$2,0,0,ROW()-1,60),ROW()-1,FALSE))</f>
        <v>2.2236679609999999</v>
      </c>
      <c r="BK175">
        <f ca="1">IF(AND(ISNUMBER($BK$417),$B$258=1),$BK$417,HLOOKUP(INDIRECT(ADDRESS(2,COLUMN())),OFFSET($BN$2,0,0,ROW()-1,60),ROW()-1,FALSE))</f>
        <v>1.4389828819999999</v>
      </c>
      <c r="BL175">
        <f ca="1">IF(AND(ISNUMBER($BL$417),$B$258=1),$BL$417,HLOOKUP(INDIRECT(ADDRESS(2,COLUMN())),OFFSET($BN$2,0,0,ROW()-1,60),ROW()-1,FALSE))</f>
        <v>2.5759355359999998</v>
      </c>
      <c r="BM175">
        <f ca="1">IF(AND(ISNUMBER($BM$417),$B$258=1),$BM$417,HLOOKUP(INDIRECT(ADDRESS(2,COLUMN())),OFFSET($BN$2,0,0,ROW()-1,60),ROW()-1,FALSE))</f>
        <v>2.5857136199999999</v>
      </c>
      <c r="BN175" t="str">
        <f>""</f>
        <v/>
      </c>
      <c r="BO175">
        <f>1.991902647</f>
        <v>1.9919026470000001</v>
      </c>
      <c r="BP175">
        <f>1.843543582</f>
        <v>1.8435435819999999</v>
      </c>
      <c r="BQ175">
        <f>2.148817603</f>
        <v>2.1488176029999999</v>
      </c>
      <c r="BR175">
        <f>2.143295583</f>
        <v>2.143295583</v>
      </c>
      <c r="BS175">
        <f>2.159876185</f>
        <v>2.1598761849999999</v>
      </c>
      <c r="BT175">
        <f>2.109101686</f>
        <v>2.1091016859999998</v>
      </c>
      <c r="BU175">
        <f>2.193760397</f>
        <v>2.1937603970000001</v>
      </c>
      <c r="BV175">
        <f>2.083158875</f>
        <v>2.0831588750000001</v>
      </c>
      <c r="BW175">
        <f>2.114791167</f>
        <v>2.1147911669999999</v>
      </c>
      <c r="BX175">
        <f>2.199191741</f>
        <v>2.1991917409999999</v>
      </c>
      <c r="BY175">
        <f>2.024085417</f>
        <v>2.0240854170000002</v>
      </c>
      <c r="BZ175">
        <f>2.076891659</f>
        <v>2.0768916590000002</v>
      </c>
      <c r="CA175">
        <f>2.223278849</f>
        <v>2.2232788490000002</v>
      </c>
      <c r="CB175">
        <f>2.184144384</f>
        <v>2.1841443840000001</v>
      </c>
      <c r="CC175">
        <f>2.109316166</f>
        <v>2.1093161660000002</v>
      </c>
      <c r="CD175">
        <f>2.09976894</f>
        <v>2.0997689400000001</v>
      </c>
      <c r="CE175">
        <f>2.080195265</f>
        <v>2.080195265</v>
      </c>
      <c r="CF175">
        <f>1.921939872</f>
        <v>1.921939872</v>
      </c>
      <c r="CG175">
        <f>1.960924118</f>
        <v>1.9609241180000001</v>
      </c>
      <c r="CH175">
        <f>1.924435322</f>
        <v>1.9244353219999999</v>
      </c>
      <c r="CI175">
        <f>0.807941414</f>
        <v>0.80794141399999997</v>
      </c>
      <c r="CJ175">
        <f>1.910202448</f>
        <v>1.9102024479999999</v>
      </c>
      <c r="CK175">
        <f>1.946250088</f>
        <v>1.946250088</v>
      </c>
      <c r="CL175">
        <f>1.8768598</f>
        <v>1.8768598000000001</v>
      </c>
      <c r="CM175">
        <f>1.900726474</f>
        <v>1.9007264740000001</v>
      </c>
      <c r="CN175">
        <f>1.72476722</f>
        <v>1.7247672199999999</v>
      </c>
      <c r="CO175">
        <f>1.799110639</f>
        <v>1.799110639</v>
      </c>
      <c r="CP175">
        <f>1.818469512</f>
        <v>1.8184695120000001</v>
      </c>
      <c r="CQ175">
        <f>1.757376635</f>
        <v>1.757376635</v>
      </c>
      <c r="CR175">
        <f>1.718410938</f>
        <v>1.7184109380000001</v>
      </c>
      <c r="CS175">
        <f>2.055421024</f>
        <v>2.0554210240000002</v>
      </c>
      <c r="CT175">
        <f>1.944387875</f>
        <v>1.9443878750000001</v>
      </c>
      <c r="CU175">
        <f>1.885279045</f>
        <v>1.8852790450000001</v>
      </c>
      <c r="CV175">
        <f>1.945909385</f>
        <v>1.945909385</v>
      </c>
      <c r="CW175">
        <f>2.043417945</f>
        <v>2.0434179449999998</v>
      </c>
      <c r="CX175">
        <f>1.853371205</f>
        <v>1.853371205</v>
      </c>
      <c r="CY175">
        <f>1.483554934</f>
        <v>1.483554934</v>
      </c>
      <c r="CZ175">
        <f>1.934244489</f>
        <v>1.9342444889999999</v>
      </c>
      <c r="DA175">
        <f>2.060809566</f>
        <v>2.0608095660000001</v>
      </c>
      <c r="DB175">
        <f>2.077479619</f>
        <v>2.077479619</v>
      </c>
      <c r="DC175">
        <f>1.736927075</f>
        <v>1.7369270750000001</v>
      </c>
      <c r="DD175">
        <f>2.112662442</f>
        <v>2.112662442</v>
      </c>
      <c r="DE175">
        <f>2.206809487</f>
        <v>2.2068094870000001</v>
      </c>
      <c r="DF175">
        <f>2.354677613</f>
        <v>2.3546776129999998</v>
      </c>
      <c r="DG175">
        <f>2.060576883</f>
        <v>2.060576883</v>
      </c>
      <c r="DH175">
        <f>2.211422611</f>
        <v>2.2114226110000001</v>
      </c>
      <c r="DI175">
        <f>2.073493104</f>
        <v>2.0734931040000002</v>
      </c>
      <c r="DJ175">
        <f>2.092237047</f>
        <v>2.0922370469999998</v>
      </c>
      <c r="DK175">
        <f>2.167165113</f>
        <v>2.1671651129999998</v>
      </c>
      <c r="DL175">
        <f>2.401371056</f>
        <v>2.4013710559999999</v>
      </c>
      <c r="DM175">
        <f>2.170256182</f>
        <v>2.1702561820000001</v>
      </c>
      <c r="DN175">
        <f>2.369329184</f>
        <v>2.3693291840000001</v>
      </c>
      <c r="DO175">
        <f>1.87491228</f>
        <v>1.87491228</v>
      </c>
      <c r="DP175">
        <f>2.340851507</f>
        <v>2.340851507</v>
      </c>
      <c r="DQ175">
        <f>2.356190871</f>
        <v>2.3561908709999999</v>
      </c>
      <c r="DR175">
        <f>2.223667961</f>
        <v>2.2236679609999999</v>
      </c>
      <c r="DS175">
        <f>1.438982882</f>
        <v>1.4389828819999999</v>
      </c>
      <c r="DT175">
        <f>2.575935536</f>
        <v>2.5759355359999998</v>
      </c>
      <c r="DU175">
        <f>2.58571362</f>
        <v>2.5857136199999999</v>
      </c>
    </row>
    <row r="176" spans="1:125">
      <c r="A176" t="str">
        <f>"    Healthcare Trust of America In"</f>
        <v xml:space="preserve">    Healthcare Trust of America In</v>
      </c>
      <c r="B176" t="str">
        <f>"HTA US Equity"</f>
        <v>HTA US Equity</v>
      </c>
      <c r="C176" t="str">
        <f t="shared" si="42"/>
        <v>RR553</v>
      </c>
      <c r="D176" t="str">
        <f t="shared" si="43"/>
        <v>EBITDA_RE_ASSET</v>
      </c>
      <c r="E176" t="str">
        <f t="shared" si="44"/>
        <v>动态</v>
      </c>
      <c r="F176" t="str">
        <f ca="1">IF(AND(ISNUMBER($F$418),$B$258=1),$F$418,HLOOKUP(INDIRECT(ADDRESS(2,COLUMN())),OFFSET($BN$2,0,0,ROW()-1,60),ROW()-1,FALSE))</f>
        <v/>
      </c>
      <c r="G176">
        <f ca="1">IF(AND(ISNUMBER($G$418),$B$258=1),$G$418,HLOOKUP(INDIRECT(ADDRESS(2,COLUMN())),OFFSET($BN$2,0,0,ROW()-1,60),ROW()-1,FALSE))</f>
        <v>1.879714769</v>
      </c>
      <c r="H176">
        <f ca="1">IF(AND(ISNUMBER($H$418),$B$258=1),$H$418,HLOOKUP(INDIRECT(ADDRESS(2,COLUMN())),OFFSET($BN$2,0,0,ROW()-1,60),ROW()-1,FALSE))</f>
        <v>2.0123351839999999</v>
      </c>
      <c r="I176">
        <f ca="1">IF(AND(ISNUMBER($I$418),$B$258=1),$I$418,HLOOKUP(INDIRECT(ADDRESS(2,COLUMN())),OFFSET($BN$2,0,0,ROW()-1,60),ROW()-1,FALSE))</f>
        <v>1.4407638780000001</v>
      </c>
      <c r="J176">
        <f ca="1">IF(AND(ISNUMBER($J$418),$B$258=1),$J$418,HLOOKUP(INDIRECT(ADDRESS(2,COLUMN())),OFFSET($BN$2,0,0,ROW()-1,60),ROW()-1,FALSE))</f>
        <v>2.4956518669999999</v>
      </c>
      <c r="K176">
        <f ca="1">IF(AND(ISNUMBER($K$418),$B$258=1),$K$418,HLOOKUP(INDIRECT(ADDRESS(2,COLUMN())),OFFSET($BN$2,0,0,ROW()-1,60),ROW()-1,FALSE))</f>
        <v>2.3453861360000001</v>
      </c>
      <c r="L176">
        <f ca="1">IF(AND(ISNUMBER($L$418),$B$258=1),$L$418,HLOOKUP(INDIRECT(ADDRESS(2,COLUMN())),OFFSET($BN$2,0,0,ROW()-1,60),ROW()-1,FALSE))</f>
        <v>2.4106226639999999</v>
      </c>
      <c r="M176">
        <f ca="1">IF(AND(ISNUMBER($M$418),$B$258=1),$M$418,HLOOKUP(INDIRECT(ADDRESS(2,COLUMN())),OFFSET($BN$2,0,0,ROW()-1,60),ROW()-1,FALSE))</f>
        <v>2.408872417</v>
      </c>
      <c r="N176">
        <f ca="1">IF(AND(ISNUMBER($N$418),$B$258=1),$N$418,HLOOKUP(INDIRECT(ADDRESS(2,COLUMN())),OFFSET($BN$2,0,0,ROW()-1,60),ROW()-1,FALSE))</f>
        <v>2.4416823999999999</v>
      </c>
      <c r="O176">
        <f ca="1">IF(AND(ISNUMBER($O$418),$B$258=1),$O$418,HLOOKUP(INDIRECT(ADDRESS(2,COLUMN())),OFFSET($BN$2,0,0,ROW()-1,60),ROW()-1,FALSE))</f>
        <v>2.4912613860000001</v>
      </c>
      <c r="P176">
        <f ca="1">IF(AND(ISNUMBER($P$418),$B$258=1),$P$418,HLOOKUP(INDIRECT(ADDRESS(2,COLUMN())),OFFSET($BN$2,0,0,ROW()-1,60),ROW()-1,FALSE))</f>
        <v>2.4530455529999999</v>
      </c>
      <c r="Q176">
        <f ca="1">IF(AND(ISNUMBER($Q$418),$B$258=1),$Q$418,HLOOKUP(INDIRECT(ADDRESS(2,COLUMN())),OFFSET($BN$2,0,0,ROW()-1,60),ROW()-1,FALSE))</f>
        <v>2.3915299430000001</v>
      </c>
      <c r="R176">
        <f ca="1">IF(AND(ISNUMBER($R$418),$B$258=1),$R$418,HLOOKUP(INDIRECT(ADDRESS(2,COLUMN())),OFFSET($BN$2,0,0,ROW()-1,60),ROW()-1,FALSE))</f>
        <v>2.4563924240000001</v>
      </c>
      <c r="S176">
        <f ca="1">IF(AND(ISNUMBER($S$418),$B$258=1),$S$418,HLOOKUP(INDIRECT(ADDRESS(2,COLUMN())),OFFSET($BN$2,0,0,ROW()-1,60),ROW()-1,FALSE))</f>
        <v>2.4502445540000002</v>
      </c>
      <c r="T176">
        <f ca="1">IF(AND(ISNUMBER($T$418),$B$258=1),$T$418,HLOOKUP(INDIRECT(ADDRESS(2,COLUMN())),OFFSET($BN$2,0,0,ROW()-1,60),ROW()-1,FALSE))</f>
        <v>2.445052467</v>
      </c>
      <c r="U176">
        <f ca="1">IF(AND(ISNUMBER($U$418),$B$258=1),$U$418,HLOOKUP(INDIRECT(ADDRESS(2,COLUMN())),OFFSET($BN$2,0,0,ROW()-1,60),ROW()-1,FALSE))</f>
        <v>2.2476702940000002</v>
      </c>
      <c r="V176">
        <f ca="1">IF(AND(ISNUMBER($V$418),$B$258=1),$V$418,HLOOKUP(INDIRECT(ADDRESS(2,COLUMN())),OFFSET($BN$2,0,0,ROW()-1,60),ROW()-1,FALSE))</f>
        <v>2.5317920329999999</v>
      </c>
      <c r="W176">
        <f ca="1">IF(AND(ISNUMBER($W$418),$B$258=1),$W$418,HLOOKUP(INDIRECT(ADDRESS(2,COLUMN())),OFFSET($BN$2,0,0,ROW()-1,60),ROW()-1,FALSE))</f>
        <v>2.324574089</v>
      </c>
      <c r="X176">
        <f ca="1">IF(AND(ISNUMBER($X$418),$B$258=1),$X$418,HLOOKUP(INDIRECT(ADDRESS(2,COLUMN())),OFFSET($BN$2,0,0,ROW()-1,60),ROW()-1,FALSE))</f>
        <v>2.3894255210000002</v>
      </c>
      <c r="Y176">
        <f ca="1">IF(AND(ISNUMBER($Y$418),$B$258=1),$Y$418,HLOOKUP(INDIRECT(ADDRESS(2,COLUMN())),OFFSET($BN$2,0,0,ROW()-1,60),ROW()-1,FALSE))</f>
        <v>2.4571725930000001</v>
      </c>
      <c r="Z176">
        <f ca="1">IF(AND(ISNUMBER($Z$418),$B$258=1),$Z$418,HLOOKUP(INDIRECT(ADDRESS(2,COLUMN())),OFFSET($BN$2,0,0,ROW()-1,60),ROW()-1,FALSE))</f>
        <v>2.1036451829999998</v>
      </c>
      <c r="AA176">
        <f ca="1">IF(AND(ISNUMBER($AA$418),$B$258=1),$AA$418,HLOOKUP(INDIRECT(ADDRESS(2,COLUMN())),OFFSET($BN$2,0,0,ROW()-1,60),ROW()-1,FALSE))</f>
        <v>2.022599263</v>
      </c>
      <c r="AB176">
        <f ca="1">IF(AND(ISNUMBER($AB$418),$B$258=1),$AB$418,HLOOKUP(INDIRECT(ADDRESS(2,COLUMN())),OFFSET($BN$2,0,0,ROW()-1,60),ROW()-1,FALSE))</f>
        <v>1.990801102</v>
      </c>
      <c r="AC176">
        <f ca="1">IF(AND(ISNUMBER($AC$418),$B$258=1),$AC$418,HLOOKUP(INDIRECT(ADDRESS(2,COLUMN())),OFFSET($BN$2,0,0,ROW()-1,60),ROW()-1,FALSE))</f>
        <v>1.4055368829999999</v>
      </c>
      <c r="AD176">
        <f ca="1">IF(AND(ISNUMBER($AD$418),$B$258=1),$AD$418,HLOOKUP(INDIRECT(ADDRESS(2,COLUMN())),OFFSET($BN$2,0,0,ROW()-1,60),ROW()-1,FALSE))</f>
        <v>1.829986769</v>
      </c>
      <c r="AE176">
        <f ca="1">IF(AND(ISNUMBER($AE$418),$B$258=1),$AE$418,HLOOKUP(INDIRECT(ADDRESS(2,COLUMN())),OFFSET($BN$2,0,0,ROW()-1,60),ROW()-1,FALSE))</f>
        <v>1.58841802</v>
      </c>
      <c r="AF176">
        <f ca="1">IF(AND(ISNUMBER($AF$418),$B$258=1),$AF$418,HLOOKUP(INDIRECT(ADDRESS(2,COLUMN())),OFFSET($BN$2,0,0,ROW()-1,60),ROW()-1,FALSE))</f>
        <v>1.895195422</v>
      </c>
      <c r="AG176">
        <f ca="1">IF(AND(ISNUMBER($AG$418),$B$258=1),$AG$418,HLOOKUP(INDIRECT(ADDRESS(2,COLUMN())),OFFSET($BN$2,0,0,ROW()-1,60),ROW()-1,FALSE))</f>
        <v>2.1675624359999999</v>
      </c>
      <c r="AH176">
        <f ca="1">IF(AND(ISNUMBER($AH$418),$B$258=1),$AH$418,HLOOKUP(INDIRECT(ADDRESS(2,COLUMN())),OFFSET($BN$2,0,0,ROW()-1,60),ROW()-1,FALSE))</f>
        <v>1.9214717729999999</v>
      </c>
      <c r="AI176">
        <f ca="1">IF(AND(ISNUMBER($AI$418),$B$258=1),$AI$418,HLOOKUP(INDIRECT(ADDRESS(2,COLUMN())),OFFSET($BN$2,0,0,ROW()-1,60),ROW()-1,FALSE))</f>
        <v>1.3800440869999999</v>
      </c>
      <c r="AJ176">
        <f ca="1">IF(AND(ISNUMBER($AJ$418),$B$258=1),$AJ$418,HLOOKUP(INDIRECT(ADDRESS(2,COLUMN())),OFFSET($BN$2,0,0,ROW()-1,60),ROW()-1,FALSE))</f>
        <v>1.8579857930000001</v>
      </c>
      <c r="AK176">
        <f ca="1">IF(AND(ISNUMBER($AK$418),$B$258=1),$AK$418,HLOOKUP(INDIRECT(ADDRESS(2,COLUMN())),OFFSET($BN$2,0,0,ROW()-1,60),ROW()-1,FALSE))</f>
        <v>1.374554724</v>
      </c>
      <c r="AL176">
        <f ca="1">IF(AND(ISNUMBER($AL$418),$B$258=1),$AL$418,HLOOKUP(INDIRECT(ADDRESS(2,COLUMN())),OFFSET($BN$2,0,0,ROW()-1,60),ROW()-1,FALSE))</f>
        <v>2.0093910570000002</v>
      </c>
      <c r="AM176" t="str">
        <f ca="1">IF(AND(ISNUMBER($AM$418),$B$258=1),$AM$418,HLOOKUP(INDIRECT(ADDRESS(2,COLUMN())),OFFSET($BN$2,0,0,ROW()-1,60),ROW()-1,FALSE))</f>
        <v/>
      </c>
      <c r="AN176" t="str">
        <f ca="1">IF(AND(ISNUMBER($AN$418),$B$258=1),$AN$418,HLOOKUP(INDIRECT(ADDRESS(2,COLUMN())),OFFSET($BN$2,0,0,ROW()-1,60),ROW()-1,FALSE))</f>
        <v/>
      </c>
      <c r="AO176" t="str">
        <f ca="1">IF(AND(ISNUMBER($AO$418),$B$258=1),$AO$418,HLOOKUP(INDIRECT(ADDRESS(2,COLUMN())),OFFSET($BN$2,0,0,ROW()-1,60),ROW()-1,FALSE))</f>
        <v/>
      </c>
      <c r="AP176" t="str">
        <f ca="1">IF(AND(ISNUMBER($AP$418),$B$258=1),$AP$418,HLOOKUP(INDIRECT(ADDRESS(2,COLUMN())),OFFSET($BN$2,0,0,ROW()-1,60),ROW()-1,FALSE))</f>
        <v/>
      </c>
      <c r="AQ176" t="str">
        <f ca="1">IF(AND(ISNUMBER($AQ$418),$B$258=1),$AQ$418,HLOOKUP(INDIRECT(ADDRESS(2,COLUMN())),OFFSET($BN$2,0,0,ROW()-1,60),ROW()-1,FALSE))</f>
        <v/>
      </c>
      <c r="AR176" t="str">
        <f ca="1">IF(AND(ISNUMBER($AR$418),$B$258=1),$AR$418,HLOOKUP(INDIRECT(ADDRESS(2,COLUMN())),OFFSET($BN$2,0,0,ROW()-1,60),ROW()-1,FALSE))</f>
        <v/>
      </c>
      <c r="AS176" t="str">
        <f ca="1">IF(AND(ISNUMBER($AS$418),$B$258=1),$AS$418,HLOOKUP(INDIRECT(ADDRESS(2,COLUMN())),OFFSET($BN$2,0,0,ROW()-1,60),ROW()-1,FALSE))</f>
        <v/>
      </c>
      <c r="AT176" t="str">
        <f ca="1">IF(AND(ISNUMBER($AT$418),$B$258=1),$AT$418,HLOOKUP(INDIRECT(ADDRESS(2,COLUMN())),OFFSET($BN$2,0,0,ROW()-1,60),ROW()-1,FALSE))</f>
        <v/>
      </c>
      <c r="AU176" t="str">
        <f ca="1">IF(AND(ISNUMBER($AU$418),$B$258=1),$AU$418,HLOOKUP(INDIRECT(ADDRESS(2,COLUMN())),OFFSET($BN$2,0,0,ROW()-1,60),ROW()-1,FALSE))</f>
        <v/>
      </c>
      <c r="AV176" t="str">
        <f ca="1">IF(AND(ISNUMBER($AV$418),$B$258=1),$AV$418,HLOOKUP(INDIRECT(ADDRESS(2,COLUMN())),OFFSET($BN$2,0,0,ROW()-1,60),ROW()-1,FALSE))</f>
        <v/>
      </c>
      <c r="AW176" t="str">
        <f ca="1">IF(AND(ISNUMBER($AW$418),$B$258=1),$AW$418,HLOOKUP(INDIRECT(ADDRESS(2,COLUMN())),OFFSET($BN$2,0,0,ROW()-1,60),ROW()-1,FALSE))</f>
        <v/>
      </c>
      <c r="AX176" t="str">
        <f ca="1">IF(AND(ISNUMBER($AX$418),$B$258=1),$AX$418,HLOOKUP(INDIRECT(ADDRESS(2,COLUMN())),OFFSET($BN$2,0,0,ROW()-1,60),ROW()-1,FALSE))</f>
        <v/>
      </c>
      <c r="AY176" t="str">
        <f ca="1">IF(AND(ISNUMBER($AY$418),$B$258=1),$AY$418,HLOOKUP(INDIRECT(ADDRESS(2,COLUMN())),OFFSET($BN$2,0,0,ROW()-1,60),ROW()-1,FALSE))</f>
        <v/>
      </c>
      <c r="AZ176" t="str">
        <f ca="1">IF(AND(ISNUMBER($AZ$418),$B$258=1),$AZ$418,HLOOKUP(INDIRECT(ADDRESS(2,COLUMN())),OFFSET($BN$2,0,0,ROW()-1,60),ROW()-1,FALSE))</f>
        <v/>
      </c>
      <c r="BA176" t="str">
        <f ca="1">IF(AND(ISNUMBER($BA$418),$B$258=1),$BA$418,HLOOKUP(INDIRECT(ADDRESS(2,COLUMN())),OFFSET($BN$2,0,0,ROW()-1,60),ROW()-1,FALSE))</f>
        <v/>
      </c>
      <c r="BB176" t="str">
        <f ca="1">IF(AND(ISNUMBER($BB$418),$B$258=1),$BB$418,HLOOKUP(INDIRECT(ADDRESS(2,COLUMN())),OFFSET($BN$2,0,0,ROW()-1,60),ROW()-1,FALSE))</f>
        <v/>
      </c>
      <c r="BC176" t="str">
        <f ca="1">IF(AND(ISNUMBER($BC$418),$B$258=1),$BC$418,HLOOKUP(INDIRECT(ADDRESS(2,COLUMN())),OFFSET($BN$2,0,0,ROW()-1,60),ROW()-1,FALSE))</f>
        <v/>
      </c>
      <c r="BD176" t="str">
        <f ca="1">IF(AND(ISNUMBER($BD$418),$B$258=1),$BD$418,HLOOKUP(INDIRECT(ADDRESS(2,COLUMN())),OFFSET($BN$2,0,0,ROW()-1,60),ROW()-1,FALSE))</f>
        <v/>
      </c>
      <c r="BE176" t="str">
        <f ca="1">IF(AND(ISNUMBER($BE$418),$B$258=1),$BE$418,HLOOKUP(INDIRECT(ADDRESS(2,COLUMN())),OFFSET($BN$2,0,0,ROW()-1,60),ROW()-1,FALSE))</f>
        <v/>
      </c>
      <c r="BF176" t="str">
        <f ca="1">IF(AND(ISNUMBER($BF$418),$B$258=1),$BF$418,HLOOKUP(INDIRECT(ADDRESS(2,COLUMN())),OFFSET($BN$2,0,0,ROW()-1,60),ROW()-1,FALSE))</f>
        <v/>
      </c>
      <c r="BG176" t="str">
        <f ca="1">IF(AND(ISNUMBER($BG$418),$B$258=1),$BG$418,HLOOKUP(INDIRECT(ADDRESS(2,COLUMN())),OFFSET($BN$2,0,0,ROW()-1,60),ROW()-1,FALSE))</f>
        <v/>
      </c>
      <c r="BH176" t="str">
        <f ca="1">IF(AND(ISNUMBER($BH$418),$B$258=1),$BH$418,HLOOKUP(INDIRECT(ADDRESS(2,COLUMN())),OFFSET($BN$2,0,0,ROW()-1,60),ROW()-1,FALSE))</f>
        <v/>
      </c>
      <c r="BI176" t="str">
        <f ca="1">IF(AND(ISNUMBER($BI$418),$B$258=1),$BI$418,HLOOKUP(INDIRECT(ADDRESS(2,COLUMN())),OFFSET($BN$2,0,0,ROW()-1,60),ROW()-1,FALSE))</f>
        <v/>
      </c>
      <c r="BJ176" t="str">
        <f ca="1">IF(AND(ISNUMBER($BJ$418),$B$258=1),$BJ$418,HLOOKUP(INDIRECT(ADDRESS(2,COLUMN())),OFFSET($BN$2,0,0,ROW()-1,60),ROW()-1,FALSE))</f>
        <v/>
      </c>
      <c r="BK176" t="str">
        <f ca="1">IF(AND(ISNUMBER($BK$418),$B$258=1),$BK$418,HLOOKUP(INDIRECT(ADDRESS(2,COLUMN())),OFFSET($BN$2,0,0,ROW()-1,60),ROW()-1,FALSE))</f>
        <v/>
      </c>
      <c r="BL176" t="str">
        <f ca="1">IF(AND(ISNUMBER($BL$418),$B$258=1),$BL$418,HLOOKUP(INDIRECT(ADDRESS(2,COLUMN())),OFFSET($BN$2,0,0,ROW()-1,60),ROW()-1,FALSE))</f>
        <v/>
      </c>
      <c r="BM176" t="str">
        <f ca="1">IF(AND(ISNUMBER($BM$418),$B$258=1),$BM$418,HLOOKUP(INDIRECT(ADDRESS(2,COLUMN())),OFFSET($BN$2,0,0,ROW()-1,60),ROW()-1,FALSE))</f>
        <v/>
      </c>
      <c r="BN176" t="str">
        <f>""</f>
        <v/>
      </c>
      <c r="BO176">
        <f>1.879714769</f>
        <v>1.879714769</v>
      </c>
      <c r="BP176">
        <f>2.012335184</f>
        <v>2.0123351839999999</v>
      </c>
      <c r="BQ176">
        <f>1.440763878</f>
        <v>1.4407638780000001</v>
      </c>
      <c r="BR176">
        <f>2.495651867</f>
        <v>2.4956518669999999</v>
      </c>
      <c r="BS176">
        <f>2.345386136</f>
        <v>2.3453861360000001</v>
      </c>
      <c r="BT176">
        <f>2.410622664</f>
        <v>2.4106226639999999</v>
      </c>
      <c r="BU176">
        <f>2.408872417</f>
        <v>2.408872417</v>
      </c>
      <c r="BV176">
        <f>2.4416824</f>
        <v>2.4416823999999999</v>
      </c>
      <c r="BW176">
        <f>2.491261386</f>
        <v>2.4912613860000001</v>
      </c>
      <c r="BX176">
        <f>2.453045553</f>
        <v>2.4530455529999999</v>
      </c>
      <c r="BY176">
        <f>2.391529943</f>
        <v>2.3915299430000001</v>
      </c>
      <c r="BZ176">
        <f>2.456392424</f>
        <v>2.4563924240000001</v>
      </c>
      <c r="CA176">
        <f>2.450244554</f>
        <v>2.4502445540000002</v>
      </c>
      <c r="CB176">
        <f>2.445052467</f>
        <v>2.445052467</v>
      </c>
      <c r="CC176">
        <f>2.247670294</f>
        <v>2.2476702940000002</v>
      </c>
      <c r="CD176">
        <f>2.531792033</f>
        <v>2.5317920329999999</v>
      </c>
      <c r="CE176">
        <f>2.324574089</f>
        <v>2.324574089</v>
      </c>
      <c r="CF176">
        <f>2.389425521</f>
        <v>2.3894255210000002</v>
      </c>
      <c r="CG176">
        <f>2.457172593</f>
        <v>2.4571725930000001</v>
      </c>
      <c r="CH176">
        <f>2.103645183</f>
        <v>2.1036451829999998</v>
      </c>
      <c r="CI176">
        <f>2.022599263</f>
        <v>2.022599263</v>
      </c>
      <c r="CJ176">
        <f>1.990801102</f>
        <v>1.990801102</v>
      </c>
      <c r="CK176">
        <f>1.405536883</f>
        <v>1.4055368829999999</v>
      </c>
      <c r="CL176">
        <f>1.829986769</f>
        <v>1.829986769</v>
      </c>
      <c r="CM176">
        <f>1.58841802</f>
        <v>1.58841802</v>
      </c>
      <c r="CN176">
        <f>1.895195422</f>
        <v>1.895195422</v>
      </c>
      <c r="CO176">
        <f>2.167562436</f>
        <v>2.1675624359999999</v>
      </c>
      <c r="CP176">
        <f>1.921471773</f>
        <v>1.9214717729999999</v>
      </c>
      <c r="CQ176">
        <f>1.380044087</f>
        <v>1.3800440869999999</v>
      </c>
      <c r="CR176">
        <f>1.857985793</f>
        <v>1.8579857930000001</v>
      </c>
      <c r="CS176">
        <f>1.374554724</f>
        <v>1.374554724</v>
      </c>
      <c r="CT176">
        <f>2.009391057</f>
        <v>2.0093910570000002</v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>
      <c r="A177" t="str">
        <f>"    Medical Properties Trust Inc"</f>
        <v xml:space="preserve">    Medical Properties Trust Inc</v>
      </c>
      <c r="B177" t="str">
        <f>"MPW US Equity"</f>
        <v>MPW US Equity</v>
      </c>
      <c r="C177" t="str">
        <f t="shared" si="42"/>
        <v>RR553</v>
      </c>
      <c r="D177" t="str">
        <f t="shared" si="43"/>
        <v>EBITDA_RE_ASSET</v>
      </c>
      <c r="E177" t="str">
        <f t="shared" si="44"/>
        <v>动态</v>
      </c>
      <c r="F177" t="str">
        <f ca="1">IF(AND(ISNUMBER($F$419),$B$258=1),$F$419,HLOOKUP(INDIRECT(ADDRESS(2,COLUMN())),OFFSET($BN$2,0,0,ROW()-1,60),ROW()-1,FALSE))</f>
        <v/>
      </c>
      <c r="G177">
        <f ca="1">IF(AND(ISNUMBER($G$419),$B$258=1),$G$419,HLOOKUP(INDIRECT(ADDRESS(2,COLUMN())),OFFSET($BN$2,0,0,ROW()-1,60),ROW()-1,FALSE))</f>
        <v>2.4094782299999999</v>
      </c>
      <c r="H177">
        <f ca="1">IF(AND(ISNUMBER($H$419),$B$258=1),$H$419,HLOOKUP(INDIRECT(ADDRESS(2,COLUMN())),OFFSET($BN$2,0,0,ROW()-1,60),ROW()-1,FALSE))</f>
        <v>1.970511313</v>
      </c>
      <c r="I177">
        <f ca="1">IF(AND(ISNUMBER($I$419),$B$258=1),$I$419,HLOOKUP(INDIRECT(ADDRESS(2,COLUMN())),OFFSET($BN$2,0,0,ROW()-1,60),ROW()-1,FALSE))</f>
        <v>2.2238015949999999</v>
      </c>
      <c r="J177">
        <f ca="1">IF(AND(ISNUMBER($J$419),$B$258=1),$J$419,HLOOKUP(INDIRECT(ADDRESS(2,COLUMN())),OFFSET($BN$2,0,0,ROW()-1,60),ROW()-1,FALSE))</f>
        <v>2.4777899479999999</v>
      </c>
      <c r="K177">
        <f ca="1">IF(AND(ISNUMBER($K$419),$B$258=1),$K$419,HLOOKUP(INDIRECT(ADDRESS(2,COLUMN())),OFFSET($BN$2,0,0,ROW()-1,60),ROW()-1,FALSE))</f>
        <v>1.8612535240000001</v>
      </c>
      <c r="L177">
        <f ca="1">IF(AND(ISNUMBER($L$419),$B$258=1),$L$419,HLOOKUP(INDIRECT(ADDRESS(2,COLUMN())),OFFSET($BN$2,0,0,ROW()-1,60),ROW()-1,FALSE))</f>
        <v>2.5350868919999998</v>
      </c>
      <c r="M177">
        <f ca="1">IF(AND(ISNUMBER($M$419),$B$258=1),$M$419,HLOOKUP(INDIRECT(ADDRESS(2,COLUMN())),OFFSET($BN$2,0,0,ROW()-1,60),ROW()-1,FALSE))</f>
        <v>2.347030347</v>
      </c>
      <c r="N177">
        <f ca="1">IF(AND(ISNUMBER($N$419),$B$258=1),$N$419,HLOOKUP(INDIRECT(ADDRESS(2,COLUMN())),OFFSET($BN$2,0,0,ROW()-1,60),ROW()-1,FALSE))</f>
        <v>2.7586500900000002</v>
      </c>
      <c r="O177">
        <f ca="1">IF(AND(ISNUMBER($O$419),$B$258=1),$O$419,HLOOKUP(INDIRECT(ADDRESS(2,COLUMN())),OFFSET($BN$2,0,0,ROW()-1,60),ROW()-1,FALSE))</f>
        <v>2.7652946530000002</v>
      </c>
      <c r="P177">
        <f ca="1">IF(AND(ISNUMBER($P$419),$B$258=1),$P$419,HLOOKUP(INDIRECT(ADDRESS(2,COLUMN())),OFFSET($BN$2,0,0,ROW()-1,60),ROW()-1,FALSE))</f>
        <v>1.787019318</v>
      </c>
      <c r="Q177">
        <f ca="1">IF(AND(ISNUMBER($Q$419),$B$258=1),$Q$419,HLOOKUP(INDIRECT(ADDRESS(2,COLUMN())),OFFSET($BN$2,0,0,ROW()-1,60),ROW()-1,FALSE))</f>
        <v>1.8739856050000001</v>
      </c>
      <c r="R177">
        <f ca="1">IF(AND(ISNUMBER($R$419),$B$258=1),$R$419,HLOOKUP(INDIRECT(ADDRESS(2,COLUMN())),OFFSET($BN$2,0,0,ROW()-1,60),ROW()-1,FALSE))</f>
        <v>2.660355257</v>
      </c>
      <c r="S177">
        <f ca="1">IF(AND(ISNUMBER($S$419),$B$258=1),$S$419,HLOOKUP(INDIRECT(ADDRESS(2,COLUMN())),OFFSET($BN$2,0,0,ROW()-1,60),ROW()-1,FALSE))</f>
        <v>1.9296201449999999</v>
      </c>
      <c r="T177">
        <f ca="1">IF(AND(ISNUMBER($T$419),$B$258=1),$T$419,HLOOKUP(INDIRECT(ADDRESS(2,COLUMN())),OFFSET($BN$2,0,0,ROW()-1,60),ROW()-1,FALSE))</f>
        <v>2.4839673329999998</v>
      </c>
      <c r="U177">
        <f ca="1">IF(AND(ISNUMBER($U$419),$B$258=1),$U$419,HLOOKUP(INDIRECT(ADDRESS(2,COLUMN())),OFFSET($BN$2,0,0,ROW()-1,60),ROW()-1,FALSE))</f>
        <v>1.3693818120000001</v>
      </c>
      <c r="V177">
        <f ca="1">IF(AND(ISNUMBER($V$419),$B$258=1),$V$419,HLOOKUP(INDIRECT(ADDRESS(2,COLUMN())),OFFSET($BN$2,0,0,ROW()-1,60),ROW()-1,FALSE))</f>
        <v>1.604364643</v>
      </c>
      <c r="W177">
        <f ca="1">IF(AND(ISNUMBER($W$419),$B$258=1),$W$419,HLOOKUP(INDIRECT(ADDRESS(2,COLUMN())),OFFSET($BN$2,0,0,ROW()-1,60),ROW()-1,FALSE))</f>
        <v>1.867533509</v>
      </c>
      <c r="X177">
        <f ca="1">IF(AND(ISNUMBER($X$419),$B$258=1),$X$419,HLOOKUP(INDIRECT(ADDRESS(2,COLUMN())),OFFSET($BN$2,0,0,ROW()-1,60),ROW()-1,FALSE))</f>
        <v>2.2237253629999998</v>
      </c>
      <c r="Y177">
        <f ca="1">IF(AND(ISNUMBER($Y$419),$B$258=1),$Y$419,HLOOKUP(INDIRECT(ADDRESS(2,COLUMN())),OFFSET($BN$2,0,0,ROW()-1,60),ROW()-1,FALSE))</f>
        <v>2.4886802170000002</v>
      </c>
      <c r="Z177">
        <f ca="1">IF(AND(ISNUMBER($Z$419),$B$258=1),$Z$419,HLOOKUP(INDIRECT(ADDRESS(2,COLUMN())),OFFSET($BN$2,0,0,ROW()-1,60),ROW()-1,FALSE))</f>
        <v>2.685120972</v>
      </c>
      <c r="AA177">
        <f ca="1">IF(AND(ISNUMBER($AA$419),$B$258=1),$AA$419,HLOOKUP(INDIRECT(ADDRESS(2,COLUMN())),OFFSET($BN$2,0,0,ROW()-1,60),ROW()-1,FALSE))</f>
        <v>2.6909428719999999</v>
      </c>
      <c r="AB177">
        <f ca="1">IF(AND(ISNUMBER($AB$419),$B$258=1),$AB$419,HLOOKUP(INDIRECT(ADDRESS(2,COLUMN())),OFFSET($BN$2,0,0,ROW()-1,60),ROW()-1,FALSE))</f>
        <v>2.5046643780000002</v>
      </c>
      <c r="AC177">
        <f ca="1">IF(AND(ISNUMBER($AC$419),$B$258=1),$AC$419,HLOOKUP(INDIRECT(ADDRESS(2,COLUMN())),OFFSET($BN$2,0,0,ROW()-1,60),ROW()-1,FALSE))</f>
        <v>2.5911257010000002</v>
      </c>
      <c r="AD177">
        <f ca="1">IF(AND(ISNUMBER($AD$419),$B$258=1),$AD$419,HLOOKUP(INDIRECT(ADDRESS(2,COLUMN())),OFFSET($BN$2,0,0,ROW()-1,60),ROW()-1,FALSE))</f>
        <v>1.8737455460000001</v>
      </c>
      <c r="AE177">
        <f ca="1">IF(AND(ISNUMBER($AE$419),$B$258=1),$AE$419,HLOOKUP(INDIRECT(ADDRESS(2,COLUMN())),OFFSET($BN$2,0,0,ROW()-1,60),ROW()-1,FALSE))</f>
        <v>2.1688502430000001</v>
      </c>
      <c r="AF177">
        <f ca="1">IF(AND(ISNUMBER($AF$419),$B$258=1),$AF$419,HLOOKUP(INDIRECT(ADDRESS(2,COLUMN())),OFFSET($BN$2,0,0,ROW()-1,60),ROW()-1,FALSE))</f>
        <v>2.19505851</v>
      </c>
      <c r="AG177">
        <f ca="1">IF(AND(ISNUMBER($AG$419),$B$258=1),$AG$419,HLOOKUP(INDIRECT(ADDRESS(2,COLUMN())),OFFSET($BN$2,0,0,ROW()-1,60),ROW()-1,FALSE))</f>
        <v>2.0290661069999998</v>
      </c>
      <c r="AH177">
        <f ca="1">IF(AND(ISNUMBER($AH$419),$B$258=1),$AH$419,HLOOKUP(INDIRECT(ADDRESS(2,COLUMN())),OFFSET($BN$2,0,0,ROW()-1,60),ROW()-1,FALSE))</f>
        <v>1.984555286</v>
      </c>
      <c r="AI177">
        <f ca="1">IF(AND(ISNUMBER($AI$419),$B$258=1),$AI$419,HLOOKUP(INDIRECT(ADDRESS(2,COLUMN())),OFFSET($BN$2,0,0,ROW()-1,60),ROW()-1,FALSE))</f>
        <v>2.0493155019999998</v>
      </c>
      <c r="AJ177">
        <f ca="1">IF(AND(ISNUMBER($AJ$419),$B$258=1),$AJ$419,HLOOKUP(INDIRECT(ADDRESS(2,COLUMN())),OFFSET($BN$2,0,0,ROW()-1,60),ROW()-1,FALSE))</f>
        <v>1.8868747100000001</v>
      </c>
      <c r="AK177">
        <f ca="1">IF(AND(ISNUMBER($AK$419),$B$258=1),$AK$419,HLOOKUP(INDIRECT(ADDRESS(2,COLUMN())),OFFSET($BN$2,0,0,ROW()-1,60),ROW()-1,FALSE))</f>
        <v>1.7540495599999999</v>
      </c>
      <c r="AL177">
        <f ca="1">IF(AND(ISNUMBER($AL$419),$B$258=1),$AL$419,HLOOKUP(INDIRECT(ADDRESS(2,COLUMN())),OFFSET($BN$2,0,0,ROW()-1,60),ROW()-1,FALSE))</f>
        <v>1.0815434450000001</v>
      </c>
      <c r="AM177">
        <f ca="1">IF(AND(ISNUMBER($AM$419),$B$258=1),$AM$419,HLOOKUP(INDIRECT(ADDRESS(2,COLUMN())),OFFSET($BN$2,0,0,ROW()-1,60),ROW()-1,FALSE))</f>
        <v>2.3536854950000001</v>
      </c>
      <c r="AN177">
        <f ca="1">IF(AND(ISNUMBER($AN$419),$B$258=1),$AN$419,HLOOKUP(INDIRECT(ADDRESS(2,COLUMN())),OFFSET($BN$2,0,0,ROW()-1,60),ROW()-1,FALSE))</f>
        <v>2.3148152259999999</v>
      </c>
      <c r="AO177">
        <f ca="1">IF(AND(ISNUMBER($AO$419),$B$258=1),$AO$419,HLOOKUP(INDIRECT(ADDRESS(2,COLUMN())),OFFSET($BN$2,0,0,ROW()-1,60),ROW()-1,FALSE))</f>
        <v>2.0487732329999999</v>
      </c>
      <c r="AP177">
        <f ca="1">IF(AND(ISNUMBER($AP$419),$B$258=1),$AP$419,HLOOKUP(INDIRECT(ADDRESS(2,COLUMN())),OFFSET($BN$2,0,0,ROW()-1,60),ROW()-1,FALSE))</f>
        <v>2.0436562550000001</v>
      </c>
      <c r="AQ177">
        <f ca="1">IF(AND(ISNUMBER($AQ$419),$B$258=1),$AQ$419,HLOOKUP(INDIRECT(ADDRESS(2,COLUMN())),OFFSET($BN$2,0,0,ROW()-1,60),ROW()-1,FALSE))</f>
        <v>1.7541062709999999</v>
      </c>
      <c r="AR177">
        <f ca="1">IF(AND(ISNUMBER($AR$419),$B$258=1),$AR$419,HLOOKUP(INDIRECT(ADDRESS(2,COLUMN())),OFFSET($BN$2,0,0,ROW()-1,60),ROW()-1,FALSE))</f>
        <v>2.3341625920000002</v>
      </c>
      <c r="AS177">
        <f ca="1">IF(AND(ISNUMBER($AS$419),$B$258=1),$AS$419,HLOOKUP(INDIRECT(ADDRESS(2,COLUMN())),OFFSET($BN$2,0,0,ROW()-1,60),ROW()-1,FALSE))</f>
        <v>2.487780442</v>
      </c>
      <c r="AT177">
        <f ca="1">IF(AND(ISNUMBER($AT$419),$B$258=1),$AT$419,HLOOKUP(INDIRECT(ADDRESS(2,COLUMN())),OFFSET($BN$2,0,0,ROW()-1,60),ROW()-1,FALSE))</f>
        <v>2.378774774</v>
      </c>
      <c r="AU177">
        <f ca="1">IF(AND(ISNUMBER($AU$419),$B$258=1),$AU$419,HLOOKUP(INDIRECT(ADDRESS(2,COLUMN())),OFFSET($BN$2,0,0,ROW()-1,60),ROW()-1,FALSE))</f>
        <v>2.6116888359999999</v>
      </c>
      <c r="AV177">
        <f ca="1">IF(AND(ISNUMBER($AV$419),$B$258=1),$AV$419,HLOOKUP(INDIRECT(ADDRESS(2,COLUMN())),OFFSET($BN$2,0,0,ROW()-1,60),ROW()-1,FALSE))</f>
        <v>2.2156065250000001</v>
      </c>
      <c r="AW177">
        <f ca="1">IF(AND(ISNUMBER($AW$419),$B$258=1),$AW$419,HLOOKUP(INDIRECT(ADDRESS(2,COLUMN())),OFFSET($BN$2,0,0,ROW()-1,60),ROW()-1,FALSE))</f>
        <v>2.544731386</v>
      </c>
      <c r="AX177">
        <f ca="1">IF(AND(ISNUMBER($AX$419),$B$258=1),$AX$419,HLOOKUP(INDIRECT(ADDRESS(2,COLUMN())),OFFSET($BN$2,0,0,ROW()-1,60),ROW()-1,FALSE))</f>
        <v>1.6332175410000001</v>
      </c>
      <c r="AY177">
        <f ca="1">IF(AND(ISNUMBER($AY$419),$B$258=1),$AY$419,HLOOKUP(INDIRECT(ADDRESS(2,COLUMN())),OFFSET($BN$2,0,0,ROW()-1,60),ROW()-1,FALSE))</f>
        <v>2.2189127119999998</v>
      </c>
      <c r="AZ177">
        <f ca="1">IF(AND(ISNUMBER($AZ$419),$B$258=1),$AZ$419,HLOOKUP(INDIRECT(ADDRESS(2,COLUMN())),OFFSET($BN$2,0,0,ROW()-1,60),ROW()-1,FALSE))</f>
        <v>1.960264333</v>
      </c>
      <c r="BA177">
        <f ca="1">IF(AND(ISNUMBER($BA$419),$B$258=1),$BA$419,HLOOKUP(INDIRECT(ADDRESS(2,COLUMN())),OFFSET($BN$2,0,0,ROW()-1,60),ROW()-1,FALSE))</f>
        <v>1.8778981889999999</v>
      </c>
      <c r="BB177">
        <f ca="1">IF(AND(ISNUMBER($BB$419),$B$258=1),$BB$419,HLOOKUP(INDIRECT(ADDRESS(2,COLUMN())),OFFSET($BN$2,0,0,ROW()-1,60),ROW()-1,FALSE))</f>
        <v>2.0014632689999998</v>
      </c>
      <c r="BC177">
        <f ca="1">IF(AND(ISNUMBER($BC$419),$B$258=1),$BC$419,HLOOKUP(INDIRECT(ADDRESS(2,COLUMN())),OFFSET($BN$2,0,0,ROW()-1,60),ROW()-1,FALSE))</f>
        <v>1.9669369919999999</v>
      </c>
      <c r="BD177">
        <f ca="1">IF(AND(ISNUMBER($BD$419),$B$258=1),$BD$419,HLOOKUP(INDIRECT(ADDRESS(2,COLUMN())),OFFSET($BN$2,0,0,ROW()-1,60),ROW()-1,FALSE))</f>
        <v>2.1088707680000001</v>
      </c>
      <c r="BE177">
        <f ca="1">IF(AND(ISNUMBER($BE$419),$B$258=1),$BE$419,HLOOKUP(INDIRECT(ADDRESS(2,COLUMN())),OFFSET($BN$2,0,0,ROW()-1,60),ROW()-1,FALSE))</f>
        <v>2.1959653119999998</v>
      </c>
      <c r="BF177">
        <f ca="1">IF(AND(ISNUMBER($BF$419),$B$258=1),$BF$419,HLOOKUP(INDIRECT(ADDRESS(2,COLUMN())),OFFSET($BN$2,0,0,ROW()-1,60),ROW()-1,FALSE))</f>
        <v>2.2151720849999998</v>
      </c>
      <c r="BG177" t="str">
        <f ca="1">IF(AND(ISNUMBER($BG$419),$B$258=1),$BG$419,HLOOKUP(INDIRECT(ADDRESS(2,COLUMN())),OFFSET($BN$2,0,0,ROW()-1,60),ROW()-1,FALSE))</f>
        <v/>
      </c>
      <c r="BH177" t="str">
        <f ca="1">IF(AND(ISNUMBER($BH$419),$B$258=1),$BH$419,HLOOKUP(INDIRECT(ADDRESS(2,COLUMN())),OFFSET($BN$2,0,0,ROW()-1,60),ROW()-1,FALSE))</f>
        <v/>
      </c>
      <c r="BI177" t="str">
        <f ca="1">IF(AND(ISNUMBER($BI$419),$B$258=1),$BI$419,HLOOKUP(INDIRECT(ADDRESS(2,COLUMN())),OFFSET($BN$2,0,0,ROW()-1,60),ROW()-1,FALSE))</f>
        <v/>
      </c>
      <c r="BJ177" t="str">
        <f ca="1">IF(AND(ISNUMBER($BJ$419),$B$258=1),$BJ$419,HLOOKUP(INDIRECT(ADDRESS(2,COLUMN())),OFFSET($BN$2,0,0,ROW()-1,60),ROW()-1,FALSE))</f>
        <v/>
      </c>
      <c r="BK177" t="str">
        <f ca="1">IF(AND(ISNUMBER($BK$419),$B$258=1),$BK$419,HLOOKUP(INDIRECT(ADDRESS(2,COLUMN())),OFFSET($BN$2,0,0,ROW()-1,60),ROW()-1,FALSE))</f>
        <v/>
      </c>
      <c r="BL177" t="str">
        <f ca="1">IF(AND(ISNUMBER($BL$419),$B$258=1),$BL$419,HLOOKUP(INDIRECT(ADDRESS(2,COLUMN())),OFFSET($BN$2,0,0,ROW()-1,60),ROW()-1,FALSE))</f>
        <v/>
      </c>
      <c r="BM177" t="str">
        <f ca="1">IF(AND(ISNUMBER($BM$419),$B$258=1),$BM$419,HLOOKUP(INDIRECT(ADDRESS(2,COLUMN())),OFFSET($BN$2,0,0,ROW()-1,60),ROW()-1,FALSE))</f>
        <v/>
      </c>
      <c r="BN177" t="str">
        <f>""</f>
        <v/>
      </c>
      <c r="BO177">
        <f>2.40947823</f>
        <v>2.4094782299999999</v>
      </c>
      <c r="BP177">
        <f>1.970511313</f>
        <v>1.970511313</v>
      </c>
      <c r="BQ177">
        <f>2.223801595</f>
        <v>2.2238015949999999</v>
      </c>
      <c r="BR177">
        <f>2.477789948</f>
        <v>2.4777899479999999</v>
      </c>
      <c r="BS177">
        <f>1.861253524</f>
        <v>1.8612535240000001</v>
      </c>
      <c r="BT177">
        <f>2.535086892</f>
        <v>2.5350868919999998</v>
      </c>
      <c r="BU177">
        <f>2.347030347</f>
        <v>2.347030347</v>
      </c>
      <c r="BV177">
        <f>2.75865009</f>
        <v>2.7586500900000002</v>
      </c>
      <c r="BW177">
        <f>2.765294653</f>
        <v>2.7652946530000002</v>
      </c>
      <c r="BX177">
        <f>1.787019318</f>
        <v>1.787019318</v>
      </c>
      <c r="BY177">
        <f>1.873985605</f>
        <v>1.8739856050000001</v>
      </c>
      <c r="BZ177">
        <f>2.660355257</f>
        <v>2.660355257</v>
      </c>
      <c r="CA177">
        <f>1.929620145</f>
        <v>1.9296201449999999</v>
      </c>
      <c r="CB177">
        <f>2.483967333</f>
        <v>2.4839673329999998</v>
      </c>
      <c r="CC177">
        <f>1.369381812</f>
        <v>1.3693818120000001</v>
      </c>
      <c r="CD177">
        <f>1.604364643</f>
        <v>1.604364643</v>
      </c>
      <c r="CE177">
        <f>1.867533509</f>
        <v>1.867533509</v>
      </c>
      <c r="CF177">
        <f>2.223725363</f>
        <v>2.2237253629999998</v>
      </c>
      <c r="CG177">
        <f>2.488680217</f>
        <v>2.4886802170000002</v>
      </c>
      <c r="CH177">
        <f>2.685120972</f>
        <v>2.685120972</v>
      </c>
      <c r="CI177">
        <f>2.690942872</f>
        <v>2.6909428719999999</v>
      </c>
      <c r="CJ177">
        <f>2.504664378</f>
        <v>2.5046643780000002</v>
      </c>
      <c r="CK177">
        <f>2.591125701</f>
        <v>2.5911257010000002</v>
      </c>
      <c r="CL177">
        <f>1.873745546</f>
        <v>1.8737455460000001</v>
      </c>
      <c r="CM177">
        <f>2.168850243</f>
        <v>2.1688502430000001</v>
      </c>
      <c r="CN177">
        <f>2.19505851</f>
        <v>2.19505851</v>
      </c>
      <c r="CO177">
        <f>2.029066107</f>
        <v>2.0290661069999998</v>
      </c>
      <c r="CP177">
        <f>1.984555286</f>
        <v>1.984555286</v>
      </c>
      <c r="CQ177">
        <f>2.049315502</f>
        <v>2.0493155019999998</v>
      </c>
      <c r="CR177">
        <f>1.88687471</f>
        <v>1.8868747100000001</v>
      </c>
      <c r="CS177">
        <f>1.75404956</f>
        <v>1.7540495599999999</v>
      </c>
      <c r="CT177">
        <f>1.081543445</f>
        <v>1.0815434450000001</v>
      </c>
      <c r="CU177">
        <f>2.353685495</f>
        <v>2.3536854950000001</v>
      </c>
      <c r="CV177">
        <f>2.314815226</f>
        <v>2.3148152259999999</v>
      </c>
      <c r="CW177">
        <f>2.048773233</f>
        <v>2.0487732329999999</v>
      </c>
      <c r="CX177">
        <f>2.043656255</f>
        <v>2.0436562550000001</v>
      </c>
      <c r="CY177">
        <f>1.754106271</f>
        <v>1.7541062709999999</v>
      </c>
      <c r="CZ177">
        <f>2.334162592</f>
        <v>2.3341625920000002</v>
      </c>
      <c r="DA177">
        <f>2.487780442</f>
        <v>2.487780442</v>
      </c>
      <c r="DB177">
        <f>2.378774774</f>
        <v>2.378774774</v>
      </c>
      <c r="DC177">
        <f>2.611688836</f>
        <v>2.6116888359999999</v>
      </c>
      <c r="DD177">
        <f>2.215606525</f>
        <v>2.2156065250000001</v>
      </c>
      <c r="DE177">
        <f>2.544731386</f>
        <v>2.544731386</v>
      </c>
      <c r="DF177">
        <f>1.633217541</f>
        <v>1.6332175410000001</v>
      </c>
      <c r="DG177">
        <f>2.218912712</f>
        <v>2.2189127119999998</v>
      </c>
      <c r="DH177">
        <f>1.960264333</f>
        <v>1.960264333</v>
      </c>
      <c r="DI177">
        <f>1.877898189</f>
        <v>1.8778981889999999</v>
      </c>
      <c r="DJ177">
        <f>2.001463269</f>
        <v>2.0014632689999998</v>
      </c>
      <c r="DK177">
        <f>1.966936992</f>
        <v>1.9669369919999999</v>
      </c>
      <c r="DL177">
        <f>2.108870768</f>
        <v>2.1088707680000001</v>
      </c>
      <c r="DM177">
        <f>2.195965312</f>
        <v>2.1959653119999998</v>
      </c>
      <c r="DN177">
        <f>2.215172085</f>
        <v>2.2151720849999998</v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>
      <c r="A178" t="str">
        <f>"    Omega Healthcare Investors Inc"</f>
        <v xml:space="preserve">    Omega Healthcare Investors Inc</v>
      </c>
      <c r="B178" t="str">
        <f>"OHI US Equity"</f>
        <v>OHI US Equity</v>
      </c>
      <c r="C178" t="str">
        <f t="shared" si="42"/>
        <v>RR553</v>
      </c>
      <c r="D178" t="str">
        <f t="shared" si="43"/>
        <v>EBITDA_RE_ASSET</v>
      </c>
      <c r="E178" t="str">
        <f t="shared" si="44"/>
        <v>动态</v>
      </c>
      <c r="F178" t="str">
        <f ca="1">IF(AND(ISNUMBER($F$420),$B$258=1),$F$420,HLOOKUP(INDIRECT(ADDRESS(2,COLUMN())),OFFSET($BN$2,0,0,ROW()-1,60),ROW()-1,FALSE))</f>
        <v/>
      </c>
      <c r="G178">
        <f ca="1">IF(AND(ISNUMBER($G$420),$B$258=1),$G$420,HLOOKUP(INDIRECT(ADDRESS(2,COLUMN())),OFFSET($BN$2,0,0,ROW()-1,60),ROW()-1,FALSE))</f>
        <v>1.96579226</v>
      </c>
      <c r="H178">
        <f ca="1">IF(AND(ISNUMBER($H$420),$B$258=1),$H$420,HLOOKUP(INDIRECT(ADDRESS(2,COLUMN())),OFFSET($BN$2,0,0,ROW()-1,60),ROW()-1,FALSE))</f>
        <v>-0.21429626800000001</v>
      </c>
      <c r="I178">
        <f ca="1">IF(AND(ISNUMBER($I$420),$B$258=1),$I$420,HLOOKUP(INDIRECT(ADDRESS(2,COLUMN())),OFFSET($BN$2,0,0,ROW()-1,60),ROW()-1,FALSE))</f>
        <v>2.7645702879999998</v>
      </c>
      <c r="J178">
        <f ca="1">IF(AND(ISNUMBER($J$420),$B$258=1),$J$420,HLOOKUP(INDIRECT(ADDRESS(2,COLUMN())),OFFSET($BN$2,0,0,ROW()-1,60),ROW()-1,FALSE))</f>
        <v>2.7655426699999999</v>
      </c>
      <c r="K178">
        <f ca="1">IF(AND(ISNUMBER($K$420),$B$258=1),$K$420,HLOOKUP(INDIRECT(ADDRESS(2,COLUMN())),OFFSET($BN$2,0,0,ROW()-1,60),ROW()-1,FALSE))</f>
        <v>2.8552487439999998</v>
      </c>
      <c r="L178">
        <f ca="1">IF(AND(ISNUMBER($L$420),$B$258=1),$L$420,HLOOKUP(INDIRECT(ADDRESS(2,COLUMN())),OFFSET($BN$2,0,0,ROW()-1,60),ROW()-1,FALSE))</f>
        <v>2.5246506289999999</v>
      </c>
      <c r="M178">
        <f ca="1">IF(AND(ISNUMBER($M$420),$B$258=1),$M$420,HLOOKUP(INDIRECT(ADDRESS(2,COLUMN())),OFFSET($BN$2,0,0,ROW()-1,60),ROW()-1,FALSE))</f>
        <v>2.8167282060000001</v>
      </c>
      <c r="N178">
        <f ca="1">IF(AND(ISNUMBER($N$420),$B$258=1),$N$420,HLOOKUP(INDIRECT(ADDRESS(2,COLUMN())),OFFSET($BN$2,0,0,ROW()-1,60),ROW()-1,FALSE))</f>
        <v>2.185730816</v>
      </c>
      <c r="O178">
        <f ca="1">IF(AND(ISNUMBER($O$420),$B$258=1),$O$420,HLOOKUP(INDIRECT(ADDRESS(2,COLUMN())),OFFSET($BN$2,0,0,ROW()-1,60),ROW()-1,FALSE))</f>
        <v>2.657049808</v>
      </c>
      <c r="P178">
        <f ca="1">IF(AND(ISNUMBER($P$420),$B$258=1),$P$420,HLOOKUP(INDIRECT(ADDRESS(2,COLUMN())),OFFSET($BN$2,0,0,ROW()-1,60),ROW()-1,FALSE))</f>
        <v>2.65148786</v>
      </c>
      <c r="Q178">
        <f ca="1">IF(AND(ISNUMBER($Q$420),$B$258=1),$Q$420,HLOOKUP(INDIRECT(ADDRESS(2,COLUMN())),OFFSET($BN$2,0,0,ROW()-1,60),ROW()-1,FALSE))</f>
        <v>1.94232513</v>
      </c>
      <c r="R178">
        <f ca="1">IF(AND(ISNUMBER($R$420),$B$258=1),$R$420,HLOOKUP(INDIRECT(ADDRESS(2,COLUMN())),OFFSET($BN$2,0,0,ROW()-1,60),ROW()-1,FALSE))</f>
        <v>3.2627529750000002</v>
      </c>
      <c r="S178">
        <f ca="1">IF(AND(ISNUMBER($S$420),$B$258=1),$S$420,HLOOKUP(INDIRECT(ADDRESS(2,COLUMN())),OFFSET($BN$2,0,0,ROW()-1,60),ROW()-1,FALSE))</f>
        <v>3.3619139109999998</v>
      </c>
      <c r="T178">
        <f ca="1">IF(AND(ISNUMBER($T$420),$B$258=1),$T$420,HLOOKUP(INDIRECT(ADDRESS(2,COLUMN())),OFFSET($BN$2,0,0,ROW()-1,60),ROW()-1,FALSE))</f>
        <v>3.4620356769999998</v>
      </c>
      <c r="U178">
        <f ca="1">IF(AND(ISNUMBER($U$420),$B$258=1),$U$420,HLOOKUP(INDIRECT(ADDRESS(2,COLUMN())),OFFSET($BN$2,0,0,ROW()-1,60),ROW()-1,FALSE))</f>
        <v>3.136703829</v>
      </c>
      <c r="V178">
        <f ca="1">IF(AND(ISNUMBER($V$420),$B$258=1),$V$420,HLOOKUP(INDIRECT(ADDRESS(2,COLUMN())),OFFSET($BN$2,0,0,ROW()-1,60),ROW()-1,FALSE))</f>
        <v>3.5155024670000001</v>
      </c>
      <c r="W178">
        <f ca="1">IF(AND(ISNUMBER($W$420),$B$258=1),$W$420,HLOOKUP(INDIRECT(ADDRESS(2,COLUMN())),OFFSET($BN$2,0,0,ROW()-1,60),ROW()-1,FALSE))</f>
        <v>3.3324934389999998</v>
      </c>
      <c r="X178">
        <f ca="1">IF(AND(ISNUMBER($X$420),$B$258=1),$X$420,HLOOKUP(INDIRECT(ADDRESS(2,COLUMN())),OFFSET($BN$2,0,0,ROW()-1,60),ROW()-1,FALSE))</f>
        <v>3.637747702</v>
      </c>
      <c r="Y178">
        <f ca="1">IF(AND(ISNUMBER($Y$420),$B$258=1),$Y$420,HLOOKUP(INDIRECT(ADDRESS(2,COLUMN())),OFFSET($BN$2,0,0,ROW()-1,60),ROW()-1,FALSE))</f>
        <v>3.6600313390000001</v>
      </c>
      <c r="Z178">
        <f ca="1">IF(AND(ISNUMBER($Z$420),$B$258=1),$Z$420,HLOOKUP(INDIRECT(ADDRESS(2,COLUMN())),OFFSET($BN$2,0,0,ROW()-1,60),ROW()-1,FALSE))</f>
        <v>3.6047870440000001</v>
      </c>
      <c r="AA178">
        <f ca="1">IF(AND(ISNUMBER($AA$420),$B$258=1),$AA$420,HLOOKUP(INDIRECT(ADDRESS(2,COLUMN())),OFFSET($BN$2,0,0,ROW()-1,60),ROW()-1,FALSE))</f>
        <v>3.3043594989999998</v>
      </c>
      <c r="AB178">
        <f ca="1">IF(AND(ISNUMBER($AB$420),$B$258=1),$AB$420,HLOOKUP(INDIRECT(ADDRESS(2,COLUMN())),OFFSET($BN$2,0,0,ROW()-1,60),ROW()-1,FALSE))</f>
        <v>3.2825256249999999</v>
      </c>
      <c r="AC178">
        <f ca="1">IF(AND(ISNUMBER($AC$420),$B$258=1),$AC$420,HLOOKUP(INDIRECT(ADDRESS(2,COLUMN())),OFFSET($BN$2,0,0,ROW()-1,60),ROW()-1,FALSE))</f>
        <v>3.4515303450000001</v>
      </c>
      <c r="AD178">
        <f ca="1">IF(AND(ISNUMBER($AD$420),$B$258=1),$AD$420,HLOOKUP(INDIRECT(ADDRESS(2,COLUMN())),OFFSET($BN$2,0,0,ROW()-1,60),ROW()-1,FALSE))</f>
        <v>3.4561075400000001</v>
      </c>
      <c r="AE178">
        <f ca="1">IF(AND(ISNUMBER($AE$420),$B$258=1),$AE$420,HLOOKUP(INDIRECT(ADDRESS(2,COLUMN())),OFFSET($BN$2,0,0,ROW()-1,60),ROW()-1,FALSE))</f>
        <v>2.8863563609999998</v>
      </c>
      <c r="AF178">
        <f ca="1">IF(AND(ISNUMBER($AF$420),$B$258=1),$AF$420,HLOOKUP(INDIRECT(ADDRESS(2,COLUMN())),OFFSET($BN$2,0,0,ROW()-1,60),ROW()-1,FALSE))</f>
        <v>3.3887461679999999</v>
      </c>
      <c r="AG178">
        <f ca="1">IF(AND(ISNUMBER($AG$420),$B$258=1),$AG$420,HLOOKUP(INDIRECT(ADDRESS(2,COLUMN())),OFFSET($BN$2,0,0,ROW()-1,60),ROW()-1,FALSE))</f>
        <v>3.1153800729999999</v>
      </c>
      <c r="AH178">
        <f ca="1">IF(AND(ISNUMBER($AH$420),$B$258=1),$AH$420,HLOOKUP(INDIRECT(ADDRESS(2,COLUMN())),OFFSET($BN$2,0,0,ROW()-1,60),ROW()-1,FALSE))</f>
        <v>1.9512204639999999</v>
      </c>
      <c r="AI178">
        <f ca="1">IF(AND(ISNUMBER($AI$420),$B$258=1),$AI$420,HLOOKUP(INDIRECT(ADDRESS(2,COLUMN())),OFFSET($BN$2,0,0,ROW()-1,60),ROW()-1,FALSE))</f>
        <v>3.2278656890000001</v>
      </c>
      <c r="AJ178">
        <f ca="1">IF(AND(ISNUMBER($AJ$420),$B$258=1),$AJ$420,HLOOKUP(INDIRECT(ADDRESS(2,COLUMN())),OFFSET($BN$2,0,0,ROW()-1,60),ROW()-1,FALSE))</f>
        <v>3.1039356119999999</v>
      </c>
      <c r="AK178">
        <f ca="1">IF(AND(ISNUMBER($AK$420),$B$258=1),$AK$420,HLOOKUP(INDIRECT(ADDRESS(2,COLUMN())),OFFSET($BN$2,0,0,ROW()-1,60),ROW()-1,FALSE))</f>
        <v>2.4264230709999999</v>
      </c>
      <c r="AL178">
        <f ca="1">IF(AND(ISNUMBER($AL$420),$B$258=1),$AL$420,HLOOKUP(INDIRECT(ADDRESS(2,COLUMN())),OFFSET($BN$2,0,0,ROW()-1,60),ROW()-1,FALSE))</f>
        <v>3.4192460699999998</v>
      </c>
      <c r="AM178">
        <f ca="1">IF(AND(ISNUMBER($AM$420),$B$258=1),$AM$420,HLOOKUP(INDIRECT(ADDRESS(2,COLUMN())),OFFSET($BN$2,0,0,ROW()-1,60),ROW()-1,FALSE))</f>
        <v>2.5340911020000001</v>
      </c>
      <c r="AN178">
        <f ca="1">IF(AND(ISNUMBER($AN$420),$B$258=1),$AN$420,HLOOKUP(INDIRECT(ADDRESS(2,COLUMN())),OFFSET($BN$2,0,0,ROW()-1,60),ROW()-1,FALSE))</f>
        <v>3.5034885060000001</v>
      </c>
      <c r="AO178">
        <f ca="1">IF(AND(ISNUMBER($AO$420),$B$258=1),$AO$420,HLOOKUP(INDIRECT(ADDRESS(2,COLUMN())),OFFSET($BN$2,0,0,ROW()-1,60),ROW()-1,FALSE))</f>
        <v>3.3627125840000001</v>
      </c>
      <c r="AP178">
        <f ca="1">IF(AND(ISNUMBER($AP$420),$B$258=1),$AP$420,HLOOKUP(INDIRECT(ADDRESS(2,COLUMN())),OFFSET($BN$2,0,0,ROW()-1,60),ROW()-1,FALSE))</f>
        <v>3.3449949550000002</v>
      </c>
      <c r="AQ178">
        <f ca="1">IF(AND(ISNUMBER($AQ$420),$B$258=1),$AQ$420,HLOOKUP(INDIRECT(ADDRESS(2,COLUMN())),OFFSET($BN$2,0,0,ROW()-1,60),ROW()-1,FALSE))</f>
        <v>3.2517348780000002</v>
      </c>
      <c r="AR178">
        <f ca="1">IF(AND(ISNUMBER($AR$420),$B$258=1),$AR$420,HLOOKUP(INDIRECT(ADDRESS(2,COLUMN())),OFFSET($BN$2,0,0,ROW()-1,60),ROW()-1,FALSE))</f>
        <v>2.9899446909999998</v>
      </c>
      <c r="AS178">
        <f ca="1">IF(AND(ISNUMBER($AS$420),$B$258=1),$AS$420,HLOOKUP(INDIRECT(ADDRESS(2,COLUMN())),OFFSET($BN$2,0,0,ROW()-1,60),ROW()-1,FALSE))</f>
        <v>3.0527301929999999</v>
      </c>
      <c r="AT178">
        <f ca="1">IF(AND(ISNUMBER($AT$420),$B$258=1),$AT$420,HLOOKUP(INDIRECT(ADDRESS(2,COLUMN())),OFFSET($BN$2,0,0,ROW()-1,60),ROW()-1,FALSE))</f>
        <v>3.5424983710000002</v>
      </c>
      <c r="AU178">
        <f ca="1">IF(AND(ISNUMBER($AU$420),$B$258=1),$AU$420,HLOOKUP(INDIRECT(ADDRESS(2,COLUMN())),OFFSET($BN$2,0,0,ROW()-1,60),ROW()-1,FALSE))</f>
        <v>3.5146929390000001</v>
      </c>
      <c r="AV178">
        <f ca="1">IF(AND(ISNUMBER($AV$420),$B$258=1),$AV$420,HLOOKUP(INDIRECT(ADDRESS(2,COLUMN())),OFFSET($BN$2,0,0,ROW()-1,60),ROW()-1,FALSE))</f>
        <v>3.3421114279999999</v>
      </c>
      <c r="AW178">
        <f ca="1">IF(AND(ISNUMBER($AW$420),$B$258=1),$AW$420,HLOOKUP(INDIRECT(ADDRESS(2,COLUMN())),OFFSET($BN$2,0,0,ROW()-1,60),ROW()-1,FALSE))</f>
        <v>3.3161004639999998</v>
      </c>
      <c r="AX178">
        <f ca="1">IF(AND(ISNUMBER($AX$420),$B$258=1),$AX$420,HLOOKUP(INDIRECT(ADDRESS(2,COLUMN())),OFFSET($BN$2,0,0,ROW()-1,60),ROW()-1,FALSE))</f>
        <v>3.734282184</v>
      </c>
      <c r="AY178">
        <f ca="1">IF(AND(ISNUMBER($AY$420),$B$258=1),$AY$420,HLOOKUP(INDIRECT(ADDRESS(2,COLUMN())),OFFSET($BN$2,0,0,ROW()-1,60),ROW()-1,FALSE))</f>
        <v>4.2761201</v>
      </c>
      <c r="AZ178">
        <f ca="1">IF(AND(ISNUMBER($AZ$420),$B$258=1),$AZ$420,HLOOKUP(INDIRECT(ADDRESS(2,COLUMN())),OFFSET($BN$2,0,0,ROW()-1,60),ROW()-1,FALSE))</f>
        <v>1.828779846</v>
      </c>
      <c r="BA178">
        <f ca="1">IF(AND(ISNUMBER($BA$420),$B$258=1),$BA$420,HLOOKUP(INDIRECT(ADDRESS(2,COLUMN())),OFFSET($BN$2,0,0,ROW()-1,60),ROW()-1,FALSE))</f>
        <v>3.2695058650000002</v>
      </c>
      <c r="BB178">
        <f ca="1">IF(AND(ISNUMBER($BB$420),$B$258=1),$BB$420,HLOOKUP(INDIRECT(ADDRESS(2,COLUMN())),OFFSET($BN$2,0,0,ROW()-1,60),ROW()-1,FALSE))</f>
        <v>3.191304116</v>
      </c>
      <c r="BC178">
        <f ca="1">IF(AND(ISNUMBER($BC$420),$B$258=1),$BC$420,HLOOKUP(INDIRECT(ADDRESS(2,COLUMN())),OFFSET($BN$2,0,0,ROW()-1,60),ROW()-1,FALSE))</f>
        <v>3.0685459129999999</v>
      </c>
      <c r="BD178">
        <f ca="1">IF(AND(ISNUMBER($BD$420),$B$258=1),$BD$420,HLOOKUP(INDIRECT(ADDRESS(2,COLUMN())),OFFSET($BN$2,0,0,ROW()-1,60),ROW()-1,FALSE))</f>
        <v>3.2977971789999998</v>
      </c>
      <c r="BE178">
        <f ca="1">IF(AND(ISNUMBER($BE$420),$B$258=1),$BE$420,HLOOKUP(INDIRECT(ADDRESS(2,COLUMN())),OFFSET($BN$2,0,0,ROW()-1,60),ROW()-1,FALSE))</f>
        <v>2.9378598509999998</v>
      </c>
      <c r="BF178">
        <f ca="1">IF(AND(ISNUMBER($BF$420),$B$258=1),$BF$420,HLOOKUP(INDIRECT(ADDRESS(2,COLUMN())),OFFSET($BN$2,0,0,ROW()-1,60),ROW()-1,FALSE))</f>
        <v>3.3516467699999999</v>
      </c>
      <c r="BG178">
        <f ca="1">IF(AND(ISNUMBER($BG$420),$B$258=1),$BG$420,HLOOKUP(INDIRECT(ADDRESS(2,COLUMN())),OFFSET($BN$2,0,0,ROW()-1,60),ROW()-1,FALSE))</f>
        <v>2.3037737969999998</v>
      </c>
      <c r="BH178">
        <f ca="1">IF(AND(ISNUMBER($BH$420),$B$258=1),$BH$420,HLOOKUP(INDIRECT(ADDRESS(2,COLUMN())),OFFSET($BN$2,0,0,ROW()-1,60),ROW()-1,FALSE))</f>
        <v>2.9759383069999998</v>
      </c>
      <c r="BI178">
        <f ca="1">IF(AND(ISNUMBER($BI$420),$B$258=1),$BI$420,HLOOKUP(INDIRECT(ADDRESS(2,COLUMN())),OFFSET($BN$2,0,0,ROW()-1,60),ROW()-1,FALSE))</f>
        <v>2.9104351670000002</v>
      </c>
      <c r="BJ178">
        <f ca="1">IF(AND(ISNUMBER($BJ$420),$B$258=1),$BJ$420,HLOOKUP(INDIRECT(ADDRESS(2,COLUMN())),OFFSET($BN$2,0,0,ROW()-1,60),ROW()-1,FALSE))</f>
        <v>2.9209123419999998</v>
      </c>
      <c r="BK178">
        <f ca="1">IF(AND(ISNUMBER($BK$420),$B$258=1),$BK$420,HLOOKUP(INDIRECT(ADDRESS(2,COLUMN())),OFFSET($BN$2,0,0,ROW()-1,60),ROW()-1,FALSE))</f>
        <v>2.8213485870000001</v>
      </c>
      <c r="BL178">
        <f ca="1">IF(AND(ISNUMBER($BL$420),$B$258=1),$BL$420,HLOOKUP(INDIRECT(ADDRESS(2,COLUMN())),OFFSET($BN$2,0,0,ROW()-1,60),ROW()-1,FALSE))</f>
        <v>3.6136883829999999</v>
      </c>
      <c r="BM178">
        <f ca="1">IF(AND(ISNUMBER($BM$420),$B$258=1),$BM$420,HLOOKUP(INDIRECT(ADDRESS(2,COLUMN())),OFFSET($BN$2,0,0,ROW()-1,60),ROW()-1,FALSE))</f>
        <v>2.5797291580000001</v>
      </c>
      <c r="BN178" t="str">
        <f>""</f>
        <v/>
      </c>
      <c r="BO178">
        <f>1.96579226</f>
        <v>1.96579226</v>
      </c>
      <c r="BP178">
        <f>-0.214296268</f>
        <v>-0.21429626800000001</v>
      </c>
      <c r="BQ178">
        <f>2.764570288</f>
        <v>2.7645702879999998</v>
      </c>
      <c r="BR178">
        <f>2.76554267</f>
        <v>2.7655426699999999</v>
      </c>
      <c r="BS178">
        <f>2.855248744</f>
        <v>2.8552487439999998</v>
      </c>
      <c r="BT178">
        <f>2.524650629</f>
        <v>2.5246506289999999</v>
      </c>
      <c r="BU178">
        <f>2.816728206</f>
        <v>2.8167282060000001</v>
      </c>
      <c r="BV178">
        <f>2.185730816</f>
        <v>2.185730816</v>
      </c>
      <c r="BW178">
        <f>2.657049808</f>
        <v>2.657049808</v>
      </c>
      <c r="BX178">
        <f>2.65148786</f>
        <v>2.65148786</v>
      </c>
      <c r="BY178">
        <f>1.94232513</f>
        <v>1.94232513</v>
      </c>
      <c r="BZ178">
        <f>3.262752975</f>
        <v>3.2627529750000002</v>
      </c>
      <c r="CA178">
        <f>3.361913911</f>
        <v>3.3619139109999998</v>
      </c>
      <c r="CB178">
        <f>3.462035677</f>
        <v>3.4620356769999998</v>
      </c>
      <c r="CC178">
        <f>3.136703829</f>
        <v>3.136703829</v>
      </c>
      <c r="CD178">
        <f>3.515502467</f>
        <v>3.5155024670000001</v>
      </c>
      <c r="CE178">
        <f>3.332493439</f>
        <v>3.3324934389999998</v>
      </c>
      <c r="CF178">
        <f>3.637747702</f>
        <v>3.637747702</v>
      </c>
      <c r="CG178">
        <f>3.660031339</f>
        <v>3.6600313390000001</v>
      </c>
      <c r="CH178">
        <f>3.604787044</f>
        <v>3.6047870440000001</v>
      </c>
      <c r="CI178">
        <f>3.304359499</f>
        <v>3.3043594989999998</v>
      </c>
      <c r="CJ178">
        <f>3.282525625</f>
        <v>3.2825256249999999</v>
      </c>
      <c r="CK178">
        <f>3.451530345</f>
        <v>3.4515303450000001</v>
      </c>
      <c r="CL178">
        <f>3.45610754</f>
        <v>3.4561075400000001</v>
      </c>
      <c r="CM178">
        <f>2.886356361</f>
        <v>2.8863563609999998</v>
      </c>
      <c r="CN178">
        <f>3.388746168</f>
        <v>3.3887461679999999</v>
      </c>
      <c r="CO178">
        <f>3.115380073</f>
        <v>3.1153800729999999</v>
      </c>
      <c r="CP178">
        <f>1.951220464</f>
        <v>1.9512204639999999</v>
      </c>
      <c r="CQ178">
        <f>3.227865689</f>
        <v>3.2278656890000001</v>
      </c>
      <c r="CR178">
        <f>3.103935612</f>
        <v>3.1039356119999999</v>
      </c>
      <c r="CS178">
        <f>2.426423071</f>
        <v>2.4264230709999999</v>
      </c>
      <c r="CT178">
        <f>3.41924607</f>
        <v>3.4192460699999998</v>
      </c>
      <c r="CU178">
        <f>2.534091102</f>
        <v>2.5340911020000001</v>
      </c>
      <c r="CV178">
        <f>3.503488506</f>
        <v>3.5034885060000001</v>
      </c>
      <c r="CW178">
        <f>3.362712584</f>
        <v>3.3627125840000001</v>
      </c>
      <c r="CX178">
        <f>3.344994955</f>
        <v>3.3449949550000002</v>
      </c>
      <c r="CY178">
        <f>3.251734878</f>
        <v>3.2517348780000002</v>
      </c>
      <c r="CZ178">
        <f>2.989944691</f>
        <v>2.9899446909999998</v>
      </c>
      <c r="DA178">
        <f>3.052730193</f>
        <v>3.0527301929999999</v>
      </c>
      <c r="DB178">
        <f>3.542498371</f>
        <v>3.5424983710000002</v>
      </c>
      <c r="DC178">
        <f>3.514692939</f>
        <v>3.5146929390000001</v>
      </c>
      <c r="DD178">
        <f>3.342111428</f>
        <v>3.3421114279999999</v>
      </c>
      <c r="DE178">
        <f>3.316100464</f>
        <v>3.3161004639999998</v>
      </c>
      <c r="DF178">
        <f>3.734282184</f>
        <v>3.734282184</v>
      </c>
      <c r="DG178">
        <f>4.2761201</f>
        <v>4.2761201</v>
      </c>
      <c r="DH178">
        <f>1.828779846</f>
        <v>1.828779846</v>
      </c>
      <c r="DI178">
        <f>3.269505865</f>
        <v>3.2695058650000002</v>
      </c>
      <c r="DJ178">
        <f>3.191304116</f>
        <v>3.191304116</v>
      </c>
      <c r="DK178">
        <f>3.068545913</f>
        <v>3.0685459129999999</v>
      </c>
      <c r="DL178">
        <f>3.297797179</f>
        <v>3.2977971789999998</v>
      </c>
      <c r="DM178">
        <f>2.937859851</f>
        <v>2.9378598509999998</v>
      </c>
      <c r="DN178">
        <f>3.35164677</f>
        <v>3.3516467699999999</v>
      </c>
      <c r="DO178">
        <f>2.303773797</f>
        <v>2.3037737969999998</v>
      </c>
      <c r="DP178">
        <f>2.975938307</f>
        <v>2.9759383069999998</v>
      </c>
      <c r="DQ178">
        <f>2.910435167</f>
        <v>2.9104351670000002</v>
      </c>
      <c r="DR178">
        <f>2.920912342</f>
        <v>2.9209123419999998</v>
      </c>
      <c r="DS178">
        <f>2.821348587</f>
        <v>2.8213485870000001</v>
      </c>
      <c r="DT178">
        <f>3.613688383</f>
        <v>3.6136883829999999</v>
      </c>
      <c r="DU178">
        <f>2.579729158</f>
        <v>2.5797291580000001</v>
      </c>
    </row>
    <row r="179" spans="1:125">
      <c r="A179" t="str">
        <f>"    Sabra Health Care REIT Inc"</f>
        <v xml:space="preserve">    Sabra Health Care REIT Inc</v>
      </c>
      <c r="B179" t="str">
        <f>"SBRA US Equity"</f>
        <v>SBRA US Equity</v>
      </c>
      <c r="C179" t="str">
        <f t="shared" si="42"/>
        <v>RR553</v>
      </c>
      <c r="D179" t="str">
        <f t="shared" si="43"/>
        <v>EBITDA_RE_ASSET</v>
      </c>
      <c r="E179" t="str">
        <f t="shared" si="44"/>
        <v>动态</v>
      </c>
      <c r="F179" t="str">
        <f ca="1">IF(AND(ISNUMBER($F$421),$B$258=1),$F$421,HLOOKUP(INDIRECT(ADDRESS(2,COLUMN())),OFFSET($BN$2,0,0,ROW()-1,60),ROW()-1,FALSE))</f>
        <v/>
      </c>
      <c r="G179">
        <f ca="1">IF(AND(ISNUMBER($G$421),$B$258=1),$G$421,HLOOKUP(INDIRECT(ADDRESS(2,COLUMN())),OFFSET($BN$2,0,0,ROW()-1,60),ROW()-1,FALSE))</f>
        <v>2.3489965349999999</v>
      </c>
      <c r="H179">
        <f ca="1">IF(AND(ISNUMBER($H$421),$B$258=1),$H$421,HLOOKUP(INDIRECT(ADDRESS(2,COLUMN())),OFFSET($BN$2,0,0,ROW()-1,60),ROW()-1,FALSE))</f>
        <v>1.093208612</v>
      </c>
      <c r="I179">
        <f ca="1">IF(AND(ISNUMBER($I$421),$B$258=1),$I$421,HLOOKUP(INDIRECT(ADDRESS(2,COLUMN())),OFFSET($BN$2,0,0,ROW()-1,60),ROW()-1,FALSE))</f>
        <v>2.4372329229999998</v>
      </c>
      <c r="J179">
        <f ca="1">IF(AND(ISNUMBER($J$421),$B$258=1),$J$421,HLOOKUP(INDIRECT(ADDRESS(2,COLUMN())),OFFSET($BN$2,0,0,ROW()-1,60),ROW()-1,FALSE))</f>
        <v>2.587640801</v>
      </c>
      <c r="K179">
        <f ca="1">IF(AND(ISNUMBER($K$421),$B$258=1),$K$421,HLOOKUP(INDIRECT(ADDRESS(2,COLUMN())),OFFSET($BN$2,0,0,ROW()-1,60),ROW()-1,FALSE))</f>
        <v>2.6712253459999999</v>
      </c>
      <c r="L179">
        <f ca="1">IF(AND(ISNUMBER($L$421),$B$258=1),$L$421,HLOOKUP(INDIRECT(ADDRESS(2,COLUMN())),OFFSET($BN$2,0,0,ROW()-1,60),ROW()-1,FALSE))</f>
        <v>2.69089869</v>
      </c>
      <c r="M179">
        <f ca="1">IF(AND(ISNUMBER($M$421),$B$258=1),$M$421,HLOOKUP(INDIRECT(ADDRESS(2,COLUMN())),OFFSET($BN$2,0,0,ROW()-1,60),ROW()-1,FALSE))</f>
        <v>3.5600762210000001</v>
      </c>
      <c r="N179">
        <f ca="1">IF(AND(ISNUMBER($N$421),$B$258=1),$N$421,HLOOKUP(INDIRECT(ADDRESS(2,COLUMN())),OFFSET($BN$2,0,0,ROW()-1,60),ROW()-1,FALSE))</f>
        <v>1.252694575</v>
      </c>
      <c r="O179">
        <f ca="1">IF(AND(ISNUMBER($O$421),$B$258=1),$O$421,HLOOKUP(INDIRECT(ADDRESS(2,COLUMN())),OFFSET($BN$2,0,0,ROW()-1,60),ROW()-1,FALSE))</f>
        <v>2.68707443</v>
      </c>
      <c r="P179">
        <f ca="1">IF(AND(ISNUMBER($P$421),$B$258=1),$P$421,HLOOKUP(INDIRECT(ADDRESS(2,COLUMN())),OFFSET($BN$2,0,0,ROW()-1,60),ROW()-1,FALSE))</f>
        <v>2.7069798390000002</v>
      </c>
      <c r="Q179">
        <f ca="1">IF(AND(ISNUMBER($Q$421),$B$258=1),$Q$421,HLOOKUP(INDIRECT(ADDRESS(2,COLUMN())),OFFSET($BN$2,0,0,ROW()-1,60),ROW()-1,FALSE))</f>
        <v>2.2624520960000001</v>
      </c>
      <c r="R179">
        <f ca="1">IF(AND(ISNUMBER($R$421),$B$258=1),$R$421,HLOOKUP(INDIRECT(ADDRESS(2,COLUMN())),OFFSET($BN$2,0,0,ROW()-1,60),ROW()-1,FALSE))</f>
        <v>2.9135049949999998</v>
      </c>
      <c r="S179">
        <f ca="1">IF(AND(ISNUMBER($S$421),$B$258=1),$S$421,HLOOKUP(INDIRECT(ADDRESS(2,COLUMN())),OFFSET($BN$2,0,0,ROW()-1,60),ROW()-1,FALSE))</f>
        <v>2.8178915490000001</v>
      </c>
      <c r="T179">
        <f ca="1">IF(AND(ISNUMBER($T$421),$B$258=1),$T$421,HLOOKUP(INDIRECT(ADDRESS(2,COLUMN())),OFFSET($BN$2,0,0,ROW()-1,60),ROW()-1,FALSE))</f>
        <v>2.407624207</v>
      </c>
      <c r="U179">
        <f ca="1">IF(AND(ISNUMBER($U$421),$B$258=1),$U$421,HLOOKUP(INDIRECT(ADDRESS(2,COLUMN())),OFFSET($BN$2,0,0,ROW()-1,60),ROW()-1,FALSE))</f>
        <v>3.381896572</v>
      </c>
      <c r="V179">
        <f ca="1">IF(AND(ISNUMBER($V$421),$B$258=1),$V$421,HLOOKUP(INDIRECT(ADDRESS(2,COLUMN())),OFFSET($BN$2,0,0,ROW()-1,60),ROW()-1,FALSE))</f>
        <v>3.425356072</v>
      </c>
      <c r="W179">
        <f ca="1">IF(AND(ISNUMBER($W$421),$B$258=1),$W$421,HLOOKUP(INDIRECT(ADDRESS(2,COLUMN())),OFFSET($BN$2,0,0,ROW()-1,60),ROW()-1,FALSE))</f>
        <v>3.531719936</v>
      </c>
      <c r="X179">
        <f ca="1">IF(AND(ISNUMBER($X$421),$B$258=1),$X$421,HLOOKUP(INDIRECT(ADDRESS(2,COLUMN())),OFFSET($BN$2,0,0,ROW()-1,60),ROW()-1,FALSE))</f>
        <v>3.6908526319999999</v>
      </c>
      <c r="Y179">
        <f ca="1">IF(AND(ISNUMBER($Y$421),$B$258=1),$Y$421,HLOOKUP(INDIRECT(ADDRESS(2,COLUMN())),OFFSET($BN$2,0,0,ROW()-1,60),ROW()-1,FALSE))</f>
        <v>3.530593665</v>
      </c>
      <c r="Z179">
        <f ca="1">IF(AND(ISNUMBER($Z$421),$B$258=1),$Z$421,HLOOKUP(INDIRECT(ADDRESS(2,COLUMN())),OFFSET($BN$2,0,0,ROW()-1,60),ROW()-1,FALSE))</f>
        <v>3.3338379979999999</v>
      </c>
      <c r="AA179">
        <f ca="1">IF(AND(ISNUMBER($AA$421),$B$258=1),$AA$421,HLOOKUP(INDIRECT(ADDRESS(2,COLUMN())),OFFSET($BN$2,0,0,ROW()-1,60),ROW()-1,FALSE))</f>
        <v>2.537204225</v>
      </c>
      <c r="AB179">
        <f ca="1">IF(AND(ISNUMBER($AB$421),$B$258=1),$AB$421,HLOOKUP(INDIRECT(ADDRESS(2,COLUMN())),OFFSET($BN$2,0,0,ROW()-1,60),ROW()-1,FALSE))</f>
        <v>3.036611218</v>
      </c>
      <c r="AC179">
        <f ca="1">IF(AND(ISNUMBER($AC$421),$B$258=1),$AC$421,HLOOKUP(INDIRECT(ADDRESS(2,COLUMN())),OFFSET($BN$2,0,0,ROW()-1,60),ROW()-1,FALSE))</f>
        <v>3.0960035960000001</v>
      </c>
      <c r="AD179">
        <f ca="1">IF(AND(ISNUMBER($AD$421),$B$258=1),$AD$421,HLOOKUP(INDIRECT(ADDRESS(2,COLUMN())),OFFSET($BN$2,0,0,ROW()-1,60),ROW()-1,FALSE))</f>
        <v>2.8511610479999998</v>
      </c>
      <c r="AE179">
        <f ca="1">IF(AND(ISNUMBER($AE$421),$B$258=1),$AE$421,HLOOKUP(INDIRECT(ADDRESS(2,COLUMN())),OFFSET($BN$2,0,0,ROW()-1,60),ROW()-1,FALSE))</f>
        <v>3.3596252600000001</v>
      </c>
      <c r="AF179">
        <f ca="1">IF(AND(ISNUMBER($AF$421),$B$258=1),$AF$421,HLOOKUP(INDIRECT(ADDRESS(2,COLUMN())),OFFSET($BN$2,0,0,ROW()-1,60),ROW()-1,FALSE))</f>
        <v>2.5903695180000001</v>
      </c>
      <c r="AG179">
        <f ca="1">IF(AND(ISNUMBER($AG$421),$B$258=1),$AG$421,HLOOKUP(INDIRECT(ADDRESS(2,COLUMN())),OFFSET($BN$2,0,0,ROW()-1,60),ROW()-1,FALSE))</f>
        <v>2.927256308</v>
      </c>
      <c r="AH179">
        <f ca="1">IF(AND(ISNUMBER($AH$421),$B$258=1),$AH$421,HLOOKUP(INDIRECT(ADDRESS(2,COLUMN())),OFFSET($BN$2,0,0,ROW()-1,60),ROW()-1,FALSE))</f>
        <v>3.135302443</v>
      </c>
      <c r="AI179" t="str">
        <f ca="1">IF(AND(ISNUMBER($AI$421),$B$258=1),$AI$421,HLOOKUP(INDIRECT(ADDRESS(2,COLUMN())),OFFSET($BN$2,0,0,ROW()-1,60),ROW()-1,FALSE))</f>
        <v/>
      </c>
      <c r="AJ179" t="str">
        <f ca="1">IF(AND(ISNUMBER($AJ$421),$B$258=1),$AJ$421,HLOOKUP(INDIRECT(ADDRESS(2,COLUMN())),OFFSET($BN$2,0,0,ROW()-1,60),ROW()-1,FALSE))</f>
        <v/>
      </c>
      <c r="AK179" t="str">
        <f ca="1">IF(AND(ISNUMBER($AK$421),$B$258=1),$AK$421,HLOOKUP(INDIRECT(ADDRESS(2,COLUMN())),OFFSET($BN$2,0,0,ROW()-1,60),ROW()-1,FALSE))</f>
        <v/>
      </c>
      <c r="AL179" t="str">
        <f ca="1">IF(AND(ISNUMBER($AL$421),$B$258=1),$AL$421,HLOOKUP(INDIRECT(ADDRESS(2,COLUMN())),OFFSET($BN$2,0,0,ROW()-1,60),ROW()-1,FALSE))</f>
        <v/>
      </c>
      <c r="AM179" t="str">
        <f ca="1">IF(AND(ISNUMBER($AM$421),$B$258=1),$AM$421,HLOOKUP(INDIRECT(ADDRESS(2,COLUMN())),OFFSET($BN$2,0,0,ROW()-1,60),ROW()-1,FALSE))</f>
        <v/>
      </c>
      <c r="AN179" t="str">
        <f ca="1">IF(AND(ISNUMBER($AN$421),$B$258=1),$AN$421,HLOOKUP(INDIRECT(ADDRESS(2,COLUMN())),OFFSET($BN$2,0,0,ROW()-1,60),ROW()-1,FALSE))</f>
        <v/>
      </c>
      <c r="AO179" t="str">
        <f ca="1">IF(AND(ISNUMBER($AO$421),$B$258=1),$AO$421,HLOOKUP(INDIRECT(ADDRESS(2,COLUMN())),OFFSET($BN$2,0,0,ROW()-1,60),ROW()-1,FALSE))</f>
        <v/>
      </c>
      <c r="AP179" t="str">
        <f ca="1">IF(AND(ISNUMBER($AP$421),$B$258=1),$AP$421,HLOOKUP(INDIRECT(ADDRESS(2,COLUMN())),OFFSET($BN$2,0,0,ROW()-1,60),ROW()-1,FALSE))</f>
        <v/>
      </c>
      <c r="AQ179" t="str">
        <f ca="1">IF(AND(ISNUMBER($AQ$421),$B$258=1),$AQ$421,HLOOKUP(INDIRECT(ADDRESS(2,COLUMN())),OFFSET($BN$2,0,0,ROW()-1,60),ROW()-1,FALSE))</f>
        <v/>
      </c>
      <c r="AR179" t="str">
        <f ca="1">IF(AND(ISNUMBER($AR$421),$B$258=1),$AR$421,HLOOKUP(INDIRECT(ADDRESS(2,COLUMN())),OFFSET($BN$2,0,0,ROW()-1,60),ROW()-1,FALSE))</f>
        <v/>
      </c>
      <c r="AS179" t="str">
        <f ca="1">IF(AND(ISNUMBER($AS$421),$B$258=1),$AS$421,HLOOKUP(INDIRECT(ADDRESS(2,COLUMN())),OFFSET($BN$2,0,0,ROW()-1,60),ROW()-1,FALSE))</f>
        <v/>
      </c>
      <c r="AT179" t="str">
        <f ca="1">IF(AND(ISNUMBER($AT$421),$B$258=1),$AT$421,HLOOKUP(INDIRECT(ADDRESS(2,COLUMN())),OFFSET($BN$2,0,0,ROW()-1,60),ROW()-1,FALSE))</f>
        <v/>
      </c>
      <c r="AU179" t="str">
        <f ca="1">IF(AND(ISNUMBER($AU$421),$B$258=1),$AU$421,HLOOKUP(INDIRECT(ADDRESS(2,COLUMN())),OFFSET($BN$2,0,0,ROW()-1,60),ROW()-1,FALSE))</f>
        <v/>
      </c>
      <c r="AV179" t="str">
        <f ca="1">IF(AND(ISNUMBER($AV$421),$B$258=1),$AV$421,HLOOKUP(INDIRECT(ADDRESS(2,COLUMN())),OFFSET($BN$2,0,0,ROW()-1,60),ROW()-1,FALSE))</f>
        <v/>
      </c>
      <c r="AW179" t="str">
        <f ca="1">IF(AND(ISNUMBER($AW$421),$B$258=1),$AW$421,HLOOKUP(INDIRECT(ADDRESS(2,COLUMN())),OFFSET($BN$2,0,0,ROW()-1,60),ROW()-1,FALSE))</f>
        <v/>
      </c>
      <c r="AX179" t="str">
        <f ca="1">IF(AND(ISNUMBER($AX$421),$B$258=1),$AX$421,HLOOKUP(INDIRECT(ADDRESS(2,COLUMN())),OFFSET($BN$2,0,0,ROW()-1,60),ROW()-1,FALSE))</f>
        <v/>
      </c>
      <c r="AY179" t="str">
        <f ca="1">IF(AND(ISNUMBER($AY$421),$B$258=1),$AY$421,HLOOKUP(INDIRECT(ADDRESS(2,COLUMN())),OFFSET($BN$2,0,0,ROW()-1,60),ROW()-1,FALSE))</f>
        <v/>
      </c>
      <c r="AZ179" t="str">
        <f ca="1">IF(AND(ISNUMBER($AZ$421),$B$258=1),$AZ$421,HLOOKUP(INDIRECT(ADDRESS(2,COLUMN())),OFFSET($BN$2,0,0,ROW()-1,60),ROW()-1,FALSE))</f>
        <v/>
      </c>
      <c r="BA179" t="str">
        <f ca="1">IF(AND(ISNUMBER($BA$421),$B$258=1),$BA$421,HLOOKUP(INDIRECT(ADDRESS(2,COLUMN())),OFFSET($BN$2,0,0,ROW()-1,60),ROW()-1,FALSE))</f>
        <v/>
      </c>
      <c r="BB179" t="str">
        <f ca="1">IF(AND(ISNUMBER($BB$421),$B$258=1),$BB$421,HLOOKUP(INDIRECT(ADDRESS(2,COLUMN())),OFFSET($BN$2,0,0,ROW()-1,60),ROW()-1,FALSE))</f>
        <v/>
      </c>
      <c r="BC179" t="str">
        <f ca="1">IF(AND(ISNUMBER($BC$421),$B$258=1),$BC$421,HLOOKUP(INDIRECT(ADDRESS(2,COLUMN())),OFFSET($BN$2,0,0,ROW()-1,60),ROW()-1,FALSE))</f>
        <v/>
      </c>
      <c r="BD179" t="str">
        <f ca="1">IF(AND(ISNUMBER($BD$421),$B$258=1),$BD$421,HLOOKUP(INDIRECT(ADDRESS(2,COLUMN())),OFFSET($BN$2,0,0,ROW()-1,60),ROW()-1,FALSE))</f>
        <v/>
      </c>
      <c r="BE179" t="str">
        <f ca="1">IF(AND(ISNUMBER($BE$421),$B$258=1),$BE$421,HLOOKUP(INDIRECT(ADDRESS(2,COLUMN())),OFFSET($BN$2,0,0,ROW()-1,60),ROW()-1,FALSE))</f>
        <v/>
      </c>
      <c r="BF179" t="str">
        <f ca="1">IF(AND(ISNUMBER($BF$421),$B$258=1),$BF$421,HLOOKUP(INDIRECT(ADDRESS(2,COLUMN())),OFFSET($BN$2,0,0,ROW()-1,60),ROW()-1,FALSE))</f>
        <v/>
      </c>
      <c r="BG179" t="str">
        <f ca="1">IF(AND(ISNUMBER($BG$421),$B$258=1),$BG$421,HLOOKUP(INDIRECT(ADDRESS(2,COLUMN())),OFFSET($BN$2,0,0,ROW()-1,60),ROW()-1,FALSE))</f>
        <v/>
      </c>
      <c r="BH179" t="str">
        <f ca="1">IF(AND(ISNUMBER($BH$421),$B$258=1),$BH$421,HLOOKUP(INDIRECT(ADDRESS(2,COLUMN())),OFFSET($BN$2,0,0,ROW()-1,60),ROW()-1,FALSE))</f>
        <v/>
      </c>
      <c r="BI179" t="str">
        <f ca="1">IF(AND(ISNUMBER($BI$421),$B$258=1),$BI$421,HLOOKUP(INDIRECT(ADDRESS(2,COLUMN())),OFFSET($BN$2,0,0,ROW()-1,60),ROW()-1,FALSE))</f>
        <v/>
      </c>
      <c r="BJ179" t="str">
        <f ca="1">IF(AND(ISNUMBER($BJ$421),$B$258=1),$BJ$421,HLOOKUP(INDIRECT(ADDRESS(2,COLUMN())),OFFSET($BN$2,0,0,ROW()-1,60),ROW()-1,FALSE))</f>
        <v/>
      </c>
      <c r="BK179" t="str">
        <f ca="1">IF(AND(ISNUMBER($BK$421),$B$258=1),$BK$421,HLOOKUP(INDIRECT(ADDRESS(2,COLUMN())),OFFSET($BN$2,0,0,ROW()-1,60),ROW()-1,FALSE))</f>
        <v/>
      </c>
      <c r="BL179" t="str">
        <f ca="1">IF(AND(ISNUMBER($BL$421),$B$258=1),$BL$421,HLOOKUP(INDIRECT(ADDRESS(2,COLUMN())),OFFSET($BN$2,0,0,ROW()-1,60),ROW()-1,FALSE))</f>
        <v/>
      </c>
      <c r="BM179" t="str">
        <f ca="1">IF(AND(ISNUMBER($BM$421),$B$258=1),$BM$421,HLOOKUP(INDIRECT(ADDRESS(2,COLUMN())),OFFSET($BN$2,0,0,ROW()-1,60),ROW()-1,FALSE))</f>
        <v/>
      </c>
      <c r="BN179" t="str">
        <f>""</f>
        <v/>
      </c>
      <c r="BO179">
        <f>2.348996535</f>
        <v>2.3489965349999999</v>
      </c>
      <c r="BP179">
        <f>1.093208612</f>
        <v>1.093208612</v>
      </c>
      <c r="BQ179">
        <f>2.437232923</f>
        <v>2.4372329229999998</v>
      </c>
      <c r="BR179">
        <f>2.587640801</f>
        <v>2.587640801</v>
      </c>
      <c r="BS179">
        <f>2.671225346</f>
        <v>2.6712253459999999</v>
      </c>
      <c r="BT179">
        <f>2.69089869</f>
        <v>2.69089869</v>
      </c>
      <c r="BU179">
        <f>3.560076221</f>
        <v>3.5600762210000001</v>
      </c>
      <c r="BV179">
        <f>1.252694575</f>
        <v>1.252694575</v>
      </c>
      <c r="BW179">
        <f>2.68707443</f>
        <v>2.68707443</v>
      </c>
      <c r="BX179">
        <f>2.706979839</f>
        <v>2.7069798390000002</v>
      </c>
      <c r="BY179">
        <f>2.262452096</f>
        <v>2.2624520960000001</v>
      </c>
      <c r="BZ179">
        <f>2.913504995</f>
        <v>2.9135049949999998</v>
      </c>
      <c r="CA179">
        <f>2.817891549</f>
        <v>2.8178915490000001</v>
      </c>
      <c r="CB179">
        <f>2.407624207</f>
        <v>2.407624207</v>
      </c>
      <c r="CC179">
        <f>3.381896572</f>
        <v>3.381896572</v>
      </c>
      <c r="CD179">
        <f>3.425356072</f>
        <v>3.425356072</v>
      </c>
      <c r="CE179">
        <f>3.531719936</f>
        <v>3.531719936</v>
      </c>
      <c r="CF179">
        <f>3.690852632</f>
        <v>3.6908526319999999</v>
      </c>
      <c r="CG179">
        <f>3.530593665</f>
        <v>3.530593665</v>
      </c>
      <c r="CH179">
        <f>3.333837998</f>
        <v>3.3338379979999999</v>
      </c>
      <c r="CI179">
        <f>2.537204225</f>
        <v>2.537204225</v>
      </c>
      <c r="CJ179">
        <f>3.036611218</f>
        <v>3.036611218</v>
      </c>
      <c r="CK179">
        <f>3.096003596</f>
        <v>3.0960035960000001</v>
      </c>
      <c r="CL179">
        <f>2.851161048</f>
        <v>2.8511610479999998</v>
      </c>
      <c r="CM179">
        <f>3.35962526</f>
        <v>3.3596252600000001</v>
      </c>
      <c r="CN179">
        <f>2.590369518</f>
        <v>2.5903695180000001</v>
      </c>
      <c r="CO179">
        <f>2.927256308</f>
        <v>2.927256308</v>
      </c>
      <c r="CP179">
        <f>3.135302443</f>
        <v>3.135302443</v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>
      <c r="A180" t="str">
        <f>"    Senior Housing Properties Trus"</f>
        <v xml:space="preserve">    Senior Housing Properties Trus</v>
      </c>
      <c r="B180" t="str">
        <f>"SNH US Equity"</f>
        <v>SNH US Equity</v>
      </c>
      <c r="C180" t="str">
        <f t="shared" si="42"/>
        <v>RR553</v>
      </c>
      <c r="D180" t="str">
        <f t="shared" si="43"/>
        <v>EBITDA_RE_ASSET</v>
      </c>
      <c r="E180" t="str">
        <f t="shared" si="44"/>
        <v>动态</v>
      </c>
      <c r="F180" t="str">
        <f ca="1">IF(AND(ISNUMBER($F$422),$B$258=1),$F$422,HLOOKUP(INDIRECT(ADDRESS(2,COLUMN())),OFFSET($BN$2,0,0,ROW()-1,60),ROW()-1,FALSE))</f>
        <v/>
      </c>
      <c r="G180">
        <f ca="1">IF(AND(ISNUMBER($G$422),$B$258=1),$G$422,HLOOKUP(INDIRECT(ADDRESS(2,COLUMN())),OFFSET($BN$2,0,0,ROW()-1,60),ROW()-1,FALSE))</f>
        <v>2.0035678149999998</v>
      </c>
      <c r="H180">
        <f ca="1">IF(AND(ISNUMBER($H$422),$B$258=1),$H$422,HLOOKUP(INDIRECT(ADDRESS(2,COLUMN())),OFFSET($BN$2,0,0,ROW()-1,60),ROW()-1,FALSE))</f>
        <v>2.2332605270000001</v>
      </c>
      <c r="I180">
        <f ca="1">IF(AND(ISNUMBER($I$422),$B$258=1),$I$422,HLOOKUP(INDIRECT(ADDRESS(2,COLUMN())),OFFSET($BN$2,0,0,ROW()-1,60),ROW()-1,FALSE))</f>
        <v>2.1058336180000001</v>
      </c>
      <c r="J180">
        <f ca="1">IF(AND(ISNUMBER($J$422),$B$258=1),$J$422,HLOOKUP(INDIRECT(ADDRESS(2,COLUMN())),OFFSET($BN$2,0,0,ROW()-1,60),ROW()-1,FALSE))</f>
        <v>2.3178264949999998</v>
      </c>
      <c r="K180">
        <f ca="1">IF(AND(ISNUMBER($K$422),$B$258=1),$K$422,HLOOKUP(INDIRECT(ADDRESS(2,COLUMN())),OFFSET($BN$2,0,0,ROW()-1,60),ROW()-1,FALSE))</f>
        <v>2.4876173600000002</v>
      </c>
      <c r="L180">
        <f ca="1">IF(AND(ISNUMBER($L$422),$B$258=1),$L$422,HLOOKUP(INDIRECT(ADDRESS(2,COLUMN())),OFFSET($BN$2,0,0,ROW()-1,60),ROW()-1,FALSE))</f>
        <v>2.2408617560000001</v>
      </c>
      <c r="M180">
        <f ca="1">IF(AND(ISNUMBER($M$422),$B$258=1),$M$422,HLOOKUP(INDIRECT(ADDRESS(2,COLUMN())),OFFSET($BN$2,0,0,ROW()-1,60),ROW()-1,FALSE))</f>
        <v>2.2867699149999998</v>
      </c>
      <c r="N180">
        <f ca="1">IF(AND(ISNUMBER($N$422),$B$258=1),$N$422,HLOOKUP(INDIRECT(ADDRESS(2,COLUMN())),OFFSET($BN$2,0,0,ROW()-1,60),ROW()-1,FALSE))</f>
        <v>2.2509729909999998</v>
      </c>
      <c r="O180">
        <f ca="1">IF(AND(ISNUMBER($O$422),$B$258=1),$O$422,HLOOKUP(INDIRECT(ADDRESS(2,COLUMN())),OFFSET($BN$2,0,0,ROW()-1,60),ROW()-1,FALSE))</f>
        <v>2.462326053</v>
      </c>
      <c r="P180">
        <f ca="1">IF(AND(ISNUMBER($P$422),$B$258=1),$P$422,HLOOKUP(INDIRECT(ADDRESS(2,COLUMN())),OFFSET($BN$2,0,0,ROW()-1,60),ROW()-1,FALSE))</f>
        <v>2.325592404</v>
      </c>
      <c r="Q180">
        <f ca="1">IF(AND(ISNUMBER($Q$422),$B$258=1),$Q$422,HLOOKUP(INDIRECT(ADDRESS(2,COLUMN())),OFFSET($BN$2,0,0,ROW()-1,60),ROW()-1,FALSE))</f>
        <v>2.174029548</v>
      </c>
      <c r="R180">
        <f ca="1">IF(AND(ISNUMBER($R$422),$B$258=1),$R$422,HLOOKUP(INDIRECT(ADDRESS(2,COLUMN())),OFFSET($BN$2,0,0,ROW()-1,60),ROW()-1,FALSE))</f>
        <v>2.3015214159999999</v>
      </c>
      <c r="S180">
        <f ca="1">IF(AND(ISNUMBER($S$422),$B$258=1),$S$422,HLOOKUP(INDIRECT(ADDRESS(2,COLUMN())),OFFSET($BN$2,0,0,ROW()-1,60),ROW()-1,FALSE))</f>
        <v>2.5318360759999998</v>
      </c>
      <c r="T180">
        <f ca="1">IF(AND(ISNUMBER($T$422),$B$258=1),$T$422,HLOOKUP(INDIRECT(ADDRESS(2,COLUMN())),OFFSET($BN$2,0,0,ROW()-1,60),ROW()-1,FALSE))</f>
        <v>2.363111269</v>
      </c>
      <c r="U180">
        <f ca="1">IF(AND(ISNUMBER($U$422),$B$258=1),$U$422,HLOOKUP(INDIRECT(ADDRESS(2,COLUMN())),OFFSET($BN$2,0,0,ROW()-1,60),ROW()-1,FALSE))</f>
        <v>2.183688616</v>
      </c>
      <c r="V180">
        <f ca="1">IF(AND(ISNUMBER($V$422),$B$258=1),$V$422,HLOOKUP(INDIRECT(ADDRESS(2,COLUMN())),OFFSET($BN$2,0,0,ROW()-1,60),ROW()-1,FALSE))</f>
        <v>2.3872732569999999</v>
      </c>
      <c r="W180">
        <f ca="1">IF(AND(ISNUMBER($W$422),$B$258=1),$W$422,HLOOKUP(INDIRECT(ADDRESS(2,COLUMN())),OFFSET($BN$2,0,0,ROW()-1,60),ROW()-1,FALSE))</f>
        <v>2.5369076380000002</v>
      </c>
      <c r="X180">
        <f ca="1">IF(AND(ISNUMBER($X$422),$B$258=1),$X$422,HLOOKUP(INDIRECT(ADDRESS(2,COLUMN())),OFFSET($BN$2,0,0,ROW()-1,60),ROW()-1,FALSE))</f>
        <v>2.3770227589999999</v>
      </c>
      <c r="Y180">
        <f ca="1">IF(AND(ISNUMBER($Y$422),$B$258=1),$Y$422,HLOOKUP(INDIRECT(ADDRESS(2,COLUMN())),OFFSET($BN$2,0,0,ROW()-1,60),ROW()-1,FALSE))</f>
        <v>2.2733530979999999</v>
      </c>
      <c r="Z180">
        <f ca="1">IF(AND(ISNUMBER($Z$422),$B$258=1),$Z$422,HLOOKUP(INDIRECT(ADDRESS(2,COLUMN())),OFFSET($BN$2,0,0,ROW()-1,60),ROW()-1,FALSE))</f>
        <v>2.2765748299999999</v>
      </c>
      <c r="AA180">
        <f ca="1">IF(AND(ISNUMBER($AA$422),$B$258=1),$AA$422,HLOOKUP(INDIRECT(ADDRESS(2,COLUMN())),OFFSET($BN$2,0,0,ROW()-1,60),ROW()-1,FALSE))</f>
        <v>2.5734460600000002</v>
      </c>
      <c r="AB180">
        <f ca="1">IF(AND(ISNUMBER($AB$422),$B$258=1),$AB$422,HLOOKUP(INDIRECT(ADDRESS(2,COLUMN())),OFFSET($BN$2,0,0,ROW()-1,60),ROW()-1,FALSE))</f>
        <v>2.224341049</v>
      </c>
      <c r="AC180">
        <f ca="1">IF(AND(ISNUMBER($AC$422),$B$258=1),$AC$422,HLOOKUP(INDIRECT(ADDRESS(2,COLUMN())),OFFSET($BN$2,0,0,ROW()-1,60),ROW()-1,FALSE))</f>
        <v>2.2806220129999999</v>
      </c>
      <c r="AD180">
        <f ca="1">IF(AND(ISNUMBER($AD$422),$B$258=1),$AD$422,HLOOKUP(INDIRECT(ADDRESS(2,COLUMN())),OFFSET($BN$2,0,0,ROW()-1,60),ROW()-1,FALSE))</f>
        <v>2.2905504799999998</v>
      </c>
      <c r="AE180">
        <f ca="1">IF(AND(ISNUMBER($AE$422),$B$258=1),$AE$422,HLOOKUP(INDIRECT(ADDRESS(2,COLUMN())),OFFSET($BN$2,0,0,ROW()-1,60),ROW()-1,FALSE))</f>
        <v>2.3371345959999998</v>
      </c>
      <c r="AF180">
        <f ca="1">IF(AND(ISNUMBER($AF$422),$B$258=1),$AF$422,HLOOKUP(INDIRECT(ADDRESS(2,COLUMN())),OFFSET($BN$2,0,0,ROW()-1,60),ROW()-1,FALSE))</f>
        <v>2.2284993339999999</v>
      </c>
      <c r="AG180">
        <f ca="1">IF(AND(ISNUMBER($AG$422),$B$258=1),$AG$422,HLOOKUP(INDIRECT(ADDRESS(2,COLUMN())),OFFSET($BN$2,0,0,ROW()-1,60),ROW()-1,FALSE))</f>
        <v>2.2876355429999999</v>
      </c>
      <c r="AH180">
        <f ca="1">IF(AND(ISNUMBER($AH$422),$B$258=1),$AH$422,HLOOKUP(INDIRECT(ADDRESS(2,COLUMN())),OFFSET($BN$2,0,0,ROW()-1,60),ROW()-1,FALSE))</f>
        <v>2.4372082960000001</v>
      </c>
      <c r="AI180">
        <f ca="1">IF(AND(ISNUMBER($AI$422),$B$258=1),$AI$422,HLOOKUP(INDIRECT(ADDRESS(2,COLUMN())),OFFSET($BN$2,0,0,ROW()-1,60),ROW()-1,FALSE))</f>
        <v>2.4158506160000002</v>
      </c>
      <c r="AJ180">
        <f ca="1">IF(AND(ISNUMBER($AJ$422),$B$258=1),$AJ$422,HLOOKUP(INDIRECT(ADDRESS(2,COLUMN())),OFFSET($BN$2,0,0,ROW()-1,60),ROW()-1,FALSE))</f>
        <v>2.464603925</v>
      </c>
      <c r="AK180">
        <f ca="1">IF(AND(ISNUMBER($AK$422),$B$258=1),$AK$422,HLOOKUP(INDIRECT(ADDRESS(2,COLUMN())),OFFSET($BN$2,0,0,ROW()-1,60),ROW()-1,FALSE))</f>
        <v>2.482587804</v>
      </c>
      <c r="AL180">
        <f ca="1">IF(AND(ISNUMBER($AL$422),$B$258=1),$AL$422,HLOOKUP(INDIRECT(ADDRESS(2,COLUMN())),OFFSET($BN$2,0,0,ROW()-1,60),ROW()-1,FALSE))</f>
        <v>2.4759081950000001</v>
      </c>
      <c r="AM180">
        <f ca="1">IF(AND(ISNUMBER($AM$422),$B$258=1),$AM$422,HLOOKUP(INDIRECT(ADDRESS(2,COLUMN())),OFFSET($BN$2,0,0,ROW()-1,60),ROW()-1,FALSE))</f>
        <v>2.574078122</v>
      </c>
      <c r="AN180">
        <f ca="1">IF(AND(ISNUMBER($AN$422),$B$258=1),$AN$422,HLOOKUP(INDIRECT(ADDRESS(2,COLUMN())),OFFSET($BN$2,0,0,ROW()-1,60),ROW()-1,FALSE))</f>
        <v>1.856856651</v>
      </c>
      <c r="AO180">
        <f ca="1">IF(AND(ISNUMBER($AO$422),$B$258=1),$AO$422,HLOOKUP(INDIRECT(ADDRESS(2,COLUMN())),OFFSET($BN$2,0,0,ROW()-1,60),ROW()-1,FALSE))</f>
        <v>2.4575843019999999</v>
      </c>
      <c r="AP180">
        <f ca="1">IF(AND(ISNUMBER($AP$422),$B$258=1),$AP$422,HLOOKUP(INDIRECT(ADDRESS(2,COLUMN())),OFFSET($BN$2,0,0,ROW()-1,60),ROW()-1,FALSE))</f>
        <v>2.4838870320000002</v>
      </c>
      <c r="AQ180">
        <f ca="1">IF(AND(ISNUMBER($AQ$422),$B$258=1),$AQ$422,HLOOKUP(INDIRECT(ADDRESS(2,COLUMN())),OFFSET($BN$2,0,0,ROW()-1,60),ROW()-1,FALSE))</f>
        <v>2.7462604860000002</v>
      </c>
      <c r="AR180">
        <f ca="1">IF(AND(ISNUMBER($AR$422),$B$258=1),$AR$422,HLOOKUP(INDIRECT(ADDRESS(2,COLUMN())),OFFSET($BN$2,0,0,ROW()-1,60),ROW()-1,FALSE))</f>
        <v>2.3860735800000001</v>
      </c>
      <c r="AS180">
        <f ca="1">IF(AND(ISNUMBER($AS$422),$B$258=1),$AS$422,HLOOKUP(INDIRECT(ADDRESS(2,COLUMN())),OFFSET($BN$2,0,0,ROW()-1,60),ROW()-1,FALSE))</f>
        <v>2.4857478290000001</v>
      </c>
      <c r="AT180">
        <f ca="1">IF(AND(ISNUMBER($AT$422),$B$258=1),$AT$422,HLOOKUP(INDIRECT(ADDRESS(2,COLUMN())),OFFSET($BN$2,0,0,ROW()-1,60),ROW()-1,FALSE))</f>
        <v>2.4232486440000001</v>
      </c>
      <c r="AU180">
        <f ca="1">IF(AND(ISNUMBER($AU$422),$B$258=1),$AU$422,HLOOKUP(INDIRECT(ADDRESS(2,COLUMN())),OFFSET($BN$2,0,0,ROW()-1,60),ROW()-1,FALSE))</f>
        <v>3.0722766350000001</v>
      </c>
      <c r="AV180">
        <f ca="1">IF(AND(ISNUMBER($AV$422),$B$258=1),$AV$422,HLOOKUP(INDIRECT(ADDRESS(2,COLUMN())),OFFSET($BN$2,0,0,ROW()-1,60),ROW()-1,FALSE))</f>
        <v>2.712812548</v>
      </c>
      <c r="AW180">
        <f ca="1">IF(AND(ISNUMBER($AW$422),$B$258=1),$AW$422,HLOOKUP(INDIRECT(ADDRESS(2,COLUMN())),OFFSET($BN$2,0,0,ROW()-1,60),ROW()-1,FALSE))</f>
        <v>2.7102229590000002</v>
      </c>
      <c r="AX180">
        <f ca="1">IF(AND(ISNUMBER($AX$422),$B$258=1),$AX$422,HLOOKUP(INDIRECT(ADDRESS(2,COLUMN())),OFFSET($BN$2,0,0,ROW()-1,60),ROW()-1,FALSE))</f>
        <v>2.671788528</v>
      </c>
      <c r="AY180">
        <f ca="1">IF(AND(ISNUMBER($AY$422),$B$258=1),$AY$422,HLOOKUP(INDIRECT(ADDRESS(2,COLUMN())),OFFSET($BN$2,0,0,ROW()-1,60),ROW()-1,FALSE))</f>
        <v>3.3338730480000001</v>
      </c>
      <c r="AZ180">
        <f ca="1">IF(AND(ISNUMBER($AZ$422),$B$258=1),$AZ$422,HLOOKUP(INDIRECT(ADDRESS(2,COLUMN())),OFFSET($BN$2,0,0,ROW()-1,60),ROW()-1,FALSE))</f>
        <v>2.5452368939999999</v>
      </c>
      <c r="BA180">
        <f ca="1">IF(AND(ISNUMBER($BA$422),$B$258=1),$BA$422,HLOOKUP(INDIRECT(ADDRESS(2,COLUMN())),OFFSET($BN$2,0,0,ROW()-1,60),ROW()-1,FALSE))</f>
        <v>2.6221442580000001</v>
      </c>
      <c r="BB180">
        <f ca="1">IF(AND(ISNUMBER($BB$422),$B$258=1),$BB$422,HLOOKUP(INDIRECT(ADDRESS(2,COLUMN())),OFFSET($BN$2,0,0,ROW()-1,60),ROW()-1,FALSE))</f>
        <v>2.6196890420000001</v>
      </c>
      <c r="BC180">
        <f ca="1">IF(AND(ISNUMBER($BC$422),$B$258=1),$BC$422,HLOOKUP(INDIRECT(ADDRESS(2,COLUMN())),OFFSET($BN$2,0,0,ROW()-1,60),ROW()-1,FALSE))</f>
        <v>2.8162483470000002</v>
      </c>
      <c r="BD180">
        <f ca="1">IF(AND(ISNUMBER($BD$422),$B$258=1),$BD$422,HLOOKUP(INDIRECT(ADDRESS(2,COLUMN())),OFFSET($BN$2,0,0,ROW()-1,60),ROW()-1,FALSE))</f>
        <v>2.6385274970000001</v>
      </c>
      <c r="BE180">
        <f ca="1">IF(AND(ISNUMBER($BE$422),$B$258=1),$BE$422,HLOOKUP(INDIRECT(ADDRESS(2,COLUMN())),OFFSET($BN$2,0,0,ROW()-1,60),ROW()-1,FALSE))</f>
        <v>2.5500755129999999</v>
      </c>
      <c r="BF180">
        <f ca="1">IF(AND(ISNUMBER($BF$422),$B$258=1),$BF$422,HLOOKUP(INDIRECT(ADDRESS(2,COLUMN())),OFFSET($BN$2,0,0,ROW()-1,60),ROW()-1,FALSE))</f>
        <v>2.5692704609999999</v>
      </c>
      <c r="BG180">
        <f ca="1">IF(AND(ISNUMBER($BG$422),$B$258=1),$BG$422,HLOOKUP(INDIRECT(ADDRESS(2,COLUMN())),OFFSET($BN$2,0,0,ROW()-1,60),ROW()-1,FALSE))</f>
        <v>2.691336358</v>
      </c>
      <c r="BH180">
        <f ca="1">IF(AND(ISNUMBER($BH$422),$B$258=1),$BH$422,HLOOKUP(INDIRECT(ADDRESS(2,COLUMN())),OFFSET($BN$2,0,0,ROW()-1,60),ROW()-1,FALSE))</f>
        <v>2.6170678629999999</v>
      </c>
      <c r="BI180">
        <f ca="1">IF(AND(ISNUMBER($BI$422),$B$258=1),$BI$422,HLOOKUP(INDIRECT(ADDRESS(2,COLUMN())),OFFSET($BN$2,0,0,ROW()-1,60),ROW()-1,FALSE))</f>
        <v>2.5869515189999999</v>
      </c>
      <c r="BJ180">
        <f ca="1">IF(AND(ISNUMBER($BJ$422),$B$258=1),$BJ$422,HLOOKUP(INDIRECT(ADDRESS(2,COLUMN())),OFFSET($BN$2,0,0,ROW()-1,60),ROW()-1,FALSE))</f>
        <v>2.671415514</v>
      </c>
      <c r="BK180">
        <f ca="1">IF(AND(ISNUMBER($BK$422),$B$258=1),$BK$422,HLOOKUP(INDIRECT(ADDRESS(2,COLUMN())),OFFSET($BN$2,0,0,ROW()-1,60),ROW()-1,FALSE))</f>
        <v>2.6216893080000001</v>
      </c>
      <c r="BL180">
        <f ca="1">IF(AND(ISNUMBER($BL$422),$B$258=1),$BL$422,HLOOKUP(INDIRECT(ADDRESS(2,COLUMN())),OFFSET($BN$2,0,0,ROW()-1,60),ROW()-1,FALSE))</f>
        <v>2.4454519380000002</v>
      </c>
      <c r="BM180">
        <f ca="1">IF(AND(ISNUMBER($BM$422),$B$258=1),$BM$422,HLOOKUP(INDIRECT(ADDRESS(2,COLUMN())),OFFSET($BN$2,0,0,ROW()-1,60),ROW()-1,FALSE))</f>
        <v>2.4628230150000001</v>
      </c>
      <c r="BN180" t="str">
        <f>""</f>
        <v/>
      </c>
      <c r="BO180">
        <f>2.003567815</f>
        <v>2.0035678149999998</v>
      </c>
      <c r="BP180">
        <f>2.233260527</f>
        <v>2.2332605270000001</v>
      </c>
      <c r="BQ180">
        <f>2.105833618</f>
        <v>2.1058336180000001</v>
      </c>
      <c r="BR180">
        <f>2.317826495</f>
        <v>2.3178264949999998</v>
      </c>
      <c r="BS180">
        <f>2.48761736</f>
        <v>2.4876173600000002</v>
      </c>
      <c r="BT180">
        <f>2.240861756</f>
        <v>2.2408617560000001</v>
      </c>
      <c r="BU180">
        <f>2.286769915</f>
        <v>2.2867699149999998</v>
      </c>
      <c r="BV180">
        <f>2.250972991</f>
        <v>2.2509729909999998</v>
      </c>
      <c r="BW180">
        <f>2.462326053</f>
        <v>2.462326053</v>
      </c>
      <c r="BX180">
        <f>2.325592404</f>
        <v>2.325592404</v>
      </c>
      <c r="BY180">
        <f>2.174029548</f>
        <v>2.174029548</v>
      </c>
      <c r="BZ180">
        <f>2.301521416</f>
        <v>2.3015214159999999</v>
      </c>
      <c r="CA180">
        <f>2.531836076</f>
        <v>2.5318360759999998</v>
      </c>
      <c r="CB180">
        <f>2.363111269</f>
        <v>2.363111269</v>
      </c>
      <c r="CC180">
        <f>2.183688616</f>
        <v>2.183688616</v>
      </c>
      <c r="CD180">
        <f>2.387273257</f>
        <v>2.3872732569999999</v>
      </c>
      <c r="CE180">
        <f>2.536907638</f>
        <v>2.5369076380000002</v>
      </c>
      <c r="CF180">
        <f>2.377022759</f>
        <v>2.3770227589999999</v>
      </c>
      <c r="CG180">
        <f>2.273353098</f>
        <v>2.2733530979999999</v>
      </c>
      <c r="CH180">
        <f>2.27657483</f>
        <v>2.2765748299999999</v>
      </c>
      <c r="CI180">
        <f>2.57344606</f>
        <v>2.5734460600000002</v>
      </c>
      <c r="CJ180">
        <f>2.224341049</f>
        <v>2.224341049</v>
      </c>
      <c r="CK180">
        <f>2.280622013</f>
        <v>2.2806220129999999</v>
      </c>
      <c r="CL180">
        <f>2.29055048</f>
        <v>2.2905504799999998</v>
      </c>
      <c r="CM180">
        <f>2.337134596</f>
        <v>2.3371345959999998</v>
      </c>
      <c r="CN180">
        <f>2.228499334</f>
        <v>2.2284993339999999</v>
      </c>
      <c r="CO180">
        <f>2.287635543</f>
        <v>2.2876355429999999</v>
      </c>
      <c r="CP180">
        <f>2.437208296</f>
        <v>2.4372082960000001</v>
      </c>
      <c r="CQ180">
        <f>2.415850616</f>
        <v>2.4158506160000002</v>
      </c>
      <c r="CR180">
        <f>2.464603925</f>
        <v>2.464603925</v>
      </c>
      <c r="CS180">
        <f>2.482587804</f>
        <v>2.482587804</v>
      </c>
      <c r="CT180">
        <f>2.475908195</f>
        <v>2.4759081950000001</v>
      </c>
      <c r="CU180">
        <f>2.574078122</f>
        <v>2.574078122</v>
      </c>
      <c r="CV180">
        <f>1.856856651</f>
        <v>1.856856651</v>
      </c>
      <c r="CW180">
        <f>2.457584302</f>
        <v>2.4575843019999999</v>
      </c>
      <c r="CX180">
        <f>2.483887032</f>
        <v>2.4838870320000002</v>
      </c>
      <c r="CY180">
        <f>2.746260486</f>
        <v>2.7462604860000002</v>
      </c>
      <c r="CZ180">
        <f>2.38607358</f>
        <v>2.3860735800000001</v>
      </c>
      <c r="DA180">
        <f>2.485747829</f>
        <v>2.4857478290000001</v>
      </c>
      <c r="DB180">
        <f>2.423248644</f>
        <v>2.4232486440000001</v>
      </c>
      <c r="DC180">
        <f>3.072276635</f>
        <v>3.0722766350000001</v>
      </c>
      <c r="DD180">
        <f>2.712812548</f>
        <v>2.712812548</v>
      </c>
      <c r="DE180">
        <f>2.710222959</f>
        <v>2.7102229590000002</v>
      </c>
      <c r="DF180">
        <f>2.671788528</f>
        <v>2.671788528</v>
      </c>
      <c r="DG180">
        <f>3.333873048</f>
        <v>3.3338730480000001</v>
      </c>
      <c r="DH180">
        <f>2.545236894</f>
        <v>2.5452368939999999</v>
      </c>
      <c r="DI180">
        <f>2.622144258</f>
        <v>2.6221442580000001</v>
      </c>
      <c r="DJ180">
        <f>2.619689042</f>
        <v>2.6196890420000001</v>
      </c>
      <c r="DK180">
        <f>2.816248347</f>
        <v>2.8162483470000002</v>
      </c>
      <c r="DL180">
        <f>2.638527497</f>
        <v>2.6385274970000001</v>
      </c>
      <c r="DM180">
        <f>2.550075513</f>
        <v>2.5500755129999999</v>
      </c>
      <c r="DN180">
        <f>2.569270461</f>
        <v>2.5692704609999999</v>
      </c>
      <c r="DO180">
        <f>2.691336358</f>
        <v>2.691336358</v>
      </c>
      <c r="DP180">
        <f>2.617067863</f>
        <v>2.6170678629999999</v>
      </c>
      <c r="DQ180">
        <f>2.586951519</f>
        <v>2.5869515189999999</v>
      </c>
      <c r="DR180">
        <f>2.671415514</f>
        <v>2.671415514</v>
      </c>
      <c r="DS180">
        <f>2.621689308</f>
        <v>2.6216893080000001</v>
      </c>
      <c r="DT180">
        <f>2.445451938</f>
        <v>2.4454519380000002</v>
      </c>
      <c r="DU180">
        <f>2.462823015</f>
        <v>2.4628230150000001</v>
      </c>
    </row>
    <row r="181" spans="1:125">
      <c r="A181" t="str">
        <f>"    Ventas Inc"</f>
        <v xml:space="preserve">    Ventas Inc</v>
      </c>
      <c r="B181" t="str">
        <f>"VTR US Equity"</f>
        <v>VTR US Equity</v>
      </c>
      <c r="C181" t="str">
        <f t="shared" si="42"/>
        <v>RR553</v>
      </c>
      <c r="D181" t="str">
        <f t="shared" si="43"/>
        <v>EBITDA_RE_ASSET</v>
      </c>
      <c r="E181" t="str">
        <f t="shared" si="44"/>
        <v>动态</v>
      </c>
      <c r="F181" t="str">
        <f ca="1">IF(AND(ISNUMBER($F$423),$B$258=1),$F$423,HLOOKUP(INDIRECT(ADDRESS(2,COLUMN())),OFFSET($BN$2,0,0,ROW()-1,60),ROW()-1,FALSE))</f>
        <v/>
      </c>
      <c r="G181">
        <f ca="1">IF(AND(ISNUMBER($G$423),$B$258=1),$G$423,HLOOKUP(INDIRECT(ADDRESS(2,COLUMN())),OFFSET($BN$2,0,0,ROW()-1,60),ROW()-1,FALSE))</f>
        <v>2.1986884080000002</v>
      </c>
      <c r="H181">
        <f ca="1">IF(AND(ISNUMBER($H$423),$B$258=1),$H$423,HLOOKUP(INDIRECT(ADDRESS(2,COLUMN())),OFFSET($BN$2,0,0,ROW()-1,60),ROW()-1,FALSE))</f>
        <v>2.230195256</v>
      </c>
      <c r="I181">
        <f ca="1">IF(AND(ISNUMBER($I$423),$B$258=1),$I$423,HLOOKUP(INDIRECT(ADDRESS(2,COLUMN())),OFFSET($BN$2,0,0,ROW()-1,60),ROW()-1,FALSE))</f>
        <v>2.220738152</v>
      </c>
      <c r="J181">
        <f ca="1">IF(AND(ISNUMBER($J$423),$B$258=1),$J$423,HLOOKUP(INDIRECT(ADDRESS(2,COLUMN())),OFFSET($BN$2,0,0,ROW()-1,60),ROW()-1,FALSE))</f>
        <v>2.1592838479999998</v>
      </c>
      <c r="K181">
        <f ca="1">IF(AND(ISNUMBER($K$423),$B$258=1),$K$423,HLOOKUP(INDIRECT(ADDRESS(2,COLUMN())),OFFSET($BN$2,0,0,ROW()-1,60),ROW()-1,FALSE))</f>
        <v>2.2562537580000002</v>
      </c>
      <c r="L181">
        <f ca="1">IF(AND(ISNUMBER($L$423),$B$258=1),$L$423,HLOOKUP(INDIRECT(ADDRESS(2,COLUMN())),OFFSET($BN$2,0,0,ROW()-1,60),ROW()-1,FALSE))</f>
        <v>2.1246390540000002</v>
      </c>
      <c r="M181">
        <f ca="1">IF(AND(ISNUMBER($M$423),$B$258=1),$M$423,HLOOKUP(INDIRECT(ADDRESS(2,COLUMN())),OFFSET($BN$2,0,0,ROW()-1,60),ROW()-1,FALSE))</f>
        <v>2.241179018</v>
      </c>
      <c r="N181">
        <f ca="1">IF(AND(ISNUMBER($N$423),$B$258=1),$N$423,HLOOKUP(INDIRECT(ADDRESS(2,COLUMN())),OFFSET($BN$2,0,0,ROW()-1,60),ROW()-1,FALSE))</f>
        <v>2.2284126620000002</v>
      </c>
      <c r="O181">
        <f ca="1">IF(AND(ISNUMBER($O$423),$B$258=1),$O$423,HLOOKUP(INDIRECT(ADDRESS(2,COLUMN())),OFFSET($BN$2,0,0,ROW()-1,60),ROW()-1,FALSE))</f>
        <v>2.2155366700000001</v>
      </c>
      <c r="P181">
        <f ca="1">IF(AND(ISNUMBER($P$423),$B$258=1),$P$423,HLOOKUP(INDIRECT(ADDRESS(2,COLUMN())),OFFSET($BN$2,0,0,ROW()-1,60),ROW()-1,FALSE))</f>
        <v>1.904402728</v>
      </c>
      <c r="Q181">
        <f ca="1">IF(AND(ISNUMBER($Q$423),$B$258=1),$Q$423,HLOOKUP(INDIRECT(ADDRESS(2,COLUMN())),OFFSET($BN$2,0,0,ROW()-1,60),ROW()-1,FALSE))</f>
        <v>2.0313251389999998</v>
      </c>
      <c r="R181">
        <f ca="1">IF(AND(ISNUMBER($R$423),$B$258=1),$R$423,HLOOKUP(INDIRECT(ADDRESS(2,COLUMN())),OFFSET($BN$2,0,0,ROW()-1,60),ROW()-1,FALSE))</f>
        <v>1.9031946</v>
      </c>
      <c r="S181">
        <f ca="1">IF(AND(ISNUMBER($S$423),$B$258=1),$S$423,HLOOKUP(INDIRECT(ADDRESS(2,COLUMN())),OFFSET($BN$2,0,0,ROW()-1,60),ROW()-1,FALSE))</f>
        <v>2.2638149080000001</v>
      </c>
      <c r="T181">
        <f ca="1">IF(AND(ISNUMBER($T$423),$B$258=1),$T$423,HLOOKUP(INDIRECT(ADDRESS(2,COLUMN())),OFFSET($BN$2,0,0,ROW()-1,60),ROW()-1,FALSE))</f>
        <v>1.938085539</v>
      </c>
      <c r="U181">
        <f ca="1">IF(AND(ISNUMBER($U$423),$B$258=1),$U$423,HLOOKUP(INDIRECT(ADDRESS(2,COLUMN())),OFFSET($BN$2,0,0,ROW()-1,60),ROW()-1,FALSE))</f>
        <v>2.290461466</v>
      </c>
      <c r="V181">
        <f ca="1">IF(AND(ISNUMBER($V$423),$B$258=1),$V$423,HLOOKUP(INDIRECT(ADDRESS(2,COLUMN())),OFFSET($BN$2,0,0,ROW()-1,60),ROW()-1,FALSE))</f>
        <v>2.1930975190000002</v>
      </c>
      <c r="W181">
        <f ca="1">IF(AND(ISNUMBER($W$423),$B$258=1),$W$423,HLOOKUP(INDIRECT(ADDRESS(2,COLUMN())),OFFSET($BN$2,0,0,ROW()-1,60),ROW()-1,FALSE))</f>
        <v>2.207968508</v>
      </c>
      <c r="X181">
        <f ca="1">IF(AND(ISNUMBER($X$423),$B$258=1),$X$423,HLOOKUP(INDIRECT(ADDRESS(2,COLUMN())),OFFSET($BN$2,0,0,ROW()-1,60),ROW()-1,FALSE))</f>
        <v>2.1492269689999999</v>
      </c>
      <c r="Y181">
        <f ca="1">IF(AND(ISNUMBER($Y$423),$B$258=1),$Y$423,HLOOKUP(INDIRECT(ADDRESS(2,COLUMN())),OFFSET($BN$2,0,0,ROW()-1,60),ROW()-1,FALSE))</f>
        <v>2.2680090970000002</v>
      </c>
      <c r="Z181">
        <f ca="1">IF(AND(ISNUMBER($Z$423),$B$258=1),$Z$423,HLOOKUP(INDIRECT(ADDRESS(2,COLUMN())),OFFSET($BN$2,0,0,ROW()-1,60),ROW()-1,FALSE))</f>
        <v>2.2326834189999998</v>
      </c>
      <c r="AA181">
        <f ca="1">IF(AND(ISNUMBER($AA$423),$B$258=1),$AA$423,HLOOKUP(INDIRECT(ADDRESS(2,COLUMN())),OFFSET($BN$2,0,0,ROW()-1,60),ROW()-1,FALSE))</f>
        <v>2.1065306619999999</v>
      </c>
      <c r="AB181">
        <f ca="1">IF(AND(ISNUMBER($AB$423),$B$258=1),$AB$423,HLOOKUP(INDIRECT(ADDRESS(2,COLUMN())),OFFSET($BN$2,0,0,ROW()-1,60),ROW()-1,FALSE))</f>
        <v>2.095708203</v>
      </c>
      <c r="AC181">
        <f ca="1">IF(AND(ISNUMBER($AC$423),$B$258=1),$AC$423,HLOOKUP(INDIRECT(ADDRESS(2,COLUMN())),OFFSET($BN$2,0,0,ROW()-1,60),ROW()-1,FALSE))</f>
        <v>1.8940742230000001</v>
      </c>
      <c r="AD181">
        <f ca="1">IF(AND(ISNUMBER($AD$423),$B$258=1),$AD$423,HLOOKUP(INDIRECT(ADDRESS(2,COLUMN())),OFFSET($BN$2,0,0,ROW()-1,60),ROW()-1,FALSE))</f>
        <v>2.0007996110000001</v>
      </c>
      <c r="AE181">
        <f ca="1">IF(AND(ISNUMBER($AE$423),$B$258=1),$AE$423,HLOOKUP(INDIRECT(ADDRESS(2,COLUMN())),OFFSET($BN$2,0,0,ROW()-1,60),ROW()-1,FALSE))</f>
        <v>0.79698184000000005</v>
      </c>
      <c r="AF181">
        <f ca="1">IF(AND(ISNUMBER($AF$423),$B$258=1),$AF$423,HLOOKUP(INDIRECT(ADDRESS(2,COLUMN())),OFFSET($BN$2,0,0,ROW()-1,60),ROW()-1,FALSE))</f>
        <v>2.0589149660000001</v>
      </c>
      <c r="AG181">
        <f ca="1">IF(AND(ISNUMBER($AG$423),$B$258=1),$AG$423,HLOOKUP(INDIRECT(ADDRESS(2,COLUMN())),OFFSET($BN$2,0,0,ROW()-1,60),ROW()-1,FALSE))</f>
        <v>1.497207261</v>
      </c>
      <c r="AH181">
        <f ca="1">IF(AND(ISNUMBER($AH$423),$B$258=1),$AH$423,HLOOKUP(INDIRECT(ADDRESS(2,COLUMN())),OFFSET($BN$2,0,0,ROW()-1,60),ROW()-1,FALSE))</f>
        <v>2.9264750720000001</v>
      </c>
      <c r="AI181">
        <f ca="1">IF(AND(ISNUMBER($AI$423),$B$258=1),$AI$423,HLOOKUP(INDIRECT(ADDRESS(2,COLUMN())),OFFSET($BN$2,0,0,ROW()-1,60),ROW()-1,FALSE))</f>
        <v>2.9399641519999999</v>
      </c>
      <c r="AJ181">
        <f ca="1">IF(AND(ISNUMBER($AJ$423),$B$258=1),$AJ$423,HLOOKUP(INDIRECT(ADDRESS(2,COLUMN())),OFFSET($BN$2,0,0,ROW()-1,60),ROW()-1,FALSE))</f>
        <v>2.811287981</v>
      </c>
      <c r="AK181">
        <f ca="1">IF(AND(ISNUMBER($AK$423),$B$258=1),$AK$423,HLOOKUP(INDIRECT(ADDRESS(2,COLUMN())),OFFSET($BN$2,0,0,ROW()-1,60),ROW()-1,FALSE))</f>
        <v>3.0319064400000002</v>
      </c>
      <c r="AL181">
        <f ca="1">IF(AND(ISNUMBER($AL$423),$B$258=1),$AL$423,HLOOKUP(INDIRECT(ADDRESS(2,COLUMN())),OFFSET($BN$2,0,0,ROW()-1,60),ROW()-1,FALSE))</f>
        <v>2.9005717259999999</v>
      </c>
      <c r="AM181">
        <f ca="1">IF(AND(ISNUMBER($AM$423),$B$258=1),$AM$423,HLOOKUP(INDIRECT(ADDRESS(2,COLUMN())),OFFSET($BN$2,0,0,ROW()-1,60),ROW()-1,FALSE))</f>
        <v>2.8517424650000001</v>
      </c>
      <c r="AN181">
        <f ca="1">IF(AND(ISNUMBER($AN$423),$B$258=1),$AN$423,HLOOKUP(INDIRECT(ADDRESS(2,COLUMN())),OFFSET($BN$2,0,0,ROW()-1,60),ROW()-1,FALSE))</f>
        <v>2.7490728369999999</v>
      </c>
      <c r="AO181">
        <f ca="1">IF(AND(ISNUMBER($AO$423),$B$258=1),$AO$423,HLOOKUP(INDIRECT(ADDRESS(2,COLUMN())),OFFSET($BN$2,0,0,ROW()-1,60),ROW()-1,FALSE))</f>
        <v>2.7813585519999999</v>
      </c>
      <c r="AP181">
        <f ca="1">IF(AND(ISNUMBER($AP$423),$B$258=1),$AP$423,HLOOKUP(INDIRECT(ADDRESS(2,COLUMN())),OFFSET($BN$2,0,0,ROW()-1,60),ROW()-1,FALSE))</f>
        <v>2.683800636</v>
      </c>
      <c r="AQ181">
        <f ca="1">IF(AND(ISNUMBER($AQ$423),$B$258=1),$AQ$423,HLOOKUP(INDIRECT(ADDRESS(2,COLUMN())),OFFSET($BN$2,0,0,ROW()-1,60),ROW()-1,FALSE))</f>
        <v>6.178925832</v>
      </c>
      <c r="AR181">
        <f ca="1">IF(AND(ISNUMBER($AR$423),$B$258=1),$AR$423,HLOOKUP(INDIRECT(ADDRESS(2,COLUMN())),OFFSET($BN$2,0,0,ROW()-1,60),ROW()-1,FALSE))</f>
        <v>-0.63279925100000001</v>
      </c>
      <c r="AS181">
        <f ca="1">IF(AND(ISNUMBER($AS$423),$B$258=1),$AS$423,HLOOKUP(INDIRECT(ADDRESS(2,COLUMN())),OFFSET($BN$2,0,0,ROW()-1,60),ROW()-1,FALSE))</f>
        <v>2.6869037690000002</v>
      </c>
      <c r="AT181">
        <f ca="1">IF(AND(ISNUMBER($AT$423),$B$258=1),$AT$423,HLOOKUP(INDIRECT(ADDRESS(2,COLUMN())),OFFSET($BN$2,0,0,ROW()-1,60),ROW()-1,FALSE))</f>
        <v>2.7082174960000001</v>
      </c>
      <c r="AU181">
        <f ca="1">IF(AND(ISNUMBER($AU$423),$B$258=1),$AU$423,HLOOKUP(INDIRECT(ADDRESS(2,COLUMN())),OFFSET($BN$2,0,0,ROW()-1,60),ROW()-1,FALSE))</f>
        <v>2.5326672370000001</v>
      </c>
      <c r="AV181">
        <f ca="1">IF(AND(ISNUMBER($AV$423),$B$258=1),$AV$423,HLOOKUP(INDIRECT(ADDRESS(2,COLUMN())),OFFSET($BN$2,0,0,ROW()-1,60),ROW()-1,FALSE))</f>
        <v>2.6741672099999998</v>
      </c>
      <c r="AW181">
        <f ca="1">IF(AND(ISNUMBER($AW$423),$B$258=1),$AW$423,HLOOKUP(INDIRECT(ADDRESS(2,COLUMN())),OFFSET($BN$2,0,0,ROW()-1,60),ROW()-1,FALSE))</f>
        <v>2.512071052</v>
      </c>
      <c r="AX181">
        <f ca="1">IF(AND(ISNUMBER($AX$423),$B$258=1),$AX$423,HLOOKUP(INDIRECT(ADDRESS(2,COLUMN())),OFFSET($BN$2,0,0,ROW()-1,60),ROW()-1,FALSE))</f>
        <v>3.595706463</v>
      </c>
      <c r="AY181">
        <f ca="1">IF(AND(ISNUMBER($AY$423),$B$258=1),$AY$423,HLOOKUP(INDIRECT(ADDRESS(2,COLUMN())),OFFSET($BN$2,0,0,ROW()-1,60),ROW()-1,FALSE))</f>
        <v>3.421661592</v>
      </c>
      <c r="AZ181">
        <f ca="1">IF(AND(ISNUMBER($AZ$423),$B$258=1),$AZ$423,HLOOKUP(INDIRECT(ADDRESS(2,COLUMN())),OFFSET($BN$2,0,0,ROW()-1,60),ROW()-1,FALSE))</f>
        <v>3.6291090119999998</v>
      </c>
      <c r="BA181">
        <f ca="1">IF(AND(ISNUMBER($BA$423),$B$258=1),$BA$423,HLOOKUP(INDIRECT(ADDRESS(2,COLUMN())),OFFSET($BN$2,0,0,ROW()-1,60),ROW()-1,FALSE))</f>
        <v>3.5571419629999999</v>
      </c>
      <c r="BB181">
        <f ca="1">IF(AND(ISNUMBER($BB$423),$B$258=1),$BB$423,HLOOKUP(INDIRECT(ADDRESS(2,COLUMN())),OFFSET($BN$2,0,0,ROW()-1,60),ROW()-1,FALSE))</f>
        <v>3.5576886440000002</v>
      </c>
      <c r="BC181">
        <f ca="1">IF(AND(ISNUMBER($BC$423),$B$258=1),$BC$423,HLOOKUP(INDIRECT(ADDRESS(2,COLUMN())),OFFSET($BN$2,0,0,ROW()-1,60),ROW()-1,FALSE))</f>
        <v>3.5196881370000002</v>
      </c>
      <c r="BD181">
        <f ca="1">IF(AND(ISNUMBER($BD$423),$B$258=1),$BD$423,HLOOKUP(INDIRECT(ADDRESS(2,COLUMN())),OFFSET($BN$2,0,0,ROW()-1,60),ROW()-1,FALSE))</f>
        <v>3.5304303199999998</v>
      </c>
      <c r="BE181">
        <f ca="1">IF(AND(ISNUMBER($BE$423),$B$258=1),$BE$423,HLOOKUP(INDIRECT(ADDRESS(2,COLUMN())),OFFSET($BN$2,0,0,ROW()-1,60),ROW()-1,FALSE))</f>
        <v>2.790693085</v>
      </c>
      <c r="BF181">
        <f ca="1">IF(AND(ISNUMBER($BF$423),$B$258=1),$BF$423,HLOOKUP(INDIRECT(ADDRESS(2,COLUMN())),OFFSET($BN$2,0,0,ROW()-1,60),ROW()-1,FALSE))</f>
        <v>5.169549108</v>
      </c>
      <c r="BG181">
        <f ca="1">IF(AND(ISNUMBER($BG$423),$B$258=1),$BG$423,HLOOKUP(INDIRECT(ADDRESS(2,COLUMN())),OFFSET($BN$2,0,0,ROW()-1,60),ROW()-1,FALSE))</f>
        <v>5.3699546140000001</v>
      </c>
      <c r="BH181">
        <f ca="1">IF(AND(ISNUMBER($BH$423),$B$258=1),$BH$423,HLOOKUP(INDIRECT(ADDRESS(2,COLUMN())),OFFSET($BN$2,0,0,ROW()-1,60),ROW()-1,FALSE))</f>
        <v>5.4760828909999999</v>
      </c>
      <c r="BI181">
        <f ca="1">IF(AND(ISNUMBER($BI$423),$B$258=1),$BI$423,HLOOKUP(INDIRECT(ADDRESS(2,COLUMN())),OFFSET($BN$2,0,0,ROW()-1,60),ROW()-1,FALSE))</f>
        <v>5.3143681149999997</v>
      </c>
      <c r="BJ181">
        <f ca="1">IF(AND(ISNUMBER($BJ$423),$B$258=1),$BJ$423,HLOOKUP(INDIRECT(ADDRESS(2,COLUMN())),OFFSET($BN$2,0,0,ROW()-1,60),ROW()-1,FALSE))</f>
        <v>5.0799572130000001</v>
      </c>
      <c r="BK181">
        <f ca="1">IF(AND(ISNUMBER($BK$423),$B$258=1),$BK$423,HLOOKUP(INDIRECT(ADDRESS(2,COLUMN())),OFFSET($BN$2,0,0,ROW()-1,60),ROW()-1,FALSE))</f>
        <v>6.6167438809999997</v>
      </c>
      <c r="BL181">
        <f ca="1">IF(AND(ISNUMBER($BL$423),$B$258=1),$BL$423,HLOOKUP(INDIRECT(ADDRESS(2,COLUMN())),OFFSET($BN$2,0,0,ROW()-1,60),ROW()-1,FALSE))</f>
        <v>6.329804695</v>
      </c>
      <c r="BM181">
        <f ca="1">IF(AND(ISNUMBER($BM$423),$B$258=1),$BM$423,HLOOKUP(INDIRECT(ADDRESS(2,COLUMN())),OFFSET($BN$2,0,0,ROW()-1,60),ROW()-1,FALSE))</f>
        <v>5.7009617270000001</v>
      </c>
      <c r="BN181" t="str">
        <f>""</f>
        <v/>
      </c>
      <c r="BO181">
        <f>2.198688408</f>
        <v>2.1986884080000002</v>
      </c>
      <c r="BP181">
        <f>2.230195256</f>
        <v>2.230195256</v>
      </c>
      <c r="BQ181">
        <f>2.220738152</f>
        <v>2.220738152</v>
      </c>
      <c r="BR181">
        <f>2.159283848</f>
        <v>2.1592838479999998</v>
      </c>
      <c r="BS181">
        <f>2.256253758</f>
        <v>2.2562537580000002</v>
      </c>
      <c r="BT181">
        <f>2.124639054</f>
        <v>2.1246390540000002</v>
      </c>
      <c r="BU181">
        <f>2.241179018</f>
        <v>2.241179018</v>
      </c>
      <c r="BV181">
        <f>2.228412662</f>
        <v>2.2284126620000002</v>
      </c>
      <c r="BW181">
        <f>2.21553667</f>
        <v>2.2155366700000001</v>
      </c>
      <c r="BX181">
        <f>1.904402728</f>
        <v>1.904402728</v>
      </c>
      <c r="BY181">
        <f>2.031325139</f>
        <v>2.0313251389999998</v>
      </c>
      <c r="BZ181">
        <f>1.9031946</f>
        <v>1.9031946</v>
      </c>
      <c r="CA181">
        <f>2.263814908</f>
        <v>2.2638149080000001</v>
      </c>
      <c r="CB181">
        <f>1.938085539</f>
        <v>1.938085539</v>
      </c>
      <c r="CC181">
        <f>2.290461466</f>
        <v>2.290461466</v>
      </c>
      <c r="CD181">
        <f>2.193097519</f>
        <v>2.1930975190000002</v>
      </c>
      <c r="CE181">
        <f>2.207968508</f>
        <v>2.207968508</v>
      </c>
      <c r="CF181">
        <f>2.149226969</f>
        <v>2.1492269689999999</v>
      </c>
      <c r="CG181">
        <f>2.268009097</f>
        <v>2.2680090970000002</v>
      </c>
      <c r="CH181">
        <f>2.232683419</f>
        <v>2.2326834189999998</v>
      </c>
      <c r="CI181">
        <f>2.106530662</f>
        <v>2.1065306619999999</v>
      </c>
      <c r="CJ181">
        <f>2.095708203</f>
        <v>2.095708203</v>
      </c>
      <c r="CK181">
        <f>1.894074223</f>
        <v>1.8940742230000001</v>
      </c>
      <c r="CL181">
        <f>2.000799611</f>
        <v>2.0007996110000001</v>
      </c>
      <c r="CM181">
        <f>0.79698184</f>
        <v>0.79698184000000005</v>
      </c>
      <c r="CN181">
        <f>2.058914966</f>
        <v>2.0589149660000001</v>
      </c>
      <c r="CO181">
        <f>1.497207261</f>
        <v>1.497207261</v>
      </c>
      <c r="CP181">
        <f>2.926475072</f>
        <v>2.9264750720000001</v>
      </c>
      <c r="CQ181">
        <f>2.939964152</f>
        <v>2.9399641519999999</v>
      </c>
      <c r="CR181">
        <f>2.811287981</f>
        <v>2.811287981</v>
      </c>
      <c r="CS181">
        <f>3.03190644</f>
        <v>3.0319064400000002</v>
      </c>
      <c r="CT181">
        <f>2.900571726</f>
        <v>2.9005717259999999</v>
      </c>
      <c r="CU181">
        <f>2.851742465</f>
        <v>2.8517424650000001</v>
      </c>
      <c r="CV181">
        <f>2.749072837</f>
        <v>2.7490728369999999</v>
      </c>
      <c r="CW181">
        <f>2.781358552</f>
        <v>2.7813585519999999</v>
      </c>
      <c r="CX181">
        <f>2.683800636</f>
        <v>2.683800636</v>
      </c>
      <c r="CY181">
        <f>6.178925832</f>
        <v>6.178925832</v>
      </c>
      <c r="CZ181">
        <f>-0.632799251</f>
        <v>-0.63279925100000001</v>
      </c>
      <c r="DA181">
        <f>2.686903769</f>
        <v>2.6869037690000002</v>
      </c>
      <c r="DB181">
        <f>2.708217496</f>
        <v>2.7082174960000001</v>
      </c>
      <c r="DC181">
        <f>2.532667237</f>
        <v>2.5326672370000001</v>
      </c>
      <c r="DD181">
        <f>2.67416721</f>
        <v>2.6741672099999998</v>
      </c>
      <c r="DE181">
        <f>2.512071052</f>
        <v>2.512071052</v>
      </c>
      <c r="DF181">
        <f>3.595706463</f>
        <v>3.595706463</v>
      </c>
      <c r="DG181">
        <f>3.421661592</f>
        <v>3.421661592</v>
      </c>
      <c r="DH181">
        <f>3.629109012</f>
        <v>3.6291090119999998</v>
      </c>
      <c r="DI181">
        <f>3.557141963</f>
        <v>3.5571419629999999</v>
      </c>
      <c r="DJ181">
        <f>3.557688644</f>
        <v>3.5576886440000002</v>
      </c>
      <c r="DK181">
        <f>3.519688137</f>
        <v>3.5196881370000002</v>
      </c>
      <c r="DL181">
        <f>3.53043032</f>
        <v>3.5304303199999998</v>
      </c>
      <c r="DM181">
        <f>2.790693085</f>
        <v>2.790693085</v>
      </c>
      <c r="DN181">
        <f>5.169549108</f>
        <v>5.169549108</v>
      </c>
      <c r="DO181">
        <f>5.369954614</f>
        <v>5.3699546140000001</v>
      </c>
      <c r="DP181">
        <f>5.476082891</f>
        <v>5.4760828909999999</v>
      </c>
      <c r="DQ181">
        <f>5.314368115</f>
        <v>5.3143681149999997</v>
      </c>
      <c r="DR181">
        <f>5.079957213</f>
        <v>5.0799572130000001</v>
      </c>
      <c r="DS181">
        <f>6.616743881</f>
        <v>6.6167438809999997</v>
      </c>
      <c r="DT181">
        <f>6.329804695</f>
        <v>6.329804695</v>
      </c>
      <c r="DU181">
        <f>5.700961727</f>
        <v>5.7009617270000001</v>
      </c>
    </row>
    <row r="182" spans="1:125">
      <c r="A182" t="str">
        <f>"    Welltower Inc"</f>
        <v xml:space="preserve">    Welltower Inc</v>
      </c>
      <c r="B182" t="str">
        <f>"HCN US Equity"</f>
        <v>HCN US Equity</v>
      </c>
      <c r="C182" t="str">
        <f t="shared" si="42"/>
        <v>RR553</v>
      </c>
      <c r="D182" t="str">
        <f t="shared" si="43"/>
        <v>EBITDA_RE_ASSET</v>
      </c>
      <c r="E182" t="str">
        <f t="shared" si="44"/>
        <v>动态</v>
      </c>
      <c r="F182" t="str">
        <f ca="1">IF(AND(ISNUMBER($F$424),$B$258=1),$F$424,HLOOKUP(INDIRECT(ADDRESS(2,COLUMN())),OFFSET($BN$2,0,0,ROW()-1,60),ROW()-1,FALSE))</f>
        <v/>
      </c>
      <c r="G182">
        <f ca="1">IF(AND(ISNUMBER($G$424),$B$258=1),$G$424,HLOOKUP(INDIRECT(ADDRESS(2,COLUMN())),OFFSET($BN$2,0,0,ROW()-1,60),ROW()-1,FALSE))</f>
        <v>1.2372446180000001</v>
      </c>
      <c r="H182">
        <f ca="1">IF(AND(ISNUMBER($H$424),$B$258=1),$H$424,HLOOKUP(INDIRECT(ADDRESS(2,COLUMN())),OFFSET($BN$2,0,0,ROW()-1,60),ROW()-1,FALSE))</f>
        <v>1.7583382059999999</v>
      </c>
      <c r="I182">
        <f ca="1">IF(AND(ISNUMBER($I$424),$B$258=1),$I$424,HLOOKUP(INDIRECT(ADDRESS(2,COLUMN())),OFFSET($BN$2,0,0,ROW()-1,60),ROW()-1,FALSE))</f>
        <v>2.0503040229999998</v>
      </c>
      <c r="J182">
        <f ca="1">IF(AND(ISNUMBER($J$424),$B$258=1),$J$424,HLOOKUP(INDIRECT(ADDRESS(2,COLUMN())),OFFSET($BN$2,0,0,ROW()-1,60),ROW()-1,FALSE))</f>
        <v>2.038814608</v>
      </c>
      <c r="K182">
        <f ca="1">IF(AND(ISNUMBER($K$424),$B$258=1),$K$424,HLOOKUP(INDIRECT(ADDRESS(2,COLUMN())),OFFSET($BN$2,0,0,ROW()-1,60),ROW()-1,FALSE))</f>
        <v>2.0215100939999999</v>
      </c>
      <c r="L182">
        <f ca="1">IF(AND(ISNUMBER($L$424),$B$258=1),$L$424,HLOOKUP(INDIRECT(ADDRESS(2,COLUMN())),OFFSET($BN$2,0,0,ROW()-1,60),ROW()-1,FALSE))</f>
        <v>2.0747812890000001</v>
      </c>
      <c r="M182">
        <f ca="1">IF(AND(ISNUMBER($M$424),$B$258=1),$M$424,HLOOKUP(INDIRECT(ADDRESS(2,COLUMN())),OFFSET($BN$2,0,0,ROW()-1,60),ROW()-1,FALSE))</f>
        <v>2.2477607220000002</v>
      </c>
      <c r="N182">
        <f ca="1">IF(AND(ISNUMBER($N$424),$B$258=1),$N$424,HLOOKUP(INDIRECT(ADDRESS(2,COLUMN())),OFFSET($BN$2,0,0,ROW()-1,60),ROW()-1,FALSE))</f>
        <v>2.0686910570000001</v>
      </c>
      <c r="O182">
        <f ca="1">IF(AND(ISNUMBER($O$424),$B$258=1),$O$424,HLOOKUP(INDIRECT(ADDRESS(2,COLUMN())),OFFSET($BN$2,0,0,ROW()-1,60),ROW()-1,FALSE))</f>
        <v>1.8360621340000001</v>
      </c>
      <c r="P182">
        <f ca="1">IF(AND(ISNUMBER($P$424),$B$258=1),$P$424,HLOOKUP(INDIRECT(ADDRESS(2,COLUMN())),OFFSET($BN$2,0,0,ROW()-1,60),ROW()-1,FALSE))</f>
        <v>2.1788610890000002</v>
      </c>
      <c r="Q182">
        <f ca="1">IF(AND(ISNUMBER($Q$424),$B$258=1),$Q$424,HLOOKUP(INDIRECT(ADDRESS(2,COLUMN())),OFFSET($BN$2,0,0,ROW()-1,60),ROW()-1,FALSE))</f>
        <v>2.006558794</v>
      </c>
      <c r="R182">
        <f ca="1">IF(AND(ISNUMBER($R$424),$B$258=1),$R$424,HLOOKUP(INDIRECT(ADDRESS(2,COLUMN())),OFFSET($BN$2,0,0,ROW()-1,60),ROW()-1,FALSE))</f>
        <v>1.849066382</v>
      </c>
      <c r="S182">
        <f ca="1">IF(AND(ISNUMBER($S$424),$B$258=1),$S$424,HLOOKUP(INDIRECT(ADDRESS(2,COLUMN())),OFFSET($BN$2,0,0,ROW()-1,60),ROW()-1,FALSE))</f>
        <v>1.911813271</v>
      </c>
      <c r="T182">
        <f ca="1">IF(AND(ISNUMBER($T$424),$B$258=1),$T$424,HLOOKUP(INDIRECT(ADDRESS(2,COLUMN())),OFFSET($BN$2,0,0,ROW()-1,60),ROW()-1,FALSE))</f>
        <v>2.0984712399999998</v>
      </c>
      <c r="U182">
        <f ca="1">IF(AND(ISNUMBER($U$424),$B$258=1),$U$424,HLOOKUP(INDIRECT(ADDRESS(2,COLUMN())),OFFSET($BN$2,0,0,ROW()-1,60),ROW()-1,FALSE))</f>
        <v>1.971762633</v>
      </c>
      <c r="V182">
        <f ca="1">IF(AND(ISNUMBER($V$424),$B$258=1),$V$424,HLOOKUP(INDIRECT(ADDRESS(2,COLUMN())),OFFSET($BN$2,0,0,ROW()-1,60),ROW()-1,FALSE))</f>
        <v>2.076939281</v>
      </c>
      <c r="W182">
        <f ca="1">IF(AND(ISNUMBER($W$424),$B$258=1),$W$424,HLOOKUP(INDIRECT(ADDRESS(2,COLUMN())),OFFSET($BN$2,0,0,ROW()-1,60),ROW()-1,FALSE))</f>
        <v>2.8964504519999998</v>
      </c>
      <c r="X182">
        <f ca="1">IF(AND(ISNUMBER($X$424),$B$258=1),$X$424,HLOOKUP(INDIRECT(ADDRESS(2,COLUMN())),OFFSET($BN$2,0,0,ROW()-1,60),ROW()-1,FALSE))</f>
        <v>1.9045630520000001</v>
      </c>
      <c r="Y182">
        <f ca="1">IF(AND(ISNUMBER($Y$424),$B$258=1),$Y$424,HLOOKUP(INDIRECT(ADDRESS(2,COLUMN())),OFFSET($BN$2,0,0,ROW()-1,60),ROW()-1,FALSE))</f>
        <v>1.8440830109999999</v>
      </c>
      <c r="Z182">
        <f ca="1">IF(AND(ISNUMBER($Z$424),$B$258=1),$Z$424,HLOOKUP(INDIRECT(ADDRESS(2,COLUMN())),OFFSET($BN$2,0,0,ROW()-1,60),ROW()-1,FALSE))</f>
        <v>1.9500372960000001</v>
      </c>
      <c r="AA182">
        <f ca="1">IF(AND(ISNUMBER($AA$424),$B$258=1),$AA$424,HLOOKUP(INDIRECT(ADDRESS(2,COLUMN())),OFFSET($BN$2,0,0,ROW()-1,60),ROW()-1,FALSE))</f>
        <v>1.7952604059999999</v>
      </c>
      <c r="AB182">
        <f ca="1">IF(AND(ISNUMBER($AB$424),$B$258=1),$AB$424,HLOOKUP(INDIRECT(ADDRESS(2,COLUMN())),OFFSET($BN$2,0,0,ROW()-1,60),ROW()-1,FALSE))</f>
        <v>1.738311975</v>
      </c>
      <c r="AC182">
        <f ca="1">IF(AND(ISNUMBER($AC$424),$B$258=1),$AC$424,HLOOKUP(INDIRECT(ADDRESS(2,COLUMN())),OFFSET($BN$2,0,0,ROW()-1,60),ROW()-1,FALSE))</f>
        <v>1.7448309390000001</v>
      </c>
      <c r="AD182">
        <f ca="1">IF(AND(ISNUMBER($AD$424),$B$258=1),$AD$424,HLOOKUP(INDIRECT(ADDRESS(2,COLUMN())),OFFSET($BN$2,0,0,ROW()-1,60),ROW()-1,FALSE))</f>
        <v>1.8638665249999999</v>
      </c>
      <c r="AE182">
        <f ca="1">IF(AND(ISNUMBER($AE$424),$B$258=1),$AE$424,HLOOKUP(INDIRECT(ADDRESS(2,COLUMN())),OFFSET($BN$2,0,0,ROW()-1,60),ROW()-1,FALSE))</f>
        <v>1.797301214</v>
      </c>
      <c r="AF182">
        <f ca="1">IF(AND(ISNUMBER($AF$424),$B$258=1),$AF$424,HLOOKUP(INDIRECT(ADDRESS(2,COLUMN())),OFFSET($BN$2,0,0,ROW()-1,60),ROW()-1,FALSE))</f>
        <v>1.9405053379999999</v>
      </c>
      <c r="AG182">
        <f ca="1">IF(AND(ISNUMBER($AG$424),$B$258=1),$AG$424,HLOOKUP(INDIRECT(ADDRESS(2,COLUMN())),OFFSET($BN$2,0,0,ROW()-1,60),ROW()-1,FALSE))</f>
        <v>1.9863543889999999</v>
      </c>
      <c r="AH182">
        <f ca="1">IF(AND(ISNUMBER($AH$424),$B$258=1),$AH$424,HLOOKUP(INDIRECT(ADDRESS(2,COLUMN())),OFFSET($BN$2,0,0,ROW()-1,60),ROW()-1,FALSE))</f>
        <v>1.380009673</v>
      </c>
      <c r="AI182">
        <f ca="1">IF(AND(ISNUMBER($AI$424),$B$258=1),$AI$424,HLOOKUP(INDIRECT(ADDRESS(2,COLUMN())),OFFSET($BN$2,0,0,ROW()-1,60),ROW()-1,FALSE))</f>
        <v>1.568989076</v>
      </c>
      <c r="AJ182">
        <f ca="1">IF(AND(ISNUMBER($AJ$424),$B$258=1),$AJ$424,HLOOKUP(INDIRECT(ADDRESS(2,COLUMN())),OFFSET($BN$2,0,0,ROW()-1,60),ROW()-1,FALSE))</f>
        <v>1.251810933</v>
      </c>
      <c r="AK182">
        <f ca="1">IF(AND(ISNUMBER($AK$424),$B$258=1),$AK$424,HLOOKUP(INDIRECT(ADDRESS(2,COLUMN())),OFFSET($BN$2,0,0,ROW()-1,60),ROW()-1,FALSE))</f>
        <v>2.0601920589999998</v>
      </c>
      <c r="AL182">
        <f ca="1">IF(AND(ISNUMBER($AL$424),$B$258=1),$AL$424,HLOOKUP(INDIRECT(ADDRESS(2,COLUMN())),OFFSET($BN$2,0,0,ROW()-1,60),ROW()-1,FALSE))</f>
        <v>1.7903026179999999</v>
      </c>
      <c r="AM182">
        <f ca="1">IF(AND(ISNUMBER($AM$424),$B$258=1),$AM$424,HLOOKUP(INDIRECT(ADDRESS(2,COLUMN())),OFFSET($BN$2,0,0,ROW()-1,60),ROW()-1,FALSE))</f>
        <v>1.444560348</v>
      </c>
      <c r="AN182">
        <f ca="1">IF(AND(ISNUMBER($AN$424),$B$258=1),$AN$424,HLOOKUP(INDIRECT(ADDRESS(2,COLUMN())),OFFSET($BN$2,0,0,ROW()-1,60),ROW()-1,FALSE))</f>
        <v>2.203987664</v>
      </c>
      <c r="AO182">
        <f ca="1">IF(AND(ISNUMBER($AO$424),$B$258=1),$AO$424,HLOOKUP(INDIRECT(ADDRESS(2,COLUMN())),OFFSET($BN$2,0,0,ROW()-1,60),ROW()-1,FALSE))</f>
        <v>2.0311955859999999</v>
      </c>
      <c r="AP182">
        <f ca="1">IF(AND(ISNUMBER($AP$424),$B$258=1),$AP$424,HLOOKUP(INDIRECT(ADDRESS(2,COLUMN())),OFFSET($BN$2,0,0,ROW()-1,60),ROW()-1,FALSE))</f>
        <v>1.9488609290000001</v>
      </c>
      <c r="AQ182">
        <f ca="1">IF(AND(ISNUMBER($AQ$424),$B$258=1),$AQ$424,HLOOKUP(INDIRECT(ADDRESS(2,COLUMN())),OFFSET($BN$2,0,0,ROW()-1,60),ROW()-1,FALSE))</f>
        <v>0.818426616</v>
      </c>
      <c r="AR182">
        <f ca="1">IF(AND(ISNUMBER($AR$424),$B$258=1),$AR$424,HLOOKUP(INDIRECT(ADDRESS(2,COLUMN())),OFFSET($BN$2,0,0,ROW()-1,60),ROW()-1,FALSE))</f>
        <v>2.2309969330000001</v>
      </c>
      <c r="AS182">
        <f ca="1">IF(AND(ISNUMBER($AS$424),$B$258=1),$AS$424,HLOOKUP(INDIRECT(ADDRESS(2,COLUMN())),OFFSET($BN$2,0,0,ROW()-1,60),ROW()-1,FALSE))</f>
        <v>2.2173505269999998</v>
      </c>
      <c r="AT182">
        <f ca="1">IF(AND(ISNUMBER($AT$424),$B$258=1),$AT$424,HLOOKUP(INDIRECT(ADDRESS(2,COLUMN())),OFFSET($BN$2,0,0,ROW()-1,60),ROW()-1,FALSE))</f>
        <v>2.123105786</v>
      </c>
      <c r="AU182">
        <f ca="1">IF(AND(ISNUMBER($AU$424),$B$258=1),$AU$424,HLOOKUP(INDIRECT(ADDRESS(2,COLUMN())),OFFSET($BN$2,0,0,ROW()-1,60),ROW()-1,FALSE))</f>
        <v>2.1350424929999998</v>
      </c>
      <c r="AV182">
        <f ca="1">IF(AND(ISNUMBER($AV$424),$B$258=1),$AV$424,HLOOKUP(INDIRECT(ADDRESS(2,COLUMN())),OFFSET($BN$2,0,0,ROW()-1,60),ROW()-1,FALSE))</f>
        <v>2.2073009200000002</v>
      </c>
      <c r="AW182">
        <f ca="1">IF(AND(ISNUMBER($AW$424),$B$258=1),$AW$424,HLOOKUP(INDIRECT(ADDRESS(2,COLUMN())),OFFSET($BN$2,0,0,ROW()-1,60),ROW()-1,FALSE))</f>
        <v>2.1685973870000002</v>
      </c>
      <c r="AX182">
        <f ca="1">IF(AND(ISNUMBER($AX$424),$B$258=1),$AX$424,HLOOKUP(INDIRECT(ADDRESS(2,COLUMN())),OFFSET($BN$2,0,0,ROW()-1,60),ROW()-1,FALSE))</f>
        <v>2.1979610709999999</v>
      </c>
      <c r="AY182">
        <f ca="1">IF(AND(ISNUMBER($AY$424),$B$258=1),$AY$424,HLOOKUP(INDIRECT(ADDRESS(2,COLUMN())),OFFSET($BN$2,0,0,ROW()-1,60),ROW()-1,FALSE))</f>
        <v>1.8245963970000001</v>
      </c>
      <c r="AZ182">
        <f ca="1">IF(AND(ISNUMBER($AZ$424),$B$258=1),$AZ$424,HLOOKUP(INDIRECT(ADDRESS(2,COLUMN())),OFFSET($BN$2,0,0,ROW()-1,60),ROW()-1,FALSE))</f>
        <v>2.4266615140000001</v>
      </c>
      <c r="BA182">
        <f ca="1">IF(AND(ISNUMBER($BA$424),$B$258=1),$BA$424,HLOOKUP(INDIRECT(ADDRESS(2,COLUMN())),OFFSET($BN$2,0,0,ROW()-1,60),ROW()-1,FALSE))</f>
        <v>2.4235729479999999</v>
      </c>
      <c r="BB182">
        <f ca="1">IF(AND(ISNUMBER($BB$424),$B$258=1),$BB$424,HLOOKUP(INDIRECT(ADDRESS(2,COLUMN())),OFFSET($BN$2,0,0,ROW()-1,60),ROW()-1,FALSE))</f>
        <v>2.5335071490000001</v>
      </c>
      <c r="BC182">
        <f ca="1">IF(AND(ISNUMBER($BC$424),$B$258=1),$BC$424,HLOOKUP(INDIRECT(ADDRESS(2,COLUMN())),OFFSET($BN$2,0,0,ROW()-1,60),ROW()-1,FALSE))</f>
        <v>2.581278658</v>
      </c>
      <c r="BD182">
        <f ca="1">IF(AND(ISNUMBER($BD$424),$B$258=1),$BD$424,HLOOKUP(INDIRECT(ADDRESS(2,COLUMN())),OFFSET($BN$2,0,0,ROW()-1,60),ROW()-1,FALSE))</f>
        <v>2.5890498289999999</v>
      </c>
      <c r="BE182">
        <f ca="1">IF(AND(ISNUMBER($BE$424),$B$258=1),$BE$424,HLOOKUP(INDIRECT(ADDRESS(2,COLUMN())),OFFSET($BN$2,0,0,ROW()-1,60),ROW()-1,FALSE))</f>
        <v>2.4372910050000001</v>
      </c>
      <c r="BF182">
        <f ca="1">IF(AND(ISNUMBER($BF$424),$B$258=1),$BF$424,HLOOKUP(INDIRECT(ADDRESS(2,COLUMN())),OFFSET($BN$2,0,0,ROW()-1,60),ROW()-1,FALSE))</f>
        <v>2.5626196459999999</v>
      </c>
      <c r="BG182">
        <f ca="1">IF(AND(ISNUMBER($BG$424),$B$258=1),$BG$424,HLOOKUP(INDIRECT(ADDRESS(2,COLUMN())),OFFSET($BN$2,0,0,ROW()-1,60),ROW()-1,FALSE))</f>
        <v>2.1742264040000001</v>
      </c>
      <c r="BH182">
        <f ca="1">IF(AND(ISNUMBER($BH$424),$B$258=1),$BH$424,HLOOKUP(INDIRECT(ADDRESS(2,COLUMN())),OFFSET($BN$2,0,0,ROW()-1,60),ROW()-1,FALSE))</f>
        <v>2.5438715649999999</v>
      </c>
      <c r="BI182">
        <f ca="1">IF(AND(ISNUMBER($BI$424),$B$258=1),$BI$424,HLOOKUP(INDIRECT(ADDRESS(2,COLUMN())),OFFSET($BN$2,0,0,ROW()-1,60),ROW()-1,FALSE))</f>
        <v>2.683825541</v>
      </c>
      <c r="BJ182">
        <f ca="1">IF(AND(ISNUMBER($BJ$424),$B$258=1),$BJ$424,HLOOKUP(INDIRECT(ADDRESS(2,COLUMN())),OFFSET($BN$2,0,0,ROW()-1,60),ROW()-1,FALSE))</f>
        <v>2.7911139220000001</v>
      </c>
      <c r="BK182">
        <f ca="1">IF(AND(ISNUMBER($BK$424),$B$258=1),$BK$424,HLOOKUP(INDIRECT(ADDRESS(2,COLUMN())),OFFSET($BN$2,0,0,ROW()-1,60),ROW()-1,FALSE))</f>
        <v>2.821252264</v>
      </c>
      <c r="BL182">
        <f ca="1">IF(AND(ISNUMBER($BL$424),$B$258=1),$BL$424,HLOOKUP(INDIRECT(ADDRESS(2,COLUMN())),OFFSET($BN$2,0,0,ROW()-1,60),ROW()-1,FALSE))</f>
        <v>2.3830342080000002</v>
      </c>
      <c r="BM182">
        <f ca="1">IF(AND(ISNUMBER($BM$424),$B$258=1),$BM$424,HLOOKUP(INDIRECT(ADDRESS(2,COLUMN())),OFFSET($BN$2,0,0,ROW()-1,60),ROW()-1,FALSE))</f>
        <v>2.5478335630000002</v>
      </c>
      <c r="BN182" t="str">
        <f>""</f>
        <v/>
      </c>
      <c r="BO182">
        <f>1.237244618</f>
        <v>1.2372446180000001</v>
      </c>
      <c r="BP182">
        <f>1.758338206</f>
        <v>1.7583382059999999</v>
      </c>
      <c r="BQ182">
        <f>2.050304023</f>
        <v>2.0503040229999998</v>
      </c>
      <c r="BR182">
        <f>2.038814608</f>
        <v>2.038814608</v>
      </c>
      <c r="BS182">
        <f>2.021510094</f>
        <v>2.0215100939999999</v>
      </c>
      <c r="BT182">
        <f>2.074781289</f>
        <v>2.0747812890000001</v>
      </c>
      <c r="BU182">
        <f>2.247760722</f>
        <v>2.2477607220000002</v>
      </c>
      <c r="BV182">
        <f>2.068691057</f>
        <v>2.0686910570000001</v>
      </c>
      <c r="BW182">
        <f>1.836062134</f>
        <v>1.8360621340000001</v>
      </c>
      <c r="BX182">
        <f>2.178861089</f>
        <v>2.1788610890000002</v>
      </c>
      <c r="BY182">
        <f>2.006558794</f>
        <v>2.006558794</v>
      </c>
      <c r="BZ182">
        <f>1.849066382</f>
        <v>1.849066382</v>
      </c>
      <c r="CA182">
        <f>1.911813271</f>
        <v>1.911813271</v>
      </c>
      <c r="CB182">
        <f>2.09847124</f>
        <v>2.0984712399999998</v>
      </c>
      <c r="CC182">
        <f>1.971762633</f>
        <v>1.971762633</v>
      </c>
      <c r="CD182">
        <f>2.076939281</f>
        <v>2.076939281</v>
      </c>
      <c r="CE182">
        <f>2.896450452</f>
        <v>2.8964504519999998</v>
      </c>
      <c r="CF182">
        <f>1.904563052</f>
        <v>1.9045630520000001</v>
      </c>
      <c r="CG182">
        <f>1.844083011</f>
        <v>1.8440830109999999</v>
      </c>
      <c r="CH182">
        <f>1.950037296</f>
        <v>1.9500372960000001</v>
      </c>
      <c r="CI182">
        <f>1.795260406</f>
        <v>1.7952604059999999</v>
      </c>
      <c r="CJ182">
        <f>1.738311975</f>
        <v>1.738311975</v>
      </c>
      <c r="CK182">
        <f>1.744830939</f>
        <v>1.7448309390000001</v>
      </c>
      <c r="CL182">
        <f>1.863866525</f>
        <v>1.8638665249999999</v>
      </c>
      <c r="CM182">
        <f>1.797301214</f>
        <v>1.797301214</v>
      </c>
      <c r="CN182">
        <f>1.940505338</f>
        <v>1.9405053379999999</v>
      </c>
      <c r="CO182">
        <f>1.986354389</f>
        <v>1.9863543889999999</v>
      </c>
      <c r="CP182">
        <f>1.380009673</f>
        <v>1.380009673</v>
      </c>
      <c r="CQ182">
        <f>1.568989076</f>
        <v>1.568989076</v>
      </c>
      <c r="CR182">
        <f>1.251810933</f>
        <v>1.251810933</v>
      </c>
      <c r="CS182">
        <f>2.060192059</f>
        <v>2.0601920589999998</v>
      </c>
      <c r="CT182">
        <f>1.790302618</f>
        <v>1.7903026179999999</v>
      </c>
      <c r="CU182">
        <f>1.444560348</f>
        <v>1.444560348</v>
      </c>
      <c r="CV182">
        <f>2.203987664</f>
        <v>2.203987664</v>
      </c>
      <c r="CW182">
        <f>2.031195586</f>
        <v>2.0311955859999999</v>
      </c>
      <c r="CX182">
        <f>1.948860929</f>
        <v>1.9488609290000001</v>
      </c>
      <c r="CY182">
        <f>0.818426616</f>
        <v>0.818426616</v>
      </c>
      <c r="CZ182">
        <f>2.230996933</f>
        <v>2.2309969330000001</v>
      </c>
      <c r="DA182">
        <f>2.217350527</f>
        <v>2.2173505269999998</v>
      </c>
      <c r="DB182">
        <f>2.123105786</f>
        <v>2.123105786</v>
      </c>
      <c r="DC182">
        <f>2.135042493</f>
        <v>2.1350424929999998</v>
      </c>
      <c r="DD182">
        <f>2.20730092</f>
        <v>2.2073009200000002</v>
      </c>
      <c r="DE182">
        <f>2.168597387</f>
        <v>2.1685973870000002</v>
      </c>
      <c r="DF182">
        <f>2.197961071</f>
        <v>2.1979610709999999</v>
      </c>
      <c r="DG182">
        <f>1.824596397</f>
        <v>1.8245963970000001</v>
      </c>
      <c r="DH182">
        <f>2.426661514</f>
        <v>2.4266615140000001</v>
      </c>
      <c r="DI182">
        <f>2.423572948</f>
        <v>2.4235729479999999</v>
      </c>
      <c r="DJ182">
        <f>2.533507149</f>
        <v>2.5335071490000001</v>
      </c>
      <c r="DK182">
        <f>2.581278658</f>
        <v>2.581278658</v>
      </c>
      <c r="DL182">
        <f>2.589049829</f>
        <v>2.5890498289999999</v>
      </c>
      <c r="DM182">
        <f>2.437291005</f>
        <v>2.4372910050000001</v>
      </c>
      <c r="DN182">
        <f>2.562619646</f>
        <v>2.5626196459999999</v>
      </c>
      <c r="DO182">
        <f>2.174226404</f>
        <v>2.1742264040000001</v>
      </c>
      <c r="DP182">
        <f>2.543871565</f>
        <v>2.5438715649999999</v>
      </c>
      <c r="DQ182">
        <f>2.683825541</f>
        <v>2.683825541</v>
      </c>
      <c r="DR182">
        <f>2.791113922</f>
        <v>2.7911139220000001</v>
      </c>
      <c r="DS182">
        <f>2.821252264</f>
        <v>2.821252264</v>
      </c>
      <c r="DT182">
        <f>2.383034208</f>
        <v>2.3830342080000002</v>
      </c>
      <c r="DU182">
        <f>2.547833563</f>
        <v>2.5478335630000002</v>
      </c>
    </row>
    <row r="183" spans="1:125">
      <c r="A183" t="str">
        <f>"FFO/资产(%)"</f>
        <v>FFO/资产(%)</v>
      </c>
      <c r="B183" t="str">
        <f>""</f>
        <v/>
      </c>
      <c r="E183" t="str">
        <f>"Median"</f>
        <v>Median</v>
      </c>
      <c r="F183" t="str">
        <f ca="1">IF(ISERROR(IF(MEDIAN($F$184:$F$194) = 0, "", MEDIAN($F$184:$F$194))), "", (IF(MEDIAN($F$184:$F$194) = 0, "", MEDIAN($F$184:$F$194))))</f>
        <v/>
      </c>
      <c r="G183">
        <f ca="1">IF(ISERROR(IF(MEDIAN($G$184:$G$194) = 0, "", MEDIAN($G$184:$G$194))), "", (IF(MEDIAN($G$184:$G$194) = 0, "", MEDIAN($G$184:$G$194))))</f>
        <v>5.6086556349999999</v>
      </c>
      <c r="H183">
        <f ca="1">IF(ISERROR(IF(MEDIAN($H$184:$H$194) = 0, "", MEDIAN($H$184:$H$194))), "", (IF(MEDIAN($H$184:$H$194) = 0, "", MEDIAN($H$184:$H$194))))</f>
        <v>6.0134705090000002</v>
      </c>
      <c r="I183">
        <f ca="1">IF(ISERROR(IF(MEDIAN($I$184:$I$194) = 0, "", MEDIAN($I$184:$I$194))), "", (IF(MEDIAN($I$184:$I$194) = 0, "", MEDIAN($I$184:$I$194))))</f>
        <v>6.4524601830000003</v>
      </c>
      <c r="J183">
        <f ca="1">IF(ISERROR(IF(MEDIAN($J$184:$J$194) = 0, "", MEDIAN($J$184:$J$194))), "", (IF(MEDIAN($J$184:$J$194) = 0, "", MEDIAN($J$184:$J$194))))</f>
        <v>6.7893854859999996</v>
      </c>
      <c r="K183">
        <f ca="1">IF(ISERROR(IF(MEDIAN($K$184:$K$194) = 0, "", MEDIAN($K$184:$K$194))), "", (IF(MEDIAN($K$184:$K$194) = 0, "", MEDIAN($K$184:$K$194))))</f>
        <v>6.8973840180000003</v>
      </c>
      <c r="L183">
        <f ca="1">IF(ISERROR(IF(MEDIAN($L$184:$L$194) = 0, "", MEDIAN($L$184:$L$194))), "", (IF(MEDIAN($L$184:$L$194) = 0, "", MEDIAN($L$184:$L$194))))</f>
        <v>6.4064057610000003</v>
      </c>
      <c r="M183">
        <f ca="1">IF(ISERROR(IF(MEDIAN($M$184:$M$194) = 0, "", MEDIAN($M$184:$M$194))), "", (IF(MEDIAN($M$184:$M$194) = 0, "", MEDIAN($M$184:$M$194))))</f>
        <v>6.4489521639999996</v>
      </c>
      <c r="N183">
        <f ca="1">IF(ISERROR(IF(MEDIAN($N$184:$N$194) = 0, "", MEDIAN($N$184:$N$194))), "", (IF(MEDIAN($N$184:$N$194) = 0, "", MEDIAN($N$184:$N$194))))</f>
        <v>6.3130264240000002</v>
      </c>
      <c r="O183">
        <f ca="1">IF(ISERROR(IF(MEDIAN($O$184:$O$194) = 0, "", MEDIAN($O$184:$O$194))), "", (IF(MEDIAN($O$184:$O$194) = 0, "", MEDIAN($O$184:$O$194))))</f>
        <v>6.2979522560000003</v>
      </c>
      <c r="P183">
        <f ca="1">IF(ISERROR(IF(MEDIAN($P$184:$P$194) = 0, "", MEDIAN($P$184:$P$194))), "", (IF(MEDIAN($P$184:$P$194) = 0, "", MEDIAN($P$184:$P$194))))</f>
        <v>6.4018009985000006</v>
      </c>
      <c r="Q183">
        <f ca="1">IF(ISERROR(IF(MEDIAN($Q$184:$Q$194) = 0, "", MEDIAN($Q$184:$Q$194))), "", (IF(MEDIAN($Q$184:$Q$194) = 0, "", MEDIAN($Q$184:$Q$194))))</f>
        <v>6.0287875280000005</v>
      </c>
      <c r="R183">
        <f ca="1">IF(ISERROR(IF(MEDIAN($R$184:$R$194) = 0, "", MEDIAN($R$184:$R$194))), "", (IF(MEDIAN($R$184:$R$194) = 0, "", MEDIAN($R$184:$R$194))))</f>
        <v>6.1622152544999995</v>
      </c>
      <c r="S183">
        <f ca="1">IF(ISERROR(IF(MEDIAN($S$184:$S$194) = 0, "", MEDIAN($S$184:$S$194))), "", (IF(MEDIAN($S$184:$S$194) = 0, "", MEDIAN($S$184:$S$194))))</f>
        <v>6.4387730080000001</v>
      </c>
      <c r="T183">
        <f ca="1">IF(ISERROR(IF(MEDIAN($T$184:$T$194) = 0, "", MEDIAN($T$184:$T$194))), "", (IF(MEDIAN($T$184:$T$194) = 0, "", MEDIAN($T$184:$T$194))))</f>
        <v>6.0684705594999997</v>
      </c>
      <c r="U183">
        <f ca="1">IF(ISERROR(IF(MEDIAN($U$184:$U$194) = 0, "", MEDIAN($U$184:$U$194))), "", (IF(MEDIAN($U$184:$U$194) = 0, "", MEDIAN($U$184:$U$194))))</f>
        <v>6.4552981235000004</v>
      </c>
      <c r="V183">
        <f ca="1">IF(ISERROR(IF(MEDIAN($V$184:$V$194) = 0, "", MEDIAN($V$184:$V$194))), "", (IF(MEDIAN($V$184:$V$194) = 0, "", MEDIAN($V$184:$V$194))))</f>
        <v>6.0838893335000002</v>
      </c>
      <c r="W183">
        <f ca="1">IF(ISERROR(IF(MEDIAN($W$184:$W$194) = 0, "", MEDIAN($W$184:$W$194))), "", (IF(MEDIAN($W$184:$W$194) = 0, "", MEDIAN($W$184:$W$194))))</f>
        <v>6.6856275199999997</v>
      </c>
      <c r="X183">
        <f ca="1">IF(ISERROR(IF(MEDIAN($X$184:$X$194) = 0, "", MEDIAN($X$184:$X$194))), "", (IF(MEDIAN($X$184:$X$194) = 0, "", MEDIAN($X$184:$X$194))))</f>
        <v>6.6335994135000007</v>
      </c>
      <c r="Y183">
        <f ca="1">IF(ISERROR(IF(MEDIAN($Y$184:$Y$194) = 0, "", MEDIAN($Y$184:$Y$194))), "", (IF(MEDIAN($Y$184:$Y$194) = 0, "", MEDIAN($Y$184:$Y$194))))</f>
        <v>6.6502642129999998</v>
      </c>
      <c r="Z183">
        <f ca="1">IF(ISERROR(IF(MEDIAN($Z$184:$Z$194) = 0, "", MEDIAN($Z$184:$Z$194))), "", (IF(MEDIAN($Z$184:$Z$194) = 0, "", MEDIAN($Z$184:$Z$194))))</f>
        <v>6.617055755</v>
      </c>
      <c r="AA183">
        <f ca="1">IF(ISERROR(IF(MEDIAN($AA$184:$AA$194) = 0, "", MEDIAN($AA$184:$AA$194))), "", (IF(MEDIAN($AA$184:$AA$194) = 0, "", MEDIAN($AA$184:$AA$194))))</f>
        <v>6.332803663</v>
      </c>
      <c r="AB183">
        <f ca="1">IF(ISERROR(IF(MEDIAN($AB$184:$AB$194) = 0, "", MEDIAN($AB$184:$AB$194))), "", (IF(MEDIAN($AB$184:$AB$194) = 0, "", MEDIAN($AB$184:$AB$194))))</f>
        <v>6.0880617184999997</v>
      </c>
      <c r="AC183">
        <f ca="1">IF(ISERROR(IF(MEDIAN($AC$184:$AC$194) = 0, "", MEDIAN($AC$184:$AC$194))), "", (IF(MEDIAN($AC$184:$AC$194) = 0, "", MEDIAN($AC$184:$AC$194))))</f>
        <v>5.4762257185000003</v>
      </c>
      <c r="AD183">
        <f ca="1">IF(ISERROR(IF(MEDIAN($AD$184:$AD$194) = 0, "", MEDIAN($AD$184:$AD$194))), "", (IF(MEDIAN($AD$184:$AD$194) = 0, "", MEDIAN($AD$184:$AD$194))))</f>
        <v>6.2721035599999997</v>
      </c>
      <c r="AE183">
        <f ca="1">IF(ISERROR(IF(MEDIAN($AE$184:$AE$194) = 0, "", MEDIAN($AE$184:$AE$194))), "", (IF(MEDIAN($AE$184:$AE$194) = 0, "", MEDIAN($AE$184:$AE$194))))</f>
        <v>6.1254312459999998</v>
      </c>
      <c r="AF183">
        <f ca="1">IF(ISERROR(IF(MEDIAN($AF$184:$AF$194) = 0, "", MEDIAN($AF$184:$AF$194))), "", (IF(MEDIAN($AF$184:$AF$194) = 0, "", MEDIAN($AF$184:$AF$194))))</f>
        <v>5.2493675199999998</v>
      </c>
      <c r="AG183">
        <f ca="1">IF(ISERROR(IF(MEDIAN($AG$184:$AG$194) = 0, "", MEDIAN($AG$184:$AG$194))), "", (IF(MEDIAN($AG$184:$AG$194) = 0, "", MEDIAN($AG$184:$AG$194))))</f>
        <v>5.5392009</v>
      </c>
      <c r="AH183">
        <f ca="1">IF(ISERROR(IF(MEDIAN($AH$184:$AH$194) = 0, "", MEDIAN($AH$184:$AH$194))), "", (IF(MEDIAN($AH$184:$AH$194) = 0, "", MEDIAN($AH$184:$AH$194))))</f>
        <v>5.1460867099999996</v>
      </c>
      <c r="AI183">
        <f ca="1">IF(ISERROR(IF(MEDIAN($AI$184:$AI$194) = 0, "", MEDIAN($AI$184:$AI$194))), "", (IF(MEDIAN($AI$184:$AI$194) = 0, "", MEDIAN($AI$184:$AI$194))))</f>
        <v>4.6921475985000001</v>
      </c>
      <c r="AJ183">
        <f ca="1">IF(ISERROR(IF(MEDIAN($AJ$184:$AJ$194) = 0, "", MEDIAN($AJ$184:$AJ$194))), "", (IF(MEDIAN($AJ$184:$AJ$194) = 0, "", MEDIAN($AJ$184:$AJ$194))))</f>
        <v>4.2854357474999993</v>
      </c>
      <c r="AK183">
        <f ca="1">IF(ISERROR(IF(MEDIAN($AK$184:$AK$194) = 0, "", MEDIAN($AK$184:$AK$194))), "", (IF(MEDIAN($AK$184:$AK$194) = 0, "", MEDIAN($AK$184:$AK$194))))</f>
        <v>4.6809668845000001</v>
      </c>
      <c r="AL183">
        <f ca="1">IF(ISERROR(IF(MEDIAN($AL$184:$AL$194) = 0, "", MEDIAN($AL$184:$AL$194))), "", (IF(MEDIAN($AL$184:$AL$194) = 0, "", MEDIAN($AL$184:$AL$194))))</f>
        <v>4.8460423395000003</v>
      </c>
      <c r="AM183">
        <f ca="1">IF(ISERROR(IF(MEDIAN($AM$184:$AM$194) = 0, "", MEDIAN($AM$184:$AM$194))), "", (IF(MEDIAN($AM$184:$AM$194) = 0, "", MEDIAN($AM$184:$AM$194))))</f>
        <v>5.5773489109999996</v>
      </c>
      <c r="AN183">
        <f ca="1">IF(ISERROR(IF(MEDIAN($AN$184:$AN$194) = 0, "", MEDIAN($AN$184:$AN$194))), "", (IF(MEDIAN($AN$184:$AN$194) = 0, "", MEDIAN($AN$184:$AN$194))))</f>
        <v>5.6327894349999994</v>
      </c>
      <c r="AO183">
        <f ca="1">IF(ISERROR(IF(MEDIAN($AO$184:$AO$194) = 0, "", MEDIAN($AO$184:$AO$194))), "", (IF(MEDIAN($AO$184:$AO$194) = 0, "", MEDIAN($AO$184:$AO$194))))</f>
        <v>5.761915213</v>
      </c>
      <c r="AP183">
        <f ca="1">IF(ISERROR(IF(MEDIAN($AP$184:$AP$194) = 0, "", MEDIAN($AP$184:$AP$194))), "", (IF(MEDIAN($AP$184:$AP$194) = 0, "", MEDIAN($AP$184:$AP$194))))</f>
        <v>5.4547504364999995</v>
      </c>
      <c r="AQ183">
        <f ca="1">IF(ISERROR(IF(MEDIAN($AQ$184:$AQ$194) = 0, "", MEDIAN($AQ$184:$AQ$194))), "", (IF(MEDIAN($AQ$184:$AQ$194) = 0, "", MEDIAN($AQ$184:$AQ$194))))</f>
        <v>5.344839737</v>
      </c>
      <c r="AR183">
        <f ca="1">IF(ISERROR(IF(MEDIAN($AR$184:$AR$194) = 0, "", MEDIAN($AR$184:$AR$194))), "", (IF(MEDIAN($AR$184:$AR$194) = 0, "", MEDIAN($AR$184:$AR$194))))</f>
        <v>5.6585548980000002</v>
      </c>
      <c r="AS183">
        <f ca="1">IF(ISERROR(IF(MEDIAN($AS$184:$AS$194) = 0, "", MEDIAN($AS$184:$AS$194))), "", (IF(MEDIAN($AS$184:$AS$194) = 0, "", MEDIAN($AS$184:$AS$194))))</f>
        <v>5.6429265730000004</v>
      </c>
      <c r="AT183">
        <f ca="1">IF(ISERROR(IF(MEDIAN($AT$184:$AT$194) = 0, "", MEDIAN($AT$184:$AT$194))), "", (IF(MEDIAN($AT$184:$AT$194) = 0, "", MEDIAN($AT$184:$AT$194))))</f>
        <v>6.6192651764999999</v>
      </c>
      <c r="AU183">
        <f ca="1">IF(ISERROR(IF(MEDIAN($AU$184:$AU$194) = 0, "", MEDIAN($AU$184:$AU$194))), "", (IF(MEDIAN($AU$184:$AU$194) = 0, "", MEDIAN($AU$184:$AU$194))))</f>
        <v>6.3347763179999994</v>
      </c>
      <c r="AV183">
        <f ca="1">IF(ISERROR(IF(MEDIAN($AV$184:$AV$194) = 0, "", MEDIAN($AV$184:$AV$194))), "", (IF(MEDIAN($AV$184:$AV$194) = 0, "", MEDIAN($AV$184:$AV$194))))</f>
        <v>6.2483642100000001</v>
      </c>
      <c r="AW183">
        <f ca="1">IF(ISERROR(IF(MEDIAN($AW$184:$AW$194) = 0, "", MEDIAN($AW$184:$AW$194))), "", (IF(MEDIAN($AW$184:$AW$194) = 0, "", MEDIAN($AW$184:$AW$194))))</f>
        <v>6.7553645229999999</v>
      </c>
      <c r="AX183">
        <f ca="1">IF(ISERROR(IF(MEDIAN($AX$184:$AX$194) = 0, "", MEDIAN($AX$184:$AX$194))), "", (IF(MEDIAN($AX$184:$AX$194) = 0, "", MEDIAN($AX$184:$AX$194))))</f>
        <v>6.844448227</v>
      </c>
      <c r="AY183">
        <f ca="1">IF(ISERROR(IF(MEDIAN($AY$184:$AY$194) = 0, "", MEDIAN($AY$184:$AY$194))), "", (IF(MEDIAN($AY$184:$AY$194) = 0, "", MEDIAN($AY$184:$AY$194))))</f>
        <v>6.9062434274999998</v>
      </c>
      <c r="AZ183">
        <f ca="1">IF(ISERROR(IF(MEDIAN($AZ$184:$AZ$194) = 0, "", MEDIAN($AZ$184:$AZ$194))), "", (IF(MEDIAN($AZ$184:$AZ$194) = 0, "", MEDIAN($AZ$184:$AZ$194))))</f>
        <v>7.4715715290000002</v>
      </c>
      <c r="BA183">
        <f ca="1">IF(ISERROR(IF(MEDIAN($BA$184:$BA$194) = 0, "", MEDIAN($BA$184:$BA$194))), "", (IF(MEDIAN($BA$184:$BA$194) = 0, "", MEDIAN($BA$184:$BA$194))))</f>
        <v>7.4986714370000005</v>
      </c>
      <c r="BB183">
        <f ca="1">IF(ISERROR(IF(MEDIAN($BB$184:$BB$194) = 0, "", MEDIAN($BB$184:$BB$194))), "", (IF(MEDIAN($BB$184:$BB$194) = 0, "", MEDIAN($BB$184:$BB$194))))</f>
        <v>6.5244241399999998</v>
      </c>
      <c r="BC183">
        <f ca="1">IF(ISERROR(IF(MEDIAN($BC$184:$BC$194) = 0, "", MEDIAN($BC$184:$BC$194))), "", (IF(MEDIAN($BC$184:$BC$194) = 0, "", MEDIAN($BC$184:$BC$194))))</f>
        <v>6.2558603120000003</v>
      </c>
      <c r="BD183">
        <f ca="1">IF(ISERROR(IF(MEDIAN($BD$184:$BD$194) = 0, "", MEDIAN($BD$184:$BD$194))), "", (IF(MEDIAN($BD$184:$BD$194) = 0, "", MEDIAN($BD$184:$BD$194))))</f>
        <v>6.1272600969999997</v>
      </c>
      <c r="BE183">
        <f ca="1">IF(ISERROR(IF(MEDIAN($BE$184:$BE$194) = 0, "", MEDIAN($BE$184:$BE$194))), "", (IF(MEDIAN($BE$184:$BE$194) = 0, "", MEDIAN($BE$184:$BE$194))))</f>
        <v>6.2869690844999999</v>
      </c>
      <c r="BF183">
        <f ca="1">IF(ISERROR(IF(MEDIAN($BF$184:$BF$194) = 0, "", MEDIAN($BF$184:$BF$194))), "", (IF(MEDIAN($BF$184:$BF$194) = 0, "", MEDIAN($BF$184:$BF$194))))</f>
        <v>6.9765456480000001</v>
      </c>
      <c r="BG183">
        <f ca="1">IF(ISERROR(IF(MEDIAN($BG$184:$BG$194) = 0, "", MEDIAN($BG$184:$BG$194))), "", (IF(MEDIAN($BG$184:$BG$194) = 0, "", MEDIAN($BG$184:$BG$194))))</f>
        <v>7.0055744655000005</v>
      </c>
      <c r="BH183">
        <f ca="1">IF(ISERROR(IF(MEDIAN($BH$184:$BH$194) = 0, "", MEDIAN($BH$184:$BH$194))), "", (IF(MEDIAN($BH$184:$BH$194) = 0, "", MEDIAN($BH$184:$BH$194))))</f>
        <v>7.1863777649999996</v>
      </c>
      <c r="BI183">
        <f ca="1">IF(ISERROR(IF(MEDIAN($BI$184:$BI$194) = 0, "", MEDIAN($BI$184:$BI$194))), "", (IF(MEDIAN($BI$184:$BI$194) = 0, "", MEDIAN($BI$184:$BI$194))))</f>
        <v>10.49075438</v>
      </c>
      <c r="BJ183">
        <f ca="1">IF(ISERROR(IF(MEDIAN($BJ$184:$BJ$194) = 0, "", MEDIAN($BJ$184:$BJ$194))), "", (IF(MEDIAN($BJ$184:$BJ$194) = 0, "", MEDIAN($BJ$184:$BJ$194))))</f>
        <v>10.969776510000001</v>
      </c>
      <c r="BK183">
        <f ca="1">IF(ISERROR(IF(MEDIAN($BK$184:$BK$194) = 0, "", MEDIAN($BK$184:$BK$194))), "", (IF(MEDIAN($BK$184:$BK$194) = 0, "", MEDIAN($BK$184:$BK$194))))</f>
        <v>11.124472020000001</v>
      </c>
      <c r="BL183">
        <f ca="1">IF(ISERROR(IF(MEDIAN($BL$184:$BL$194) = 0, "", MEDIAN($BL$184:$BL$194))), "", (IF(MEDIAN($BL$184:$BL$194) = 0, "", MEDIAN($BL$184:$BL$194))))</f>
        <v>11.281623290000001</v>
      </c>
      <c r="BM183">
        <f ca="1">IF(ISERROR(IF(MEDIAN($BM$184:$BM$194) = 0, "", MEDIAN($BM$184:$BM$194))), "", (IF(MEDIAN($BM$184:$BM$194) = 0, "", MEDIAN($BM$184:$BM$194))))</f>
        <v>6.6575402229999998</v>
      </c>
      <c r="BN183" t="str">
        <f>""</f>
        <v/>
      </c>
      <c r="BO183">
        <f>5.608655635</f>
        <v>5.6086556349999999</v>
      </c>
      <c r="BP183">
        <f>6.013470509</f>
        <v>6.0134705090000002</v>
      </c>
      <c r="BQ183">
        <f>6.452460183</f>
        <v>6.4524601830000003</v>
      </c>
      <c r="BR183">
        <f>6.789385486</f>
        <v>6.7893854859999996</v>
      </c>
      <c r="BS183">
        <f>6.897384018</f>
        <v>6.8973840180000003</v>
      </c>
      <c r="BT183">
        <f>6.406405761</f>
        <v>6.4064057610000003</v>
      </c>
      <c r="BU183">
        <f>6.448952164</f>
        <v>6.4489521639999996</v>
      </c>
      <c r="BV183">
        <f>6.313026424</f>
        <v>6.3130264240000002</v>
      </c>
      <c r="BW183">
        <f>6.297952256</f>
        <v>6.2979522560000003</v>
      </c>
      <c r="BX183">
        <f>6.401800999</f>
        <v>6.4018009989999998</v>
      </c>
      <c r="BY183">
        <f>6.028787528</f>
        <v>6.0287875279999996</v>
      </c>
      <c r="BZ183">
        <f>6.162215254</f>
        <v>6.1622152540000004</v>
      </c>
      <c r="CA183">
        <f>6.438773008</f>
        <v>6.4387730080000001</v>
      </c>
      <c r="CB183">
        <f>6.06847056</f>
        <v>6.0684705599999997</v>
      </c>
      <c r="CC183">
        <f>6.455298123</f>
        <v>6.4552981230000004</v>
      </c>
      <c r="CD183">
        <f>6.083889334</f>
        <v>6.0838893340000002</v>
      </c>
      <c r="CE183">
        <f>6.68562752</f>
        <v>6.6856275199999997</v>
      </c>
      <c r="CF183">
        <f>6.633599414</f>
        <v>6.6335994139999999</v>
      </c>
      <c r="CG183">
        <f>6.650264213</f>
        <v>6.6502642129999998</v>
      </c>
      <c r="CH183">
        <f>6.617055755</f>
        <v>6.617055755</v>
      </c>
      <c r="CI183">
        <f>6.332803663</f>
        <v>6.332803663</v>
      </c>
      <c r="CJ183">
        <f>6.088061718</f>
        <v>6.0880617179999996</v>
      </c>
      <c r="CK183">
        <f>5.476225718</f>
        <v>5.4762257180000002</v>
      </c>
      <c r="CL183">
        <f>6.27210356</f>
        <v>6.2721035599999997</v>
      </c>
      <c r="CM183">
        <f>6.125431246</f>
        <v>6.1254312459999998</v>
      </c>
      <c r="CN183">
        <f>5.24936752</f>
        <v>5.2493675199999998</v>
      </c>
      <c r="CO183">
        <f>5.5392009</f>
        <v>5.5392009</v>
      </c>
      <c r="CP183">
        <f>5.14608671</f>
        <v>5.1460867099999996</v>
      </c>
      <c r="CQ183">
        <f>4.692147598</f>
        <v>4.692147598</v>
      </c>
      <c r="CR183">
        <f>4.285435747</f>
        <v>4.2854357470000002</v>
      </c>
      <c r="CS183">
        <f>4.680966885</f>
        <v>4.6809668850000001</v>
      </c>
      <c r="CT183">
        <f>4.846042339</f>
        <v>4.8460423390000003</v>
      </c>
      <c r="CU183">
        <f>5.577348911</f>
        <v>5.5773489109999996</v>
      </c>
      <c r="CV183">
        <f>5.632789435</f>
        <v>5.6327894350000003</v>
      </c>
      <c r="CW183">
        <f>5.761915213</f>
        <v>5.761915213</v>
      </c>
      <c r="CX183">
        <f>5.454750436</f>
        <v>5.4547504360000003</v>
      </c>
      <c r="CY183">
        <f>5.344839737</f>
        <v>5.344839737</v>
      </c>
      <c r="CZ183">
        <f>5.658554898</f>
        <v>5.6585548980000002</v>
      </c>
      <c r="DA183">
        <f>5.642926573</f>
        <v>5.6429265729999996</v>
      </c>
      <c r="DB183">
        <f>6.619265176</f>
        <v>6.6192651759999999</v>
      </c>
      <c r="DC183">
        <f>6.334776318</f>
        <v>6.3347763180000003</v>
      </c>
      <c r="DD183">
        <f>6.24836421</f>
        <v>6.2483642100000001</v>
      </c>
      <c r="DE183">
        <f>6.755364523</f>
        <v>6.7553645229999999</v>
      </c>
      <c r="DF183">
        <f>6.844448227</f>
        <v>6.844448227</v>
      </c>
      <c r="DG183">
        <f>6.906243427</f>
        <v>6.9062434269999997</v>
      </c>
      <c r="DH183">
        <f>7.471571529</f>
        <v>7.4715715290000002</v>
      </c>
      <c r="DI183">
        <f>7.498671437</f>
        <v>7.4986714369999996</v>
      </c>
      <c r="DJ183">
        <f>6.52442414</f>
        <v>6.5244241399999998</v>
      </c>
      <c r="DK183">
        <f>6.255860312</f>
        <v>6.2558603120000003</v>
      </c>
      <c r="DL183">
        <f>6.127260097</f>
        <v>6.1272600969999997</v>
      </c>
      <c r="DM183">
        <f>6.286969084</f>
        <v>6.2869690839999999</v>
      </c>
      <c r="DN183">
        <f>6.976545648</f>
        <v>6.9765456480000001</v>
      </c>
      <c r="DO183">
        <f>7.005574466</f>
        <v>7.0055744659999997</v>
      </c>
      <c r="DP183">
        <f>7.186377765</f>
        <v>7.1863777649999996</v>
      </c>
      <c r="DQ183">
        <f>10.49075438</f>
        <v>10.49075438</v>
      </c>
      <c r="DR183">
        <f>10.96977651</f>
        <v>10.969776510000001</v>
      </c>
      <c r="DS183">
        <f>11.12447202</f>
        <v>11.124472020000001</v>
      </c>
      <c r="DT183">
        <f>11.28162329</f>
        <v>11.281623290000001</v>
      </c>
      <c r="DU183">
        <f>6.657540223</f>
        <v>6.6575402229999998</v>
      </c>
    </row>
    <row r="184" spans="1:125">
      <c r="A184" t="str">
        <f>"    Alexandria Real Estate Equitie"</f>
        <v xml:space="preserve">    Alexandria Real Estate Equitie</v>
      </c>
      <c r="B184" t="str">
        <f>"ARE US Equity"</f>
        <v>ARE US Equity</v>
      </c>
      <c r="C184" t="str">
        <f t="shared" ref="C184:C194" si="45">"RR554"</f>
        <v>RR554</v>
      </c>
      <c r="D184" t="str">
        <f t="shared" ref="D184:D194" si="46">"FFO_RE_ASSET"</f>
        <v>FFO_RE_ASSET</v>
      </c>
      <c r="E184" t="str">
        <f t="shared" ref="E184:E194" si="47">"动态"</f>
        <v>动态</v>
      </c>
      <c r="F184" t="str">
        <f ca="1">IF(AND(ISNUMBER($F$425),$B$258=1),$F$425,HLOOKUP(INDIRECT(ADDRESS(2,COLUMN())),OFFSET($BN$2,0,0,ROW()-1,60),ROW()-1,FALSE))</f>
        <v/>
      </c>
      <c r="G184">
        <f ca="1">IF(AND(ISNUMBER($G$425),$B$258=1),$G$425,HLOOKUP(INDIRECT(ADDRESS(2,COLUMN())),OFFSET($BN$2,0,0,ROW()-1,60),ROW()-1,FALSE))</f>
        <v>5.4435340840000004</v>
      </c>
      <c r="H184">
        <f ca="1">IF(AND(ISNUMBER($H$425),$B$258=1),$H$425,HLOOKUP(INDIRECT(ADDRESS(2,COLUMN())),OFFSET($BN$2,0,0,ROW()-1,60),ROW()-1,FALSE))</f>
        <v>5.0594910850000003</v>
      </c>
      <c r="I184">
        <f ca="1">IF(AND(ISNUMBER($I$425),$B$258=1),$I$425,HLOOKUP(INDIRECT(ADDRESS(2,COLUMN())),OFFSET($BN$2,0,0,ROW()-1,60),ROW()-1,FALSE))</f>
        <v>4.5571610890000001</v>
      </c>
      <c r="J184">
        <f ca="1">IF(AND(ISNUMBER($J$425),$B$258=1),$J$425,HLOOKUP(INDIRECT(ADDRESS(2,COLUMN())),OFFSET($BN$2,0,0,ROW()-1,60),ROW()-1,FALSE))</f>
        <v>3.4830968000000002</v>
      </c>
      <c r="K184">
        <f ca="1">IF(AND(ISNUMBER($K$425),$B$258=1),$K$425,HLOOKUP(INDIRECT(ADDRESS(2,COLUMN())),OFFSET($BN$2,0,0,ROW()-1,60),ROW()-1,FALSE))</f>
        <v>2.9549679430000002</v>
      </c>
      <c r="L184">
        <f ca="1">IF(AND(ISNUMBER($L$425),$B$258=1),$L$425,HLOOKUP(INDIRECT(ADDRESS(2,COLUMN())),OFFSET($BN$2,0,0,ROW()-1,60),ROW()-1,FALSE))</f>
        <v>3.6241696430000001</v>
      </c>
      <c r="M184">
        <f ca="1">IF(AND(ISNUMBER($M$425),$B$258=1),$M$425,HLOOKUP(INDIRECT(ADDRESS(2,COLUMN())),OFFSET($BN$2,0,0,ROW()-1,60),ROW()-1,FALSE))</f>
        <v>3.8900668899999999</v>
      </c>
      <c r="N184">
        <f ca="1">IF(AND(ISNUMBER($N$425),$B$258=1),$N$425,HLOOKUP(INDIRECT(ADDRESS(2,COLUMN())),OFFSET($BN$2,0,0,ROW()-1,60),ROW()-1,FALSE))</f>
        <v>4.7540193840000002</v>
      </c>
      <c r="O184">
        <f ca="1">IF(AND(ISNUMBER($O$425),$B$258=1),$O$425,HLOOKUP(INDIRECT(ADDRESS(2,COLUMN())),OFFSET($BN$2,0,0,ROW()-1,60),ROW()-1,FALSE))</f>
        <v>5.1868265349999998</v>
      </c>
      <c r="P184">
        <f ca="1">IF(AND(ISNUMBER($P$425),$B$258=1),$P$425,HLOOKUP(INDIRECT(ADDRESS(2,COLUMN())),OFFSET($BN$2,0,0,ROW()-1,60),ROW()-1,FALSE))</f>
        <v>4.6674219939999997</v>
      </c>
      <c r="Q184">
        <f ca="1">IF(AND(ISNUMBER($Q$425),$B$258=1),$Q$425,HLOOKUP(INDIRECT(ADDRESS(2,COLUMN())),OFFSET($BN$2,0,0,ROW()-1,60),ROW()-1,FALSE))</f>
        <v>4.5850781930000002</v>
      </c>
      <c r="R184">
        <f ca="1">IF(AND(ISNUMBER($R$425),$B$258=1),$R$425,HLOOKUP(INDIRECT(ADDRESS(2,COLUMN())),OFFSET($BN$2,0,0,ROW()-1,60),ROW()-1,FALSE))</f>
        <v>4.5100120329999998</v>
      </c>
      <c r="S184">
        <f ca="1">IF(AND(ISNUMBER($S$425),$B$258=1),$S$425,HLOOKUP(INDIRECT(ADDRESS(2,COLUMN())),OFFSET($BN$2,0,0,ROW()-1,60),ROW()-1,FALSE))</f>
        <v>4.4935881279999998</v>
      </c>
      <c r="T184">
        <f ca="1">IF(AND(ISNUMBER($T$425),$B$258=1),$T$425,HLOOKUP(INDIRECT(ADDRESS(2,COLUMN())),OFFSET($BN$2,0,0,ROW()-1,60),ROW()-1,FALSE))</f>
        <v>4.8273197100000003</v>
      </c>
      <c r="U184">
        <f ca="1">IF(AND(ISNUMBER($U$425),$B$258=1),$U$425,HLOOKUP(INDIRECT(ADDRESS(2,COLUMN())),OFFSET($BN$2,0,0,ROW()-1,60),ROW()-1,FALSE))</f>
        <v>4.7672354410000004</v>
      </c>
      <c r="V184">
        <f ca="1">IF(AND(ISNUMBER($V$425),$B$258=1),$V$425,HLOOKUP(INDIRECT(ADDRESS(2,COLUMN())),OFFSET($BN$2,0,0,ROW()-1,60),ROW()-1,FALSE))</f>
        <v>4.6282559230000002</v>
      </c>
      <c r="W184">
        <f ca="1">IF(AND(ISNUMBER($W$425),$B$258=1),$W$425,HLOOKUP(INDIRECT(ADDRESS(2,COLUMN())),OFFSET($BN$2,0,0,ROW()-1,60),ROW()-1,FALSE))</f>
        <v>4.4673283899999996</v>
      </c>
      <c r="X184">
        <f ca="1">IF(AND(ISNUMBER($X$425),$B$258=1),$X$425,HLOOKUP(INDIRECT(ADDRESS(2,COLUMN())),OFFSET($BN$2,0,0,ROW()-1,60),ROW()-1,FALSE))</f>
        <v>4.4226217739999996</v>
      </c>
      <c r="Y184">
        <f ca="1">IF(AND(ISNUMBER($Y$425),$B$258=1),$Y$425,HLOOKUP(INDIRECT(ADDRESS(2,COLUMN())),OFFSET($BN$2,0,0,ROW()-1,60),ROW()-1,FALSE))</f>
        <v>4.4081169620000002</v>
      </c>
      <c r="Z184">
        <f ca="1">IF(AND(ISNUMBER($Z$425),$B$258=1),$Z$425,HLOOKUP(INDIRECT(ADDRESS(2,COLUMN())),OFFSET($BN$2,0,0,ROW()-1,60),ROW()-1,FALSE))</f>
        <v>4.4520714129999996</v>
      </c>
      <c r="AA184">
        <f ca="1">IF(AND(ISNUMBER($AA$425),$B$258=1),$AA$425,HLOOKUP(INDIRECT(ADDRESS(2,COLUMN())),OFFSET($BN$2,0,0,ROW()-1,60),ROW()-1,FALSE))</f>
        <v>4.3056159010000004</v>
      </c>
      <c r="AB184">
        <f ca="1">IF(AND(ISNUMBER($AB$425),$B$258=1),$AB$425,HLOOKUP(INDIRECT(ADDRESS(2,COLUMN())),OFFSET($BN$2,0,0,ROW()-1,60),ROW()-1,FALSE))</f>
        <v>4.3280343029999999</v>
      </c>
      <c r="AC184">
        <f ca="1">IF(AND(ISNUMBER($AC$425),$B$258=1),$AC$425,HLOOKUP(INDIRECT(ADDRESS(2,COLUMN())),OFFSET($BN$2,0,0,ROW()-1,60),ROW()-1,FALSE))</f>
        <v>4.3553780240000002</v>
      </c>
      <c r="AD184">
        <f ca="1">IF(AND(ISNUMBER($AD$425),$B$258=1),$AD$425,HLOOKUP(INDIRECT(ADDRESS(2,COLUMN())),OFFSET($BN$2,0,0,ROW()-1,60),ROW()-1,FALSE))</f>
        <v>4.4555512329999996</v>
      </c>
      <c r="AE184">
        <f ca="1">IF(AND(ISNUMBER($AE$425),$B$258=1),$AE$425,HLOOKUP(INDIRECT(ADDRESS(2,COLUMN())),OFFSET($BN$2,0,0,ROW()-1,60),ROW()-1,FALSE))</f>
        <v>4.5334714480000002</v>
      </c>
      <c r="AF184">
        <f ca="1">IF(AND(ISNUMBER($AF$425),$B$258=1),$AF$425,HLOOKUP(INDIRECT(ADDRESS(2,COLUMN())),OFFSET($BN$2,0,0,ROW()-1,60),ROW()-1,FALSE))</f>
        <v>4.4697976349999999</v>
      </c>
      <c r="AG184">
        <f ca="1">IF(AND(ISNUMBER($AG$425),$B$258=1),$AG$425,HLOOKUP(INDIRECT(ADDRESS(2,COLUMN())),OFFSET($BN$2,0,0,ROW()-1,60),ROW()-1,FALSE))</f>
        <v>4.3391348489999997</v>
      </c>
      <c r="AH184">
        <f ca="1">IF(AND(ISNUMBER($AH$425),$B$258=1),$AH$425,HLOOKUP(INDIRECT(ADDRESS(2,COLUMN())),OFFSET($BN$2,0,0,ROW()-1,60),ROW()-1,FALSE))</f>
        <v>3.4644192629999999</v>
      </c>
      <c r="AI184">
        <f ca="1">IF(AND(ISNUMBER($AI$425),$B$258=1),$AI$425,HLOOKUP(INDIRECT(ADDRESS(2,COLUMN())),OFFSET($BN$2,0,0,ROW()-1,60),ROW()-1,FALSE))</f>
        <v>3.3604916930000002</v>
      </c>
      <c r="AJ184">
        <f ca="1">IF(AND(ISNUMBER($AJ$425),$B$258=1),$AJ$425,HLOOKUP(INDIRECT(ADDRESS(2,COLUMN())),OFFSET($BN$2,0,0,ROW()-1,60),ROW()-1,FALSE))</f>
        <v>3.3564103749999998</v>
      </c>
      <c r="AK184">
        <f ca="1">IF(AND(ISNUMBER($AK$425),$B$258=1),$AK$425,HLOOKUP(INDIRECT(ADDRESS(2,COLUMN())),OFFSET($BN$2,0,0,ROW()-1,60),ROW()-1,FALSE))</f>
        <v>3.3581173230000001</v>
      </c>
      <c r="AL184">
        <f ca="1">IF(AND(ISNUMBER($AL$425),$B$258=1),$AL$425,HLOOKUP(INDIRECT(ADDRESS(2,COLUMN())),OFFSET($BN$2,0,0,ROW()-1,60),ROW()-1,FALSE))</f>
        <v>4.5513147900000002</v>
      </c>
      <c r="AM184">
        <f ca="1">IF(AND(ISNUMBER($AM$425),$B$258=1),$AM$425,HLOOKUP(INDIRECT(ADDRESS(2,COLUMN())),OFFSET($BN$2,0,0,ROW()-1,60),ROW()-1,FALSE))</f>
        <v>4.7408110270000003</v>
      </c>
      <c r="AN184">
        <f ca="1">IF(AND(ISNUMBER($AN$425),$B$258=1),$AN$425,HLOOKUP(INDIRECT(ADDRESS(2,COLUMN())),OFFSET($BN$2,0,0,ROW()-1,60),ROW()-1,FALSE))</f>
        <v>4.7054912499999997</v>
      </c>
      <c r="AO184">
        <f ca="1">IF(AND(ISNUMBER($AO$425),$B$258=1),$AO$425,HLOOKUP(INDIRECT(ADDRESS(2,COLUMN())),OFFSET($BN$2,0,0,ROW()-1,60),ROW()-1,FALSE))</f>
        <v>4.7169950910000003</v>
      </c>
      <c r="AP184">
        <f ca="1">IF(AND(ISNUMBER($AP$425),$B$258=1),$AP$425,HLOOKUP(INDIRECT(ADDRESS(2,COLUMN())),OFFSET($BN$2,0,0,ROW()-1,60),ROW()-1,FALSE))</f>
        <v>4.3995279099999998</v>
      </c>
      <c r="AQ184">
        <f ca="1">IF(AND(ISNUMBER($AQ$425),$B$258=1),$AQ$425,HLOOKUP(INDIRECT(ADDRESS(2,COLUMN())),OFFSET($BN$2,0,0,ROW()-1,60),ROW()-1,FALSE))</f>
        <v>3.9383145449999999</v>
      </c>
      <c r="AR184">
        <f ca="1">IF(AND(ISNUMBER($AR$425),$B$258=1),$AR$425,HLOOKUP(INDIRECT(ADDRESS(2,COLUMN())),OFFSET($BN$2,0,0,ROW()-1,60),ROW()-1,FALSE))</f>
        <v>4.1480704270000004</v>
      </c>
      <c r="AS184">
        <f ca="1">IF(AND(ISNUMBER($AS$425),$B$258=1),$AS$425,HLOOKUP(INDIRECT(ADDRESS(2,COLUMN())),OFFSET($BN$2,0,0,ROW()-1,60),ROW()-1,FALSE))</f>
        <v>4.3579117219999999</v>
      </c>
      <c r="AT184">
        <f ca="1">IF(AND(ISNUMBER($AT$425),$B$258=1),$AT$425,HLOOKUP(INDIRECT(ADDRESS(2,COLUMN())),OFFSET($BN$2,0,0,ROW()-1,60),ROW()-1,FALSE))</f>
        <v>4.3755621800000002</v>
      </c>
      <c r="AU184">
        <f ca="1">IF(AND(ISNUMBER($AU$425),$B$258=1),$AU$425,HLOOKUP(INDIRECT(ADDRESS(2,COLUMN())),OFFSET($BN$2,0,0,ROW()-1,60),ROW()-1,FALSE))</f>
        <v>4.418874057</v>
      </c>
      <c r="AV184">
        <f ca="1">IF(AND(ISNUMBER($AV$425),$B$258=1),$AV$425,HLOOKUP(INDIRECT(ADDRESS(2,COLUMN())),OFFSET($BN$2,0,0,ROW()-1,60),ROW()-1,FALSE))</f>
        <v>4.623173178</v>
      </c>
      <c r="AW184">
        <f ca="1">IF(AND(ISNUMBER($AW$425),$B$258=1),$AW$425,HLOOKUP(INDIRECT(ADDRESS(2,COLUMN())),OFFSET($BN$2,0,0,ROW()-1,60),ROW()-1,FALSE))</f>
        <v>5.2748364170000004</v>
      </c>
      <c r="AX184">
        <f ca="1">IF(AND(ISNUMBER($AX$425),$B$258=1),$AX$425,HLOOKUP(INDIRECT(ADDRESS(2,COLUMN())),OFFSET($BN$2,0,0,ROW()-1,60),ROW()-1,FALSE))</f>
        <v>4.9923101709999997</v>
      </c>
      <c r="AY184">
        <f ca="1">IF(AND(ISNUMBER($AY$425),$B$258=1),$AY$425,HLOOKUP(INDIRECT(ADDRESS(2,COLUMN())),OFFSET($BN$2,0,0,ROW()-1,60),ROW()-1,FALSE))</f>
        <v>4.8399684010000001</v>
      </c>
      <c r="AZ184">
        <f ca="1">IF(AND(ISNUMBER($AZ$425),$B$258=1),$AZ$425,HLOOKUP(INDIRECT(ADDRESS(2,COLUMN())),OFFSET($BN$2,0,0,ROW()-1,60),ROW()-1,FALSE))</f>
        <v>4.8225926000000001</v>
      </c>
      <c r="BA184">
        <f ca="1">IF(AND(ISNUMBER($BA$425),$B$258=1),$BA$425,HLOOKUP(INDIRECT(ADDRESS(2,COLUMN())),OFFSET($BN$2,0,0,ROW()-1,60),ROW()-1,FALSE))</f>
        <v>5.2929005130000002</v>
      </c>
      <c r="BB184">
        <f ca="1">IF(AND(ISNUMBER($BB$425),$B$258=1),$BB$425,HLOOKUP(INDIRECT(ADDRESS(2,COLUMN())),OFFSET($BN$2,0,0,ROW()-1,60),ROW()-1,FALSE))</f>
        <v>5.2820225949999999</v>
      </c>
      <c r="BC184">
        <f ca="1">IF(AND(ISNUMBER($BC$425),$B$258=1),$BC$425,HLOOKUP(INDIRECT(ADDRESS(2,COLUMN())),OFFSET($BN$2,0,0,ROW()-1,60),ROW()-1,FALSE))</f>
        <v>5.4061625089999996</v>
      </c>
      <c r="BD184">
        <f ca="1">IF(AND(ISNUMBER($BD$425),$B$258=1),$BD$425,HLOOKUP(INDIRECT(ADDRESS(2,COLUMN())),OFFSET($BN$2,0,0,ROW()-1,60),ROW()-1,FALSE))</f>
        <v>5.9241691899999998</v>
      </c>
      <c r="BE184">
        <f ca="1">IF(AND(ISNUMBER($BE$425),$B$258=1),$BE$425,HLOOKUP(INDIRECT(ADDRESS(2,COLUMN())),OFFSET($BN$2,0,0,ROW()-1,60),ROW()-1,FALSE))</f>
        <v>6.0689480570000001</v>
      </c>
      <c r="BF184">
        <f ca="1">IF(AND(ISNUMBER($BF$425),$B$258=1),$BF$425,HLOOKUP(INDIRECT(ADDRESS(2,COLUMN())),OFFSET($BN$2,0,0,ROW()-1,60),ROW()-1,FALSE))</f>
        <v>6.0136901749999998</v>
      </c>
      <c r="BG184">
        <f ca="1">IF(AND(ISNUMBER($BG$425),$B$258=1),$BG$425,HLOOKUP(INDIRECT(ADDRESS(2,COLUMN())),OFFSET($BN$2,0,0,ROW()-1,60),ROW()-1,FALSE))</f>
        <v>6.1524649279999997</v>
      </c>
      <c r="BH184">
        <f ca="1">IF(AND(ISNUMBER($BH$425),$B$258=1),$BH$425,HLOOKUP(INDIRECT(ADDRESS(2,COLUMN())),OFFSET($BN$2,0,0,ROW()-1,60),ROW()-1,FALSE))</f>
        <v>6.9204385290000001</v>
      </c>
      <c r="BI184">
        <f ca="1">IF(AND(ISNUMBER($BI$425),$B$258=1),$BI$425,HLOOKUP(INDIRECT(ADDRESS(2,COLUMN())),OFFSET($BN$2,0,0,ROW()-1,60),ROW()-1,FALSE))</f>
        <v>10.49075438</v>
      </c>
      <c r="BJ184">
        <f ca="1">IF(AND(ISNUMBER($BJ$425),$B$258=1),$BJ$425,HLOOKUP(INDIRECT(ADDRESS(2,COLUMN())),OFFSET($BN$2,0,0,ROW()-1,60),ROW()-1,FALSE))</f>
        <v>10.969776510000001</v>
      </c>
      <c r="BK184">
        <f ca="1">IF(AND(ISNUMBER($BK$425),$B$258=1),$BK$425,HLOOKUP(INDIRECT(ADDRESS(2,COLUMN())),OFFSET($BN$2,0,0,ROW()-1,60),ROW()-1,FALSE))</f>
        <v>11.124472020000001</v>
      </c>
      <c r="BL184" t="str">
        <f ca="1">IF(AND(ISNUMBER($BL$425),$B$258=1),$BL$425,HLOOKUP(INDIRECT(ADDRESS(2,COLUMN())),OFFSET($BN$2,0,0,ROW()-1,60),ROW()-1,FALSE))</f>
        <v/>
      </c>
      <c r="BM184" t="str">
        <f ca="1">IF(AND(ISNUMBER($BM$425),$B$258=1),$BM$425,HLOOKUP(INDIRECT(ADDRESS(2,COLUMN())),OFFSET($BN$2,0,0,ROW()-1,60),ROW()-1,FALSE))</f>
        <v/>
      </c>
      <c r="BN184" t="str">
        <f>""</f>
        <v/>
      </c>
      <c r="BO184">
        <f>5.443534084</f>
        <v>5.4435340840000004</v>
      </c>
      <c r="BP184">
        <f>5.059491085</f>
        <v>5.0594910850000003</v>
      </c>
      <c r="BQ184">
        <f>4.557161089</f>
        <v>4.5571610890000001</v>
      </c>
      <c r="BR184">
        <f>3.4830968</f>
        <v>3.4830968000000002</v>
      </c>
      <c r="BS184">
        <f>2.954967943</f>
        <v>2.9549679430000002</v>
      </c>
      <c r="BT184">
        <f>3.624169643</f>
        <v>3.6241696430000001</v>
      </c>
      <c r="BU184">
        <f>3.89006689</f>
        <v>3.8900668899999999</v>
      </c>
      <c r="BV184">
        <f>4.754019384</f>
        <v>4.7540193840000002</v>
      </c>
      <c r="BW184">
        <f>5.186826535</f>
        <v>5.1868265349999998</v>
      </c>
      <c r="BX184">
        <f>4.667421994</f>
        <v>4.6674219939999997</v>
      </c>
      <c r="BY184">
        <f>4.585078193</f>
        <v>4.5850781930000002</v>
      </c>
      <c r="BZ184">
        <f>4.510012033</f>
        <v>4.5100120329999998</v>
      </c>
      <c r="CA184">
        <f>4.493588128</f>
        <v>4.4935881279999998</v>
      </c>
      <c r="CB184">
        <f>4.82731971</f>
        <v>4.8273197100000003</v>
      </c>
      <c r="CC184">
        <f>4.767235441</f>
        <v>4.7672354410000004</v>
      </c>
      <c r="CD184">
        <f>4.628255923</f>
        <v>4.6282559230000002</v>
      </c>
      <c r="CE184">
        <f>4.46732839</f>
        <v>4.4673283899999996</v>
      </c>
      <c r="CF184">
        <f>4.422621774</f>
        <v>4.4226217739999996</v>
      </c>
      <c r="CG184">
        <f>4.408116962</f>
        <v>4.4081169620000002</v>
      </c>
      <c r="CH184">
        <f>4.452071413</f>
        <v>4.4520714129999996</v>
      </c>
      <c r="CI184">
        <f>4.305615901</f>
        <v>4.3056159010000004</v>
      </c>
      <c r="CJ184">
        <f>4.328034303</f>
        <v>4.3280343029999999</v>
      </c>
      <c r="CK184">
        <f>4.355378024</f>
        <v>4.3553780240000002</v>
      </c>
      <c r="CL184">
        <f>4.455551233</f>
        <v>4.4555512329999996</v>
      </c>
      <c r="CM184">
        <f>4.533471448</f>
        <v>4.5334714480000002</v>
      </c>
      <c r="CN184">
        <f>4.469797635</f>
        <v>4.4697976349999999</v>
      </c>
      <c r="CO184">
        <f>4.339134849</f>
        <v>4.3391348489999997</v>
      </c>
      <c r="CP184">
        <f>3.464419263</f>
        <v>3.4644192629999999</v>
      </c>
      <c r="CQ184">
        <f>3.360491693</f>
        <v>3.3604916930000002</v>
      </c>
      <c r="CR184">
        <f>3.356410375</f>
        <v>3.3564103749999998</v>
      </c>
      <c r="CS184">
        <f>3.358117323</f>
        <v>3.3581173230000001</v>
      </c>
      <c r="CT184">
        <f>4.55131479</f>
        <v>4.5513147900000002</v>
      </c>
      <c r="CU184">
        <f>4.740811027</f>
        <v>4.7408110270000003</v>
      </c>
      <c r="CV184">
        <f>4.70549125</f>
        <v>4.7054912499999997</v>
      </c>
      <c r="CW184">
        <f>4.716995091</f>
        <v>4.7169950910000003</v>
      </c>
      <c r="CX184">
        <f>4.39952791</f>
        <v>4.3995279099999998</v>
      </c>
      <c r="CY184">
        <f>3.938314545</f>
        <v>3.9383145449999999</v>
      </c>
      <c r="CZ184">
        <f>4.148070427</f>
        <v>4.1480704270000004</v>
      </c>
      <c r="DA184">
        <f>4.357911722</f>
        <v>4.3579117219999999</v>
      </c>
      <c r="DB184">
        <f>4.37556218</f>
        <v>4.3755621800000002</v>
      </c>
      <c r="DC184">
        <f>4.418874057</f>
        <v>4.418874057</v>
      </c>
      <c r="DD184">
        <f>4.623173178</f>
        <v>4.623173178</v>
      </c>
      <c r="DE184">
        <f>5.274836417</f>
        <v>5.2748364170000004</v>
      </c>
      <c r="DF184">
        <f>4.992310171</f>
        <v>4.9923101709999997</v>
      </c>
      <c r="DG184">
        <f>4.839968401</f>
        <v>4.8399684010000001</v>
      </c>
      <c r="DH184">
        <f>4.8225926</f>
        <v>4.8225926000000001</v>
      </c>
      <c r="DI184">
        <f>5.292900513</f>
        <v>5.2929005130000002</v>
      </c>
      <c r="DJ184">
        <f>5.282022595</f>
        <v>5.2820225949999999</v>
      </c>
      <c r="DK184">
        <f>5.406162509</f>
        <v>5.4061625089999996</v>
      </c>
      <c r="DL184">
        <f>5.92416919</f>
        <v>5.9241691899999998</v>
      </c>
      <c r="DM184">
        <f>6.068948057</f>
        <v>6.0689480570000001</v>
      </c>
      <c r="DN184">
        <f>6.013690175</f>
        <v>6.0136901749999998</v>
      </c>
      <c r="DO184">
        <f>6.152464928</f>
        <v>6.1524649279999997</v>
      </c>
      <c r="DP184">
        <f>6.920438529</f>
        <v>6.9204385290000001</v>
      </c>
      <c r="DQ184">
        <f>10.49075438</f>
        <v>10.49075438</v>
      </c>
      <c r="DR184">
        <f>10.96977651</f>
        <v>10.969776510000001</v>
      </c>
      <c r="DS184">
        <f>11.12447202</f>
        <v>11.124472020000001</v>
      </c>
      <c r="DT184" t="str">
        <f>""</f>
        <v/>
      </c>
      <c r="DU184" t="str">
        <f>""</f>
        <v/>
      </c>
    </row>
    <row r="185" spans="1:125">
      <c r="A185" t="str">
        <f>"    Care Capital Properties Inc"</f>
        <v xml:space="preserve">    Care Capital Properties Inc</v>
      </c>
      <c r="B185" t="str">
        <f>"CCP US Equity"</f>
        <v>CCP US Equity</v>
      </c>
      <c r="C185" t="str">
        <f t="shared" si="45"/>
        <v>RR554</v>
      </c>
      <c r="D185" t="str">
        <f t="shared" si="46"/>
        <v>FFO_RE_ASSET</v>
      </c>
      <c r="E185" t="str">
        <f t="shared" si="47"/>
        <v>动态</v>
      </c>
      <c r="F185" t="str">
        <f ca="1">IF(AND(ISNUMBER($F$426),$B$258=1),$F$426,HLOOKUP(INDIRECT(ADDRESS(2,COLUMN())),OFFSET($BN$2,0,0,ROW()-1,60),ROW()-1,FALSE))</f>
        <v/>
      </c>
      <c r="G185" t="str">
        <f ca="1">IF(AND(ISNUMBER($G$426),$B$258=1),$G$426,HLOOKUP(INDIRECT(ADDRESS(2,COLUMN())),OFFSET($BN$2,0,0,ROW()-1,60),ROW()-1,FALSE))</f>
        <v/>
      </c>
      <c r="H185" t="str">
        <f ca="1">IF(AND(ISNUMBER($H$426),$B$258=1),$H$426,HLOOKUP(INDIRECT(ADDRESS(2,COLUMN())),OFFSET($BN$2,0,0,ROW()-1,60),ROW()-1,FALSE))</f>
        <v/>
      </c>
      <c r="I185">
        <f ca="1">IF(AND(ISNUMBER($I$426),$B$258=1),$I$426,HLOOKUP(INDIRECT(ADDRESS(2,COLUMN())),OFFSET($BN$2,0,0,ROW()-1,60),ROW()-1,FALSE))</f>
        <v>9.3264216159999993</v>
      </c>
      <c r="J185">
        <f ca="1">IF(AND(ISNUMBER($J$426),$B$258=1),$J$426,HLOOKUP(INDIRECT(ADDRESS(2,COLUMN())),OFFSET($BN$2,0,0,ROW()-1,60),ROW()-1,FALSE))</f>
        <v>9.3739036430000002</v>
      </c>
      <c r="K185">
        <f ca="1">IF(AND(ISNUMBER($K$426),$B$258=1),$K$426,HLOOKUP(INDIRECT(ADDRESS(2,COLUMN())),OFFSET($BN$2,0,0,ROW()-1,60),ROW()-1,FALSE))</f>
        <v>9.3562175140000008</v>
      </c>
      <c r="L185">
        <f ca="1">IF(AND(ISNUMBER($L$426),$B$258=1),$L$426,HLOOKUP(INDIRECT(ADDRESS(2,COLUMN())),OFFSET($BN$2,0,0,ROW()-1,60),ROW()-1,FALSE))</f>
        <v>9.5715438000000006</v>
      </c>
      <c r="M185">
        <f ca="1">IF(AND(ISNUMBER($M$426),$B$258=1),$M$426,HLOOKUP(INDIRECT(ADDRESS(2,COLUMN())),OFFSET($BN$2,0,0,ROW()-1,60),ROW()-1,FALSE))</f>
        <v>10.186255360000001</v>
      </c>
      <c r="N185" t="str">
        <f ca="1">IF(AND(ISNUMBER($N$426),$B$258=1),$N$426,HLOOKUP(INDIRECT(ADDRESS(2,COLUMN())),OFFSET($BN$2,0,0,ROW()-1,60),ROW()-1,FALSE))</f>
        <v/>
      </c>
      <c r="O185" t="str">
        <f ca="1">IF(AND(ISNUMBER($O$426),$B$258=1),$O$426,HLOOKUP(INDIRECT(ADDRESS(2,COLUMN())),OFFSET($BN$2,0,0,ROW()-1,60),ROW()-1,FALSE))</f>
        <v/>
      </c>
      <c r="P185" t="str">
        <f ca="1">IF(AND(ISNUMBER($P$426),$B$258=1),$P$426,HLOOKUP(INDIRECT(ADDRESS(2,COLUMN())),OFFSET($BN$2,0,0,ROW()-1,60),ROW()-1,FALSE))</f>
        <v/>
      </c>
      <c r="Q185" t="str">
        <f ca="1">IF(AND(ISNUMBER($Q$426),$B$258=1),$Q$426,HLOOKUP(INDIRECT(ADDRESS(2,COLUMN())),OFFSET($BN$2,0,0,ROW()-1,60),ROW()-1,FALSE))</f>
        <v/>
      </c>
      <c r="R185" t="str">
        <f ca="1">IF(AND(ISNUMBER($R$426),$B$258=1),$R$426,HLOOKUP(INDIRECT(ADDRESS(2,COLUMN())),OFFSET($BN$2,0,0,ROW()-1,60),ROW()-1,FALSE))</f>
        <v/>
      </c>
      <c r="S185" t="str">
        <f ca="1">IF(AND(ISNUMBER($S$426),$B$258=1),$S$426,HLOOKUP(INDIRECT(ADDRESS(2,COLUMN())),OFFSET($BN$2,0,0,ROW()-1,60),ROW()-1,FALSE))</f>
        <v/>
      </c>
      <c r="T185" t="str">
        <f ca="1">IF(AND(ISNUMBER($T$426),$B$258=1),$T$426,HLOOKUP(INDIRECT(ADDRESS(2,COLUMN())),OFFSET($BN$2,0,0,ROW()-1,60),ROW()-1,FALSE))</f>
        <v/>
      </c>
      <c r="U185" t="str">
        <f ca="1">IF(AND(ISNUMBER($U$426),$B$258=1),$U$426,HLOOKUP(INDIRECT(ADDRESS(2,COLUMN())),OFFSET($BN$2,0,0,ROW()-1,60),ROW()-1,FALSE))</f>
        <v/>
      </c>
      <c r="V185" t="str">
        <f ca="1">IF(AND(ISNUMBER($V$426),$B$258=1),$V$426,HLOOKUP(INDIRECT(ADDRESS(2,COLUMN())),OFFSET($BN$2,0,0,ROW()-1,60),ROW()-1,FALSE))</f>
        <v/>
      </c>
      <c r="W185" t="str">
        <f ca="1">IF(AND(ISNUMBER($W$426),$B$258=1),$W$426,HLOOKUP(INDIRECT(ADDRESS(2,COLUMN())),OFFSET($BN$2,0,0,ROW()-1,60),ROW()-1,FALSE))</f>
        <v/>
      </c>
      <c r="X185" t="str">
        <f ca="1">IF(AND(ISNUMBER($X$426),$B$258=1),$X$426,HLOOKUP(INDIRECT(ADDRESS(2,COLUMN())),OFFSET($BN$2,0,0,ROW()-1,60),ROW()-1,FALSE))</f>
        <v/>
      </c>
      <c r="Y185" t="str">
        <f ca="1">IF(AND(ISNUMBER($Y$426),$B$258=1),$Y$426,HLOOKUP(INDIRECT(ADDRESS(2,COLUMN())),OFFSET($BN$2,0,0,ROW()-1,60),ROW()-1,FALSE))</f>
        <v/>
      </c>
      <c r="Z185" t="str">
        <f ca="1">IF(AND(ISNUMBER($Z$426),$B$258=1),$Z$426,HLOOKUP(INDIRECT(ADDRESS(2,COLUMN())),OFFSET($BN$2,0,0,ROW()-1,60),ROW()-1,FALSE))</f>
        <v/>
      </c>
      <c r="AA185" t="str">
        <f ca="1">IF(AND(ISNUMBER($AA$426),$B$258=1),$AA$426,HLOOKUP(INDIRECT(ADDRESS(2,COLUMN())),OFFSET($BN$2,0,0,ROW()-1,60),ROW()-1,FALSE))</f>
        <v/>
      </c>
      <c r="AB185" t="str">
        <f ca="1">IF(AND(ISNUMBER($AB$426),$B$258=1),$AB$426,HLOOKUP(INDIRECT(ADDRESS(2,COLUMN())),OFFSET($BN$2,0,0,ROW()-1,60),ROW()-1,FALSE))</f>
        <v/>
      </c>
      <c r="AC185" t="str">
        <f ca="1">IF(AND(ISNUMBER($AC$426),$B$258=1),$AC$426,HLOOKUP(INDIRECT(ADDRESS(2,COLUMN())),OFFSET($BN$2,0,0,ROW()-1,60),ROW()-1,FALSE))</f>
        <v/>
      </c>
      <c r="AD185" t="str">
        <f ca="1">IF(AND(ISNUMBER($AD$426),$B$258=1),$AD$426,HLOOKUP(INDIRECT(ADDRESS(2,COLUMN())),OFFSET($BN$2,0,0,ROW()-1,60),ROW()-1,FALSE))</f>
        <v/>
      </c>
      <c r="AE185" t="str">
        <f ca="1">IF(AND(ISNUMBER($AE$426),$B$258=1),$AE$426,HLOOKUP(INDIRECT(ADDRESS(2,COLUMN())),OFFSET($BN$2,0,0,ROW()-1,60),ROW()-1,FALSE))</f>
        <v/>
      </c>
      <c r="AF185" t="str">
        <f ca="1">IF(AND(ISNUMBER($AF$426),$B$258=1),$AF$426,HLOOKUP(INDIRECT(ADDRESS(2,COLUMN())),OFFSET($BN$2,0,0,ROW()-1,60),ROW()-1,FALSE))</f>
        <v/>
      </c>
      <c r="AG185" t="str">
        <f ca="1">IF(AND(ISNUMBER($AG$426),$B$258=1),$AG$426,HLOOKUP(INDIRECT(ADDRESS(2,COLUMN())),OFFSET($BN$2,0,0,ROW()-1,60),ROW()-1,FALSE))</f>
        <v/>
      </c>
      <c r="AH185" t="str">
        <f ca="1">IF(AND(ISNUMBER($AH$426),$B$258=1),$AH$426,HLOOKUP(INDIRECT(ADDRESS(2,COLUMN())),OFFSET($BN$2,0,0,ROW()-1,60),ROW()-1,FALSE))</f>
        <v/>
      </c>
      <c r="AI185" t="str">
        <f ca="1">IF(AND(ISNUMBER($AI$426),$B$258=1),$AI$426,HLOOKUP(INDIRECT(ADDRESS(2,COLUMN())),OFFSET($BN$2,0,0,ROW()-1,60),ROW()-1,FALSE))</f>
        <v/>
      </c>
      <c r="AJ185" t="str">
        <f ca="1">IF(AND(ISNUMBER($AJ$426),$B$258=1),$AJ$426,HLOOKUP(INDIRECT(ADDRESS(2,COLUMN())),OFFSET($BN$2,0,0,ROW()-1,60),ROW()-1,FALSE))</f>
        <v/>
      </c>
      <c r="AK185" t="str">
        <f ca="1">IF(AND(ISNUMBER($AK$426),$B$258=1),$AK$426,HLOOKUP(INDIRECT(ADDRESS(2,COLUMN())),OFFSET($BN$2,0,0,ROW()-1,60),ROW()-1,FALSE))</f>
        <v/>
      </c>
      <c r="AL185" t="str">
        <f ca="1">IF(AND(ISNUMBER($AL$426),$B$258=1),$AL$426,HLOOKUP(INDIRECT(ADDRESS(2,COLUMN())),OFFSET($BN$2,0,0,ROW()-1,60),ROW()-1,FALSE))</f>
        <v/>
      </c>
      <c r="AM185" t="str">
        <f ca="1">IF(AND(ISNUMBER($AM$426),$B$258=1),$AM$426,HLOOKUP(INDIRECT(ADDRESS(2,COLUMN())),OFFSET($BN$2,0,0,ROW()-1,60),ROW()-1,FALSE))</f>
        <v/>
      </c>
      <c r="AN185" t="str">
        <f ca="1">IF(AND(ISNUMBER($AN$426),$B$258=1),$AN$426,HLOOKUP(INDIRECT(ADDRESS(2,COLUMN())),OFFSET($BN$2,0,0,ROW()-1,60),ROW()-1,FALSE))</f>
        <v/>
      </c>
      <c r="AO185" t="str">
        <f ca="1">IF(AND(ISNUMBER($AO$426),$B$258=1),$AO$426,HLOOKUP(INDIRECT(ADDRESS(2,COLUMN())),OFFSET($BN$2,0,0,ROW()-1,60),ROW()-1,FALSE))</f>
        <v/>
      </c>
      <c r="AP185" t="str">
        <f ca="1">IF(AND(ISNUMBER($AP$426),$B$258=1),$AP$426,HLOOKUP(INDIRECT(ADDRESS(2,COLUMN())),OFFSET($BN$2,0,0,ROW()-1,60),ROW()-1,FALSE))</f>
        <v/>
      </c>
      <c r="AQ185" t="str">
        <f ca="1">IF(AND(ISNUMBER($AQ$426),$B$258=1),$AQ$426,HLOOKUP(INDIRECT(ADDRESS(2,COLUMN())),OFFSET($BN$2,0,0,ROW()-1,60),ROW()-1,FALSE))</f>
        <v/>
      </c>
      <c r="AR185" t="str">
        <f ca="1">IF(AND(ISNUMBER($AR$426),$B$258=1),$AR$426,HLOOKUP(INDIRECT(ADDRESS(2,COLUMN())),OFFSET($BN$2,0,0,ROW()-1,60),ROW()-1,FALSE))</f>
        <v/>
      </c>
      <c r="AS185" t="str">
        <f ca="1">IF(AND(ISNUMBER($AS$426),$B$258=1),$AS$426,HLOOKUP(INDIRECT(ADDRESS(2,COLUMN())),OFFSET($BN$2,0,0,ROW()-1,60),ROW()-1,FALSE))</f>
        <v/>
      </c>
      <c r="AT185" t="str">
        <f ca="1">IF(AND(ISNUMBER($AT$426),$B$258=1),$AT$426,HLOOKUP(INDIRECT(ADDRESS(2,COLUMN())),OFFSET($BN$2,0,0,ROW()-1,60),ROW()-1,FALSE))</f>
        <v/>
      </c>
      <c r="AU185" t="str">
        <f ca="1">IF(AND(ISNUMBER($AU$426),$B$258=1),$AU$426,HLOOKUP(INDIRECT(ADDRESS(2,COLUMN())),OFFSET($BN$2,0,0,ROW()-1,60),ROW()-1,FALSE))</f>
        <v/>
      </c>
      <c r="AV185" t="str">
        <f ca="1">IF(AND(ISNUMBER($AV$426),$B$258=1),$AV$426,HLOOKUP(INDIRECT(ADDRESS(2,COLUMN())),OFFSET($BN$2,0,0,ROW()-1,60),ROW()-1,FALSE))</f>
        <v/>
      </c>
      <c r="AW185" t="str">
        <f ca="1">IF(AND(ISNUMBER($AW$426),$B$258=1),$AW$426,HLOOKUP(INDIRECT(ADDRESS(2,COLUMN())),OFFSET($BN$2,0,0,ROW()-1,60),ROW()-1,FALSE))</f>
        <v/>
      </c>
      <c r="AX185" t="str">
        <f ca="1">IF(AND(ISNUMBER($AX$426),$B$258=1),$AX$426,HLOOKUP(INDIRECT(ADDRESS(2,COLUMN())),OFFSET($BN$2,0,0,ROW()-1,60),ROW()-1,FALSE))</f>
        <v/>
      </c>
      <c r="AY185" t="str">
        <f ca="1">IF(AND(ISNUMBER($AY$426),$B$258=1),$AY$426,HLOOKUP(INDIRECT(ADDRESS(2,COLUMN())),OFFSET($BN$2,0,0,ROW()-1,60),ROW()-1,FALSE))</f>
        <v/>
      </c>
      <c r="AZ185" t="str">
        <f ca="1">IF(AND(ISNUMBER($AZ$426),$B$258=1),$AZ$426,HLOOKUP(INDIRECT(ADDRESS(2,COLUMN())),OFFSET($BN$2,0,0,ROW()-1,60),ROW()-1,FALSE))</f>
        <v/>
      </c>
      <c r="BA185" t="str">
        <f ca="1">IF(AND(ISNUMBER($BA$426),$B$258=1),$BA$426,HLOOKUP(INDIRECT(ADDRESS(2,COLUMN())),OFFSET($BN$2,0,0,ROW()-1,60),ROW()-1,FALSE))</f>
        <v/>
      </c>
      <c r="BB185" t="str">
        <f ca="1">IF(AND(ISNUMBER($BB$426),$B$258=1),$BB$426,HLOOKUP(INDIRECT(ADDRESS(2,COLUMN())),OFFSET($BN$2,0,0,ROW()-1,60),ROW()-1,FALSE))</f>
        <v/>
      </c>
      <c r="BC185" t="str">
        <f ca="1">IF(AND(ISNUMBER($BC$426),$B$258=1),$BC$426,HLOOKUP(INDIRECT(ADDRESS(2,COLUMN())),OFFSET($BN$2,0,0,ROW()-1,60),ROW()-1,FALSE))</f>
        <v/>
      </c>
      <c r="BD185" t="str">
        <f ca="1">IF(AND(ISNUMBER($BD$426),$B$258=1),$BD$426,HLOOKUP(INDIRECT(ADDRESS(2,COLUMN())),OFFSET($BN$2,0,0,ROW()-1,60),ROW()-1,FALSE))</f>
        <v/>
      </c>
      <c r="BE185" t="str">
        <f ca="1">IF(AND(ISNUMBER($BE$426),$B$258=1),$BE$426,HLOOKUP(INDIRECT(ADDRESS(2,COLUMN())),OFFSET($BN$2,0,0,ROW()-1,60),ROW()-1,FALSE))</f>
        <v/>
      </c>
      <c r="BF185" t="str">
        <f ca="1">IF(AND(ISNUMBER($BF$426),$B$258=1),$BF$426,HLOOKUP(INDIRECT(ADDRESS(2,COLUMN())),OFFSET($BN$2,0,0,ROW()-1,60),ROW()-1,FALSE))</f>
        <v/>
      </c>
      <c r="BG185" t="str">
        <f ca="1">IF(AND(ISNUMBER($BG$426),$B$258=1),$BG$426,HLOOKUP(INDIRECT(ADDRESS(2,COLUMN())),OFFSET($BN$2,0,0,ROW()-1,60),ROW()-1,FALSE))</f>
        <v/>
      </c>
      <c r="BH185" t="str">
        <f ca="1">IF(AND(ISNUMBER($BH$426),$B$258=1),$BH$426,HLOOKUP(INDIRECT(ADDRESS(2,COLUMN())),OFFSET($BN$2,0,0,ROW()-1,60),ROW()-1,FALSE))</f>
        <v/>
      </c>
      <c r="BI185" t="str">
        <f ca="1">IF(AND(ISNUMBER($BI$426),$B$258=1),$BI$426,HLOOKUP(INDIRECT(ADDRESS(2,COLUMN())),OFFSET($BN$2,0,0,ROW()-1,60),ROW()-1,FALSE))</f>
        <v/>
      </c>
      <c r="BJ185" t="str">
        <f ca="1">IF(AND(ISNUMBER($BJ$426),$B$258=1),$BJ$426,HLOOKUP(INDIRECT(ADDRESS(2,COLUMN())),OFFSET($BN$2,0,0,ROW()-1,60),ROW()-1,FALSE))</f>
        <v/>
      </c>
      <c r="BK185" t="str">
        <f ca="1">IF(AND(ISNUMBER($BK$426),$B$258=1),$BK$426,HLOOKUP(INDIRECT(ADDRESS(2,COLUMN())),OFFSET($BN$2,0,0,ROW()-1,60),ROW()-1,FALSE))</f>
        <v/>
      </c>
      <c r="BL185" t="str">
        <f ca="1">IF(AND(ISNUMBER($BL$426),$B$258=1),$BL$426,HLOOKUP(INDIRECT(ADDRESS(2,COLUMN())),OFFSET($BN$2,0,0,ROW()-1,60),ROW()-1,FALSE))</f>
        <v/>
      </c>
      <c r="BM185" t="str">
        <f ca="1">IF(AND(ISNUMBER($BM$426),$B$258=1),$BM$426,HLOOKUP(INDIRECT(ADDRESS(2,COLUMN())),OFFSET($BN$2,0,0,ROW()-1,60),ROW()-1,FALSE))</f>
        <v/>
      </c>
      <c r="BN185" t="str">
        <f>""</f>
        <v/>
      </c>
      <c r="BO185" t="str">
        <f>""</f>
        <v/>
      </c>
      <c r="BP185" t="str">
        <f>""</f>
        <v/>
      </c>
      <c r="BQ185">
        <f>9.326421616</f>
        <v>9.3264216159999993</v>
      </c>
      <c r="BR185">
        <f>9.373903643</f>
        <v>9.3739036430000002</v>
      </c>
      <c r="BS185">
        <f>9.356217514</f>
        <v>9.3562175140000008</v>
      </c>
      <c r="BT185">
        <f>9.5715438</f>
        <v>9.5715438000000006</v>
      </c>
      <c r="BU185">
        <f>10.18625536</f>
        <v>10.186255360000001</v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>
      <c r="A186" t="str">
        <f>"    HCP Inc"</f>
        <v xml:space="preserve">    HCP Inc</v>
      </c>
      <c r="B186" t="str">
        <f>"HCP US Equity"</f>
        <v>HCP US Equity</v>
      </c>
      <c r="C186" t="str">
        <f t="shared" si="45"/>
        <v>RR554</v>
      </c>
      <c r="D186" t="str">
        <f t="shared" si="46"/>
        <v>FFO_RE_ASSET</v>
      </c>
      <c r="E186" t="str">
        <f t="shared" si="47"/>
        <v>动态</v>
      </c>
      <c r="F186" t="str">
        <f ca="1">IF(AND(ISNUMBER($F$427),$B$258=1),$F$427,HLOOKUP(INDIRECT(ADDRESS(2,COLUMN())),OFFSET($BN$2,0,0,ROW()-1,60),ROW()-1,FALSE))</f>
        <v/>
      </c>
      <c r="G186">
        <f ca="1">IF(AND(ISNUMBER($G$427),$B$258=1),$G$427,HLOOKUP(INDIRECT(ADDRESS(2,COLUMN())),OFFSET($BN$2,0,0,ROW()-1,60),ROW()-1,FALSE))</f>
        <v>4.8520308710000002</v>
      </c>
      <c r="H186">
        <f ca="1">IF(AND(ISNUMBER($H$427),$B$258=1),$H$427,HLOOKUP(INDIRECT(ADDRESS(2,COLUMN())),OFFSET($BN$2,0,0,ROW()-1,60),ROW()-1,FALSE))</f>
        <v>4.7875068059999997</v>
      </c>
      <c r="I186">
        <f ca="1">IF(AND(ISNUMBER($I$427),$B$258=1),$I$427,HLOOKUP(INDIRECT(ADDRESS(2,COLUMN())),OFFSET($BN$2,0,0,ROW()-1,60),ROW()-1,FALSE))</f>
        <v>5.7774196189999998</v>
      </c>
      <c r="J186">
        <f ca="1">IF(AND(ISNUMBER($J$427),$B$258=1),$J$427,HLOOKUP(INDIRECT(ADDRESS(2,COLUMN())),OFFSET($BN$2,0,0,ROW()-1,60),ROW()-1,FALSE))</f>
        <v>6.7345364109999997</v>
      </c>
      <c r="K186">
        <f ca="1">IF(AND(ISNUMBER($K$427),$B$258=1),$K$427,HLOOKUP(INDIRECT(ADDRESS(2,COLUMN())),OFFSET($BN$2,0,0,ROW()-1,60),ROW()-1,FALSE))</f>
        <v>6.6352375429999997</v>
      </c>
      <c r="L186">
        <f ca="1">IF(AND(ISNUMBER($L$427),$B$258=1),$L$427,HLOOKUP(INDIRECT(ADDRESS(2,COLUMN())),OFFSET($BN$2,0,0,ROW()-1,60),ROW()-1,FALSE))</f>
        <v>2.5305608849999999</v>
      </c>
      <c r="M186">
        <f ca="1">IF(AND(ISNUMBER($M$427),$B$258=1),$M$427,HLOOKUP(INDIRECT(ADDRESS(2,COLUMN())),OFFSET($BN$2,0,0,ROW()-1,60),ROW()-1,FALSE))</f>
        <v>2.3320485419999999</v>
      </c>
      <c r="N186">
        <f ca="1">IF(AND(ISNUMBER($N$427),$B$258=1),$N$427,HLOOKUP(INDIRECT(ADDRESS(2,COLUMN())),OFFSET($BN$2,0,0,ROW()-1,60),ROW()-1,FALSE))</f>
        <v>2.2177575030000001</v>
      </c>
      <c r="O186">
        <f ca="1">IF(AND(ISNUMBER($O$427),$B$258=1),$O$427,HLOOKUP(INDIRECT(ADDRESS(2,COLUMN())),OFFSET($BN$2,0,0,ROW()-1,60),ROW()-1,FALSE))</f>
        <v>-4.3654906E-2</v>
      </c>
      <c r="P186">
        <f ca="1">IF(AND(ISNUMBER($P$427),$B$258=1),$P$427,HLOOKUP(INDIRECT(ADDRESS(2,COLUMN())),OFFSET($BN$2,0,0,ROW()-1,60),ROW()-1,FALSE))</f>
        <v>3.9248032149999998</v>
      </c>
      <c r="Q186">
        <f ca="1">IF(AND(ISNUMBER($Q$427),$B$258=1),$Q$427,HLOOKUP(INDIRECT(ADDRESS(2,COLUMN())),OFFSET($BN$2,0,0,ROW()-1,60),ROW()-1,FALSE))</f>
        <v>4.5406005240000002</v>
      </c>
      <c r="R186">
        <f ca="1">IF(AND(ISNUMBER($R$427),$B$258=1),$R$427,HLOOKUP(INDIRECT(ADDRESS(2,COLUMN())),OFFSET($BN$2,0,0,ROW()-1,60),ROW()-1,FALSE))</f>
        <v>4.8878614359999997</v>
      </c>
      <c r="S186">
        <f ca="1">IF(AND(ISNUMBER($S$427),$B$258=1),$S$427,HLOOKUP(INDIRECT(ADDRESS(2,COLUMN())),OFFSET($BN$2,0,0,ROW()-1,60),ROW()-1,FALSE))</f>
        <v>7.267323824</v>
      </c>
      <c r="T186">
        <f ca="1">IF(AND(ISNUMBER($T$427),$B$258=1),$T$427,HLOOKUP(INDIRECT(ADDRESS(2,COLUMN())),OFFSET($BN$2,0,0,ROW()-1,60),ROW()-1,FALSE))</f>
        <v>7.4937792920000001</v>
      </c>
      <c r="U186">
        <f ca="1">IF(AND(ISNUMBER($U$427),$B$258=1),$U$427,HLOOKUP(INDIRECT(ADDRESS(2,COLUMN())),OFFSET($BN$2,0,0,ROW()-1,60),ROW()-1,FALSE))</f>
        <v>7.3229144579999996</v>
      </c>
      <c r="V186">
        <f ca="1">IF(AND(ISNUMBER($V$427),$B$258=1),$V$427,HLOOKUP(INDIRECT(ADDRESS(2,COLUMN())),OFFSET($BN$2,0,0,ROW()-1,60),ROW()-1,FALSE))</f>
        <v>7.3827086639999999</v>
      </c>
      <c r="W186">
        <f ca="1">IF(AND(ISNUMBER($W$427),$B$258=1),$W$427,HLOOKUP(INDIRECT(ADDRESS(2,COLUMN())),OFFSET($BN$2,0,0,ROW()-1,60),ROW()-1,FALSE))</f>
        <v>7.373420018</v>
      </c>
      <c r="X186">
        <f ca="1">IF(AND(ISNUMBER($X$427),$B$258=1),$X$427,HLOOKUP(INDIRECT(ADDRESS(2,COLUMN())),OFFSET($BN$2,0,0,ROW()-1,60),ROW()-1,FALSE))</f>
        <v>7.5592403580000003</v>
      </c>
      <c r="Y186">
        <f ca="1">IF(AND(ISNUMBER($Y$427),$B$258=1),$Y$427,HLOOKUP(INDIRECT(ADDRESS(2,COLUMN())),OFFSET($BN$2,0,0,ROW()-1,60),ROW()-1,FALSE))</f>
        <v>7.2761950669999997</v>
      </c>
      <c r="Z186">
        <f ca="1">IF(AND(ISNUMBER($Z$427),$B$258=1),$Z$427,HLOOKUP(INDIRECT(ADDRESS(2,COLUMN())),OFFSET($BN$2,0,0,ROW()-1,60),ROW()-1,FALSE))</f>
        <v>7.1461161860000004</v>
      </c>
      <c r="AA186">
        <f ca="1">IF(AND(ISNUMBER($AA$427),$B$258=1),$AA$427,HLOOKUP(INDIRECT(ADDRESS(2,COLUMN())),OFFSET($BN$2,0,0,ROW()-1,60),ROW()-1,FALSE))</f>
        <v>6.7433326720000002</v>
      </c>
      <c r="AB186">
        <f ca="1">IF(AND(ISNUMBER($AB$427),$B$258=1),$AB$427,HLOOKUP(INDIRECT(ADDRESS(2,COLUMN())),OFFSET($BN$2,0,0,ROW()-1,60),ROW()-1,FALSE))</f>
        <v>6.0328276269999996</v>
      </c>
      <c r="AC186">
        <f ca="1">IF(AND(ISNUMBER($AC$427),$B$258=1),$AC$427,HLOOKUP(INDIRECT(ADDRESS(2,COLUMN())),OFFSET($BN$2,0,0,ROW()-1,60),ROW()-1,FALSE))</f>
        <v>5.8813906720000002</v>
      </c>
      <c r="AD186">
        <f ca="1">IF(AND(ISNUMBER($AD$427),$B$258=1),$AD$427,HLOOKUP(INDIRECT(ADDRESS(2,COLUMN())),OFFSET($BN$2,0,0,ROW()-1,60),ROW()-1,FALSE))</f>
        <v>6.8395598150000003</v>
      </c>
      <c r="AE186">
        <f ca="1">IF(AND(ISNUMBER($AE$427),$B$258=1),$AE$427,HLOOKUP(INDIRECT(ADDRESS(2,COLUMN())),OFFSET($BN$2,0,0,ROW()-1,60),ROW()-1,FALSE))</f>
        <v>6.3084484429999996</v>
      </c>
      <c r="AF186">
        <f ca="1">IF(AND(ISNUMBER($AF$427),$B$258=1),$AF$427,HLOOKUP(INDIRECT(ADDRESS(2,COLUMN())),OFFSET($BN$2,0,0,ROW()-1,60),ROW()-1,FALSE))</f>
        <v>6.7009014069999999</v>
      </c>
      <c r="AG186">
        <f ca="1">IF(AND(ISNUMBER($AG$427),$B$258=1),$AG$427,HLOOKUP(INDIRECT(ADDRESS(2,COLUMN())),OFFSET($BN$2,0,0,ROW()-1,60),ROW()-1,FALSE))</f>
        <v>5.5392009</v>
      </c>
      <c r="AH186">
        <f ca="1">IF(AND(ISNUMBER($AH$427),$B$258=1),$AH$427,HLOOKUP(INDIRECT(ADDRESS(2,COLUMN())),OFFSET($BN$2,0,0,ROW()-1,60),ROW()-1,FALSE))</f>
        <v>5.1460867099999996</v>
      </c>
      <c r="AI186">
        <f ca="1">IF(AND(ISNUMBER($AI$427),$B$258=1),$AI$427,HLOOKUP(INDIRECT(ADDRESS(2,COLUMN())),OFFSET($BN$2,0,0,ROW()-1,60),ROW()-1,FALSE))</f>
        <v>5.4772629620000002</v>
      </c>
      <c r="AJ186">
        <f ca="1">IF(AND(ISNUMBER($AJ$427),$B$258=1),$AJ$427,HLOOKUP(INDIRECT(ADDRESS(2,COLUMN())),OFFSET($BN$2,0,0,ROW()-1,60),ROW()-1,FALSE))</f>
        <v>4.6493301569999996</v>
      </c>
      <c r="AK186">
        <f ca="1">IF(AND(ISNUMBER($AK$427),$B$258=1),$AK$427,HLOOKUP(INDIRECT(ADDRESS(2,COLUMN())),OFFSET($BN$2,0,0,ROW()-1,60),ROW()-1,FALSE))</f>
        <v>4.1984543499999996</v>
      </c>
      <c r="AL186">
        <f ca="1">IF(AND(ISNUMBER($AL$427),$B$258=1),$AL$427,HLOOKUP(INDIRECT(ADDRESS(2,COLUMN())),OFFSET($BN$2,0,0,ROW()-1,60),ROW()-1,FALSE))</f>
        <v>4.0642582010000003</v>
      </c>
      <c r="AM186">
        <f ca="1">IF(AND(ISNUMBER($AM$427),$B$258=1),$AM$427,HLOOKUP(INDIRECT(ADDRESS(2,COLUMN())),OFFSET($BN$2,0,0,ROW()-1,60),ROW()-1,FALSE))</f>
        <v>3.7748279060000001</v>
      </c>
      <c r="AN186">
        <f ca="1">IF(AND(ISNUMBER($AN$427),$B$258=1),$AN$427,HLOOKUP(INDIRECT(ADDRESS(2,COLUMN())),OFFSET($BN$2,0,0,ROW()-1,60),ROW()-1,FALSE))</f>
        <v>3.8904172319999999</v>
      </c>
      <c r="AO186">
        <f ca="1">IF(AND(ISNUMBER($AO$427),$B$258=1),$AO$427,HLOOKUP(INDIRECT(ADDRESS(2,COLUMN())),OFFSET($BN$2,0,0,ROW()-1,60),ROW()-1,FALSE))</f>
        <v>5.2926226679999999</v>
      </c>
      <c r="AP186">
        <f ca="1">IF(AND(ISNUMBER($AP$427),$B$258=1),$AP$427,HLOOKUP(INDIRECT(ADDRESS(2,COLUMN())),OFFSET($BN$2,0,0,ROW()-1,60),ROW()-1,FALSE))</f>
        <v>4.9616985290000004</v>
      </c>
      <c r="AQ186">
        <f ca="1">IF(AND(ISNUMBER($AQ$427),$B$258=1),$AQ$427,HLOOKUP(INDIRECT(ADDRESS(2,COLUMN())),OFFSET($BN$2,0,0,ROW()-1,60),ROW()-1,FALSE))</f>
        <v>4.7746297699999998</v>
      </c>
      <c r="AR186">
        <f ca="1">IF(AND(ISNUMBER($AR$427),$B$258=1),$AR$427,HLOOKUP(INDIRECT(ADDRESS(2,COLUMN())),OFFSET($BN$2,0,0,ROW()-1,60),ROW()-1,FALSE))</f>
        <v>5.0601535350000004</v>
      </c>
      <c r="AS186">
        <f ca="1">IF(AND(ISNUMBER($AS$427),$B$258=1),$AS$427,HLOOKUP(INDIRECT(ADDRESS(2,COLUMN())),OFFSET($BN$2,0,0,ROW()-1,60),ROW()-1,FALSE))</f>
        <v>5.0326580989999998</v>
      </c>
      <c r="AT186">
        <f ca="1">IF(AND(ISNUMBER($AT$427),$B$258=1),$AT$427,HLOOKUP(INDIRECT(ADDRESS(2,COLUMN())),OFFSET($BN$2,0,0,ROW()-1,60),ROW()-1,FALSE))</f>
        <v>4.8010413180000002</v>
      </c>
      <c r="AU186">
        <f ca="1">IF(AND(ISNUMBER($AU$427),$B$258=1),$AU$427,HLOOKUP(INDIRECT(ADDRESS(2,COLUMN())),OFFSET($BN$2,0,0,ROW()-1,60),ROW()-1,FALSE))</f>
        <v>4.3501565519999996</v>
      </c>
      <c r="AV186">
        <f ca="1">IF(AND(ISNUMBER($AV$427),$B$258=1),$AV$427,HLOOKUP(INDIRECT(ADDRESS(2,COLUMN())),OFFSET($BN$2,0,0,ROW()-1,60),ROW()-1,FALSE))</f>
        <v>5.6921802709999998</v>
      </c>
      <c r="AW186">
        <f ca="1">IF(AND(ISNUMBER($AW$427),$B$258=1),$AW$427,HLOOKUP(INDIRECT(ADDRESS(2,COLUMN())),OFFSET($BN$2,0,0,ROW()-1,60),ROW()-1,FALSE))</f>
        <v>6.287045805</v>
      </c>
      <c r="AX186">
        <f ca="1">IF(AND(ISNUMBER($AX$427),$B$258=1),$AX$427,HLOOKUP(INDIRECT(ADDRESS(2,COLUMN())),OFFSET($BN$2,0,0,ROW()-1,60),ROW()-1,FALSE))</f>
        <v>5.0682008190000003</v>
      </c>
      <c r="AY186">
        <f ca="1">IF(AND(ISNUMBER($AY$427),$B$258=1),$AY$427,HLOOKUP(INDIRECT(ADDRESS(2,COLUMN())),OFFSET($BN$2,0,0,ROW()-1,60),ROW()-1,FALSE))</f>
        <v>4.3978707930000001</v>
      </c>
      <c r="AZ186">
        <f ca="1">IF(AND(ISNUMBER($AZ$427),$B$258=1),$AZ$427,HLOOKUP(INDIRECT(ADDRESS(2,COLUMN())),OFFSET($BN$2,0,0,ROW()-1,60),ROW()-1,FALSE))</f>
        <v>7.7664367590000003</v>
      </c>
      <c r="BA186">
        <f ca="1">IF(AND(ISNUMBER($BA$427),$B$258=1),$BA$427,HLOOKUP(INDIRECT(ADDRESS(2,COLUMN())),OFFSET($BN$2,0,0,ROW()-1,60),ROW()-1,FALSE))</f>
        <v>8.0944485939999993</v>
      </c>
      <c r="BB186">
        <f ca="1">IF(AND(ISNUMBER($BB$427),$B$258=1),$BB$427,HLOOKUP(INDIRECT(ADDRESS(2,COLUMN())),OFFSET($BN$2,0,0,ROW()-1,60),ROW()-1,FALSE))</f>
        <v>6.5450362269999998</v>
      </c>
      <c r="BC186">
        <f ca="1">IF(AND(ISNUMBER($BC$427),$B$258=1),$BC$427,HLOOKUP(INDIRECT(ADDRESS(2,COLUMN())),OFFSET($BN$2,0,0,ROW()-1,60),ROW()-1,FALSE))</f>
        <v>6.2558603120000003</v>
      </c>
      <c r="BD186">
        <f ca="1">IF(AND(ISNUMBER($BD$427),$B$258=1),$BD$427,HLOOKUP(INDIRECT(ADDRESS(2,COLUMN())),OFFSET($BN$2,0,0,ROW()-1,60),ROW()-1,FALSE))</f>
        <v>6.3776188180000002</v>
      </c>
      <c r="BE186">
        <f ca="1">IF(AND(ISNUMBER($BE$427),$B$258=1),$BE$427,HLOOKUP(INDIRECT(ADDRESS(2,COLUMN())),OFFSET($BN$2,0,0,ROW()-1,60),ROW()-1,FALSE))</f>
        <v>0.59511341799999995</v>
      </c>
      <c r="BF186" t="str">
        <f ca="1">IF(AND(ISNUMBER($BF$427),$B$258=1),$BF$427,HLOOKUP(INDIRECT(ADDRESS(2,COLUMN())),OFFSET($BN$2,0,0,ROW()-1,60),ROW()-1,FALSE))</f>
        <v/>
      </c>
      <c r="BG186" t="str">
        <f ca="1">IF(AND(ISNUMBER($BG$427),$B$258=1),$BG$427,HLOOKUP(INDIRECT(ADDRESS(2,COLUMN())),OFFSET($BN$2,0,0,ROW()-1,60),ROW()-1,FALSE))</f>
        <v/>
      </c>
      <c r="BH186" t="str">
        <f ca="1">IF(AND(ISNUMBER($BH$427),$B$258=1),$BH$427,HLOOKUP(INDIRECT(ADDRESS(2,COLUMN())),OFFSET($BN$2,0,0,ROW()-1,60),ROW()-1,FALSE))</f>
        <v/>
      </c>
      <c r="BI186" t="str">
        <f ca="1">IF(AND(ISNUMBER($BI$427),$B$258=1),$BI$427,HLOOKUP(INDIRECT(ADDRESS(2,COLUMN())),OFFSET($BN$2,0,0,ROW()-1,60),ROW()-1,FALSE))</f>
        <v/>
      </c>
      <c r="BJ186" t="str">
        <f ca="1">IF(AND(ISNUMBER($BJ$427),$B$258=1),$BJ$427,HLOOKUP(INDIRECT(ADDRESS(2,COLUMN())),OFFSET($BN$2,0,0,ROW()-1,60),ROW()-1,FALSE))</f>
        <v/>
      </c>
      <c r="BK186" t="str">
        <f ca="1">IF(AND(ISNUMBER($BK$427),$B$258=1),$BK$427,HLOOKUP(INDIRECT(ADDRESS(2,COLUMN())),OFFSET($BN$2,0,0,ROW()-1,60),ROW()-1,FALSE))</f>
        <v/>
      </c>
      <c r="BL186">
        <f ca="1">IF(AND(ISNUMBER($BL$427),$B$258=1),$BL$427,HLOOKUP(INDIRECT(ADDRESS(2,COLUMN())),OFFSET($BN$2,0,0,ROW()-1,60),ROW()-1,FALSE))</f>
        <v>2.1913338759999998</v>
      </c>
      <c r="BM186">
        <f ca="1">IF(AND(ISNUMBER($BM$427),$B$258=1),$BM$427,HLOOKUP(INDIRECT(ADDRESS(2,COLUMN())),OFFSET($BN$2,0,0,ROW()-1,60),ROW()-1,FALSE))</f>
        <v>2.018616626</v>
      </c>
      <c r="BN186" t="str">
        <f>""</f>
        <v/>
      </c>
      <c r="BO186">
        <f>4.852030871</f>
        <v>4.8520308710000002</v>
      </c>
      <c r="BP186">
        <f>4.787506806</f>
        <v>4.7875068059999997</v>
      </c>
      <c r="BQ186">
        <f>5.777419619</f>
        <v>5.7774196189999998</v>
      </c>
      <c r="BR186">
        <f>6.734536411</f>
        <v>6.7345364109999997</v>
      </c>
      <c r="BS186">
        <f>6.635237543</f>
        <v>6.6352375429999997</v>
      </c>
      <c r="BT186">
        <f>2.530560885</f>
        <v>2.5305608849999999</v>
      </c>
      <c r="BU186">
        <f>2.332048542</f>
        <v>2.3320485419999999</v>
      </c>
      <c r="BV186">
        <f>2.217757503</f>
        <v>2.2177575030000001</v>
      </c>
      <c r="BW186">
        <f>-0.043654906</f>
        <v>-4.3654906E-2</v>
      </c>
      <c r="BX186">
        <f>3.924803215</f>
        <v>3.9248032149999998</v>
      </c>
      <c r="BY186">
        <f>4.540600524</f>
        <v>4.5406005240000002</v>
      </c>
      <c r="BZ186">
        <f>4.887861436</f>
        <v>4.8878614359999997</v>
      </c>
      <c r="CA186">
        <f>7.267323824</f>
        <v>7.267323824</v>
      </c>
      <c r="CB186">
        <f>7.493779292</f>
        <v>7.4937792920000001</v>
      </c>
      <c r="CC186">
        <f>7.322914458</f>
        <v>7.3229144579999996</v>
      </c>
      <c r="CD186">
        <f>7.382708664</f>
        <v>7.3827086639999999</v>
      </c>
      <c r="CE186">
        <f>7.373420018</f>
        <v>7.373420018</v>
      </c>
      <c r="CF186">
        <f>7.559240358</f>
        <v>7.5592403580000003</v>
      </c>
      <c r="CG186">
        <f>7.276195067</f>
        <v>7.2761950669999997</v>
      </c>
      <c r="CH186">
        <f>7.146116186</f>
        <v>7.1461161860000004</v>
      </c>
      <c r="CI186">
        <f>6.743332672</f>
        <v>6.7433326720000002</v>
      </c>
      <c r="CJ186">
        <f>6.032827627</f>
        <v>6.0328276269999996</v>
      </c>
      <c r="CK186">
        <f>5.881390672</f>
        <v>5.8813906720000002</v>
      </c>
      <c r="CL186">
        <f>6.839559815</f>
        <v>6.8395598150000003</v>
      </c>
      <c r="CM186">
        <f>6.308448443</f>
        <v>6.3084484429999996</v>
      </c>
      <c r="CN186">
        <f>6.700901407</f>
        <v>6.7009014069999999</v>
      </c>
      <c r="CO186">
        <f>5.5392009</f>
        <v>5.5392009</v>
      </c>
      <c r="CP186">
        <f>5.14608671</f>
        <v>5.1460867099999996</v>
      </c>
      <c r="CQ186">
        <f>5.477262962</f>
        <v>5.4772629620000002</v>
      </c>
      <c r="CR186">
        <f>4.649330157</f>
        <v>4.6493301569999996</v>
      </c>
      <c r="CS186">
        <f>4.19845435</f>
        <v>4.1984543499999996</v>
      </c>
      <c r="CT186">
        <f>4.064258201</f>
        <v>4.0642582010000003</v>
      </c>
      <c r="CU186">
        <f>3.774827906</f>
        <v>3.7748279060000001</v>
      </c>
      <c r="CV186">
        <f>3.890417232</f>
        <v>3.8904172319999999</v>
      </c>
      <c r="CW186">
        <f>5.292622668</f>
        <v>5.2926226679999999</v>
      </c>
      <c r="CX186">
        <f>4.961698529</f>
        <v>4.9616985290000004</v>
      </c>
      <c r="CY186">
        <f>4.77462977</f>
        <v>4.7746297699999998</v>
      </c>
      <c r="CZ186">
        <f>5.060153535</f>
        <v>5.0601535350000004</v>
      </c>
      <c r="DA186">
        <f>5.032658099</f>
        <v>5.0326580989999998</v>
      </c>
      <c r="DB186">
        <f>4.801041318</f>
        <v>4.8010413180000002</v>
      </c>
      <c r="DC186">
        <f>4.350156552</f>
        <v>4.3501565519999996</v>
      </c>
      <c r="DD186">
        <f>5.692180271</f>
        <v>5.6921802709999998</v>
      </c>
      <c r="DE186">
        <f>6.287045805</f>
        <v>6.287045805</v>
      </c>
      <c r="DF186">
        <f>5.068200819</f>
        <v>5.0682008190000003</v>
      </c>
      <c r="DG186">
        <f>4.397870793</f>
        <v>4.3978707930000001</v>
      </c>
      <c r="DH186">
        <f>7.766436759</f>
        <v>7.7664367590000003</v>
      </c>
      <c r="DI186">
        <f>8.094448594</f>
        <v>8.0944485939999993</v>
      </c>
      <c r="DJ186">
        <f>6.545036227</f>
        <v>6.5450362269999998</v>
      </c>
      <c r="DK186">
        <f>6.255860312</f>
        <v>6.2558603120000003</v>
      </c>
      <c r="DL186">
        <f>6.377618818</f>
        <v>6.3776188180000002</v>
      </c>
      <c r="DM186">
        <f>0.595113418</f>
        <v>0.59511341799999995</v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>
        <f>2.191333876</f>
        <v>2.1913338759999998</v>
      </c>
      <c r="DU186">
        <f>2.018616626</f>
        <v>2.018616626</v>
      </c>
    </row>
    <row r="187" spans="1:125">
      <c r="A187" t="str">
        <f>"    Healthcare Realty Trust Inc"</f>
        <v xml:space="preserve">    Healthcare Realty Trust Inc</v>
      </c>
      <c r="B187" t="str">
        <f>"HR US Equity"</f>
        <v>HR US Equity</v>
      </c>
      <c r="C187" t="str">
        <f t="shared" si="45"/>
        <v>RR554</v>
      </c>
      <c r="D187" t="str">
        <f t="shared" si="46"/>
        <v>FFO_RE_ASSET</v>
      </c>
      <c r="E187" t="str">
        <f t="shared" si="47"/>
        <v>动态</v>
      </c>
      <c r="F187" t="str">
        <f ca="1">IF(AND(ISNUMBER($F$428),$B$258=1),$F$428,HLOOKUP(INDIRECT(ADDRESS(2,COLUMN())),OFFSET($BN$2,0,0,ROW()-1,60),ROW()-1,FALSE))</f>
        <v/>
      </c>
      <c r="G187">
        <f ca="1">IF(AND(ISNUMBER($G$428),$B$258=1),$G$428,HLOOKUP(INDIRECT(ADDRESS(2,COLUMN())),OFFSET($BN$2,0,0,ROW()-1,60),ROW()-1,FALSE))</f>
        <v>4.6878551269999997</v>
      </c>
      <c r="H187">
        <f ca="1">IF(AND(ISNUMBER($H$428),$B$258=1),$H$428,HLOOKUP(INDIRECT(ADDRESS(2,COLUMN())),OFFSET($BN$2,0,0,ROW()-1,60),ROW()-1,FALSE))</f>
        <v>6.5301547180000004</v>
      </c>
      <c r="I187">
        <f ca="1">IF(AND(ISNUMBER($I$428),$B$258=1),$I$428,HLOOKUP(INDIRECT(ADDRESS(2,COLUMN())),OFFSET($BN$2,0,0,ROW()-1,60),ROW()-1,FALSE))</f>
        <v>6.6041271930000001</v>
      </c>
      <c r="J187">
        <f ca="1">IF(AND(ISNUMBER($J$428),$B$258=1),$J$428,HLOOKUP(INDIRECT(ADDRESS(2,COLUMN())),OFFSET($BN$2,0,0,ROW()-1,60),ROW()-1,FALSE))</f>
        <v>6.6502140089999999</v>
      </c>
      <c r="K187">
        <f ca="1">IF(AND(ISNUMBER($K$428),$B$258=1),$K$428,HLOOKUP(INDIRECT(ADDRESS(2,COLUMN())),OFFSET($BN$2,0,0,ROW()-1,60),ROW()-1,FALSE))</f>
        <v>6.4523957320000003</v>
      </c>
      <c r="L187">
        <f ca="1">IF(AND(ISNUMBER($L$428),$B$258=1),$L$428,HLOOKUP(INDIRECT(ADDRESS(2,COLUMN())),OFFSET($BN$2,0,0,ROW()-1,60),ROW()-1,FALSE))</f>
        <v>6.3505131300000004</v>
      </c>
      <c r="M187">
        <f ca="1">IF(AND(ISNUMBER($M$428),$B$258=1),$M$428,HLOOKUP(INDIRECT(ADDRESS(2,COLUMN())),OFFSET($BN$2,0,0,ROW()-1,60),ROW()-1,FALSE))</f>
        <v>6.3122823539999997</v>
      </c>
      <c r="N187">
        <f ca="1">IF(AND(ISNUMBER($N$428),$B$258=1),$N$428,HLOOKUP(INDIRECT(ADDRESS(2,COLUMN())),OFFSET($BN$2,0,0,ROW()-1,60),ROW()-1,FALSE))</f>
        <v>4.8060495000000003</v>
      </c>
      <c r="O187">
        <f ca="1">IF(AND(ISNUMBER($O$428),$B$258=1),$O$428,HLOOKUP(INDIRECT(ADDRESS(2,COLUMN())),OFFSET($BN$2,0,0,ROW()-1,60),ROW()-1,FALSE))</f>
        <v>4.7783813430000004</v>
      </c>
      <c r="P187">
        <f ca="1">IF(AND(ISNUMBER($P$428),$B$258=1),$P$428,HLOOKUP(INDIRECT(ADDRESS(2,COLUMN())),OFFSET($BN$2,0,0,ROW()-1,60),ROW()-1,FALSE))</f>
        <v>4.8037251149999998</v>
      </c>
      <c r="Q187">
        <f ca="1">IF(AND(ISNUMBER($Q$428),$B$258=1),$Q$428,HLOOKUP(INDIRECT(ADDRESS(2,COLUMN())),OFFSET($BN$2,0,0,ROW()-1,60),ROW()-1,FALSE))</f>
        <v>4.6626406459999998</v>
      </c>
      <c r="R187">
        <f ca="1">IF(AND(ISNUMBER($R$428),$B$258=1),$R$428,HLOOKUP(INDIRECT(ADDRESS(2,COLUMN())),OFFSET($BN$2,0,0,ROW()-1,60),ROW()-1,FALSE))</f>
        <v>5.8485821160000002</v>
      </c>
      <c r="S187">
        <f ca="1">IF(AND(ISNUMBER($S$428),$B$258=1),$S$428,HLOOKUP(INDIRECT(ADDRESS(2,COLUMN())),OFFSET($BN$2,0,0,ROW()-1,60),ROW()-1,FALSE))</f>
        <v>5.6661028140000003</v>
      </c>
      <c r="T187">
        <f ca="1">IF(AND(ISNUMBER($T$428),$B$258=1),$T$428,HLOOKUP(INDIRECT(ADDRESS(2,COLUMN())),OFFSET($BN$2,0,0,ROW()-1,60),ROW()-1,FALSE))</f>
        <v>5.6533881680000002</v>
      </c>
      <c r="U187">
        <f ca="1">IF(AND(ISNUMBER($U$428),$B$258=1),$U$428,HLOOKUP(INDIRECT(ADDRESS(2,COLUMN())),OFFSET($BN$2,0,0,ROW()-1,60),ROW()-1,FALSE))</f>
        <v>5.4249445520000004</v>
      </c>
      <c r="V187">
        <f ca="1">IF(AND(ISNUMBER($V$428),$B$258=1),$V$428,HLOOKUP(INDIRECT(ADDRESS(2,COLUMN())),OFFSET($BN$2,0,0,ROW()-1,60),ROW()-1,FALSE))</f>
        <v>3.921530578</v>
      </c>
      <c r="W187">
        <f ca="1">IF(AND(ISNUMBER($W$428),$B$258=1),$W$428,HLOOKUP(INDIRECT(ADDRESS(2,COLUMN())),OFFSET($BN$2,0,0,ROW()-1,60),ROW()-1,FALSE))</f>
        <v>3.6291165830000001</v>
      </c>
      <c r="X187">
        <f ca="1">IF(AND(ISNUMBER($X$428),$B$258=1),$X$428,HLOOKUP(INDIRECT(ADDRESS(2,COLUMN())),OFFSET($BN$2,0,0,ROW()-1,60),ROW()-1,FALSE))</f>
        <v>3.3212898339999999</v>
      </c>
      <c r="Y187">
        <f ca="1">IF(AND(ISNUMBER($Y$428),$B$258=1),$Y$428,HLOOKUP(INDIRECT(ADDRESS(2,COLUMN())),OFFSET($BN$2,0,0,ROW()-1,60),ROW()-1,FALSE))</f>
        <v>3.164498676</v>
      </c>
      <c r="Z187">
        <f ca="1">IF(AND(ISNUMBER($Z$428),$B$258=1),$Z$428,HLOOKUP(INDIRECT(ADDRESS(2,COLUMN())),OFFSET($BN$2,0,0,ROW()-1,60),ROW()-1,FALSE))</f>
        <v>4.3568390819999996</v>
      </c>
      <c r="AA187">
        <f ca="1">IF(AND(ISNUMBER($AA$428),$B$258=1),$AA$428,HLOOKUP(INDIRECT(ADDRESS(2,COLUMN())),OFFSET($BN$2,0,0,ROW()-1,60),ROW()-1,FALSE))</f>
        <v>4.3865352900000003</v>
      </c>
      <c r="AB187">
        <f ca="1">IF(AND(ISNUMBER($AB$428),$B$258=1),$AB$428,HLOOKUP(INDIRECT(ADDRESS(2,COLUMN())),OFFSET($BN$2,0,0,ROW()-1,60),ROW()-1,FALSE))</f>
        <v>4.4767248620000002</v>
      </c>
      <c r="AC187">
        <f ca="1">IF(AND(ISNUMBER($AC$428),$B$258=1),$AC$428,HLOOKUP(INDIRECT(ADDRESS(2,COLUMN())),OFFSET($BN$2,0,0,ROW()-1,60),ROW()-1,FALSE))</f>
        <v>4.4307257030000002</v>
      </c>
      <c r="AD187">
        <f ca="1">IF(AND(ISNUMBER($AD$428),$B$258=1),$AD$428,HLOOKUP(INDIRECT(ADDRESS(2,COLUMN())),OFFSET($BN$2,0,0,ROW()-1,60),ROW()-1,FALSE))</f>
        <v>4.2947743760000003</v>
      </c>
      <c r="AE187">
        <f ca="1">IF(AND(ISNUMBER($AE$428),$B$258=1),$AE$428,HLOOKUP(INDIRECT(ADDRESS(2,COLUMN())),OFFSET($BN$2,0,0,ROW()-1,60),ROW()-1,FALSE))</f>
        <v>3.7696633400000001</v>
      </c>
      <c r="AF187">
        <f ca="1">IF(AND(ISNUMBER($AF$428),$B$258=1),$AF$428,HLOOKUP(INDIRECT(ADDRESS(2,COLUMN())),OFFSET($BN$2,0,0,ROW()-1,60),ROW()-1,FALSE))</f>
        <v>3.6535639770000001</v>
      </c>
      <c r="AG187">
        <f ca="1">IF(AND(ISNUMBER($AG$428),$B$258=1),$AG$428,HLOOKUP(INDIRECT(ADDRESS(2,COLUMN())),OFFSET($BN$2,0,0,ROW()-1,60),ROW()-1,FALSE))</f>
        <v>3.2741485890000002</v>
      </c>
      <c r="AH187">
        <f ca="1">IF(AND(ISNUMBER($AH$428),$B$258=1),$AH$428,HLOOKUP(INDIRECT(ADDRESS(2,COLUMN())),OFFSET($BN$2,0,0,ROW()-1,60),ROW()-1,FALSE))</f>
        <v>3.3334587930000001</v>
      </c>
      <c r="AI187">
        <f ca="1">IF(AND(ISNUMBER($AI$428),$B$258=1),$AI$428,HLOOKUP(INDIRECT(ADDRESS(2,COLUMN())),OFFSET($BN$2,0,0,ROW()-1,60),ROW()-1,FALSE))</f>
        <v>3.6349823529999998</v>
      </c>
      <c r="AJ187">
        <f ca="1">IF(AND(ISNUMBER($AJ$428),$B$258=1),$AJ$428,HLOOKUP(INDIRECT(ADDRESS(2,COLUMN())),OFFSET($BN$2,0,0,ROW()-1,60),ROW()-1,FALSE))</f>
        <v>3.9215413379999999</v>
      </c>
      <c r="AK187">
        <f ca="1">IF(AND(ISNUMBER($AK$428),$B$258=1),$AK$428,HLOOKUP(INDIRECT(ADDRESS(2,COLUMN())),OFFSET($BN$2,0,0,ROW()-1,60),ROW()-1,FALSE))</f>
        <v>4.9136912859999997</v>
      </c>
      <c r="AL187">
        <f ca="1">IF(AND(ISNUMBER($AL$428),$B$258=1),$AL$428,HLOOKUP(INDIRECT(ADDRESS(2,COLUMN())),OFFSET($BN$2,0,0,ROW()-1,60),ROW()-1,FALSE))</f>
        <v>5.1407698890000004</v>
      </c>
      <c r="AM187">
        <f ca="1">IF(AND(ISNUMBER($AM$428),$B$258=1),$AM$428,HLOOKUP(INDIRECT(ADDRESS(2,COLUMN())),OFFSET($BN$2,0,0,ROW()-1,60),ROW()-1,FALSE))</f>
        <v>5.5676429279999997</v>
      </c>
      <c r="AN187">
        <f ca="1">IF(AND(ISNUMBER($AN$428),$B$258=1),$AN$428,HLOOKUP(INDIRECT(ADDRESS(2,COLUMN())),OFFSET($BN$2,0,0,ROW()-1,60),ROW()-1,FALSE))</f>
        <v>6.56008762</v>
      </c>
      <c r="AO187">
        <f ca="1">IF(AND(ISNUMBER($AO$428),$B$258=1),$AO$428,HLOOKUP(INDIRECT(ADDRESS(2,COLUMN())),OFFSET($BN$2,0,0,ROW()-1,60),ROW()-1,FALSE))</f>
        <v>6.231207758</v>
      </c>
      <c r="AP187">
        <f ca="1">IF(AND(ISNUMBER($AP$428),$B$258=1),$AP$428,HLOOKUP(INDIRECT(ADDRESS(2,COLUMN())),OFFSET($BN$2,0,0,ROW()-1,60),ROW()-1,FALSE))</f>
        <v>5.817786055</v>
      </c>
      <c r="AQ187">
        <f ca="1">IF(AND(ISNUMBER($AQ$428),$B$258=1),$AQ$428,HLOOKUP(INDIRECT(ADDRESS(2,COLUMN())),OFFSET($BN$2,0,0,ROW()-1,60),ROW()-1,FALSE))</f>
        <v>5.5575015729999997</v>
      </c>
      <c r="AR187">
        <f ca="1">IF(AND(ISNUMBER($AR$428),$B$258=1),$AR$428,HLOOKUP(INDIRECT(ADDRESS(2,COLUMN())),OFFSET($BN$2,0,0,ROW()-1,60),ROW()-1,FALSE))</f>
        <v>5.4947085360000001</v>
      </c>
      <c r="AS187">
        <f ca="1">IF(AND(ISNUMBER($AS$428),$B$258=1),$AS$428,HLOOKUP(INDIRECT(ADDRESS(2,COLUMN())),OFFSET($BN$2,0,0,ROW()-1,60),ROW()-1,FALSE))</f>
        <v>5.4032452219999998</v>
      </c>
      <c r="AT187">
        <f ca="1">IF(AND(ISNUMBER($AT$428),$B$258=1),$AT$428,HLOOKUP(INDIRECT(ADDRESS(2,COLUMN())),OFFSET($BN$2,0,0,ROW()-1,60),ROW()-1,FALSE))</f>
        <v>5.3617198400000001</v>
      </c>
      <c r="AU187">
        <f ca="1">IF(AND(ISNUMBER($AU$428),$B$258=1),$AU$428,HLOOKUP(INDIRECT(ADDRESS(2,COLUMN())),OFFSET($BN$2,0,0,ROW()-1,60),ROW()-1,FALSE))</f>
        <v>4.8611752539999999</v>
      </c>
      <c r="AV187">
        <f ca="1">IF(AND(ISNUMBER($AV$428),$B$258=1),$AV$428,HLOOKUP(INDIRECT(ADDRESS(2,COLUMN())),OFFSET($BN$2,0,0,ROW()-1,60),ROW()-1,FALSE))</f>
        <v>5.2791143729999996</v>
      </c>
      <c r="AW187">
        <f ca="1">IF(AND(ISNUMBER($AW$428),$B$258=1),$AW$428,HLOOKUP(INDIRECT(ADDRESS(2,COLUMN())),OFFSET($BN$2,0,0,ROW()-1,60),ROW()-1,FALSE))</f>
        <v>5.9458851929999996</v>
      </c>
      <c r="AX187">
        <f ca="1">IF(AND(ISNUMBER($AX$428),$B$258=1),$AX$428,HLOOKUP(INDIRECT(ADDRESS(2,COLUMN())),OFFSET($BN$2,0,0,ROW()-1,60),ROW()-1,FALSE))</f>
        <v>6.6786758769999999</v>
      </c>
      <c r="AY187">
        <f ca="1">IF(AND(ISNUMBER($AY$428),$B$258=1),$AY$428,HLOOKUP(INDIRECT(ADDRESS(2,COLUMN())),OFFSET($BN$2,0,0,ROW()-1,60),ROW()-1,FALSE))</f>
        <v>6.2190029400000002</v>
      </c>
      <c r="AZ187">
        <f ca="1">IF(AND(ISNUMBER($AZ$428),$B$258=1),$AZ$428,HLOOKUP(INDIRECT(ADDRESS(2,COLUMN())),OFFSET($BN$2,0,0,ROW()-1,60),ROW()-1,FALSE))</f>
        <v>6.3102709179999996</v>
      </c>
      <c r="BA187">
        <f ca="1">IF(AND(ISNUMBER($BA$428),$B$258=1),$BA$428,HLOOKUP(INDIRECT(ADDRESS(2,COLUMN())),OFFSET($BN$2,0,0,ROW()-1,60),ROW()-1,FALSE))</f>
        <v>6.4329952339999998</v>
      </c>
      <c r="BB187">
        <f ca="1">IF(AND(ISNUMBER($BB$428),$B$258=1),$BB$428,HLOOKUP(INDIRECT(ADDRESS(2,COLUMN())),OFFSET($BN$2,0,0,ROW()-1,60),ROW()-1,FALSE))</f>
        <v>6.5038120529999999</v>
      </c>
      <c r="BC187">
        <f ca="1">IF(AND(ISNUMBER($BC$428),$B$258=1),$BC$428,HLOOKUP(INDIRECT(ADDRESS(2,COLUMN())),OFFSET($BN$2,0,0,ROW()-1,60),ROW()-1,FALSE))</f>
        <v>6.6917388090000003</v>
      </c>
      <c r="BD187">
        <f ca="1">IF(AND(ISNUMBER($BD$428),$B$258=1),$BD$428,HLOOKUP(INDIRECT(ADDRESS(2,COLUMN())),OFFSET($BN$2,0,0,ROW()-1,60),ROW()-1,FALSE))</f>
        <v>6.1272600969999997</v>
      </c>
      <c r="BE187">
        <f ca="1">IF(AND(ISNUMBER($BE$428),$B$258=1),$BE$428,HLOOKUP(INDIRECT(ADDRESS(2,COLUMN())),OFFSET($BN$2,0,0,ROW()-1,60),ROW()-1,FALSE))</f>
        <v>6.5049901119999998</v>
      </c>
      <c r="BF187">
        <f ca="1">IF(AND(ISNUMBER($BF$428),$B$258=1),$BF$428,HLOOKUP(INDIRECT(ADDRESS(2,COLUMN())),OFFSET($BN$2,0,0,ROW()-1,60),ROW()-1,FALSE))</f>
        <v>6.9765456480000001</v>
      </c>
      <c r="BG187">
        <f ca="1">IF(AND(ISNUMBER($BG$428),$B$258=1),$BG$428,HLOOKUP(INDIRECT(ADDRESS(2,COLUMN())),OFFSET($BN$2,0,0,ROW()-1,60),ROW()-1,FALSE))</f>
        <v>6.8802781509999997</v>
      </c>
      <c r="BH187">
        <f ca="1">IF(AND(ISNUMBER($BH$428),$B$258=1),$BH$428,HLOOKUP(INDIRECT(ADDRESS(2,COLUMN())),OFFSET($BN$2,0,0,ROW()-1,60),ROW()-1,FALSE))</f>
        <v>6.5132117010000004</v>
      </c>
      <c r="BI187">
        <f ca="1">IF(AND(ISNUMBER($BI$428),$B$258=1),$BI$428,HLOOKUP(INDIRECT(ADDRESS(2,COLUMN())),OFFSET($BN$2,0,0,ROW()-1,60),ROW()-1,FALSE))</f>
        <v>6.7278729750000004</v>
      </c>
      <c r="BJ187">
        <f ca="1">IF(AND(ISNUMBER($BJ$428),$B$258=1),$BJ$428,HLOOKUP(INDIRECT(ADDRESS(2,COLUMN())),OFFSET($BN$2,0,0,ROW()-1,60),ROW()-1,FALSE))</f>
        <v>7.0322769569999997</v>
      </c>
      <c r="BK187">
        <f ca="1">IF(AND(ISNUMBER($BK$428),$B$258=1),$BK$428,HLOOKUP(INDIRECT(ADDRESS(2,COLUMN())),OFFSET($BN$2,0,0,ROW()-1,60),ROW()-1,FALSE))</f>
        <v>7.3594037270000001</v>
      </c>
      <c r="BL187">
        <f ca="1">IF(AND(ISNUMBER($BL$428),$B$258=1),$BL$428,HLOOKUP(INDIRECT(ADDRESS(2,COLUMN())),OFFSET($BN$2,0,0,ROW()-1,60),ROW()-1,FALSE))</f>
        <v>11.281623290000001</v>
      </c>
      <c r="BM187">
        <f ca="1">IF(AND(ISNUMBER($BM$428),$B$258=1),$BM$428,HLOOKUP(INDIRECT(ADDRESS(2,COLUMN())),OFFSET($BN$2,0,0,ROW()-1,60),ROW()-1,FALSE))</f>
        <v>9.3274440070000004</v>
      </c>
      <c r="BN187" t="str">
        <f>""</f>
        <v/>
      </c>
      <c r="BO187">
        <f>4.687855127</f>
        <v>4.6878551269999997</v>
      </c>
      <c r="BP187">
        <f>6.530154718</f>
        <v>6.5301547180000004</v>
      </c>
      <c r="BQ187">
        <f>6.604127193</f>
        <v>6.6041271930000001</v>
      </c>
      <c r="BR187">
        <f>6.650214009</f>
        <v>6.6502140089999999</v>
      </c>
      <c r="BS187">
        <f>6.452395732</f>
        <v>6.4523957320000003</v>
      </c>
      <c r="BT187">
        <f>6.35051313</f>
        <v>6.3505131300000004</v>
      </c>
      <c r="BU187">
        <f>6.312282354</f>
        <v>6.3122823539999997</v>
      </c>
      <c r="BV187">
        <f>4.8060495</f>
        <v>4.8060495000000003</v>
      </c>
      <c r="BW187">
        <f>4.778381343</f>
        <v>4.7783813430000004</v>
      </c>
      <c r="BX187">
        <f>4.803725115</f>
        <v>4.8037251149999998</v>
      </c>
      <c r="BY187">
        <f>4.662640646</f>
        <v>4.6626406459999998</v>
      </c>
      <c r="BZ187">
        <f>5.848582116</f>
        <v>5.8485821160000002</v>
      </c>
      <c r="CA187">
        <f>5.666102814</f>
        <v>5.6661028140000003</v>
      </c>
      <c r="CB187">
        <f>5.653388168</f>
        <v>5.6533881680000002</v>
      </c>
      <c r="CC187">
        <f>5.424944552</f>
        <v>5.4249445520000004</v>
      </c>
      <c r="CD187">
        <f>3.921530578</f>
        <v>3.921530578</v>
      </c>
      <c r="CE187">
        <f>3.629116583</f>
        <v>3.6291165830000001</v>
      </c>
      <c r="CF187">
        <f>3.321289834</f>
        <v>3.3212898339999999</v>
      </c>
      <c r="CG187">
        <f>3.164498676</f>
        <v>3.164498676</v>
      </c>
      <c r="CH187">
        <f>4.356839082</f>
        <v>4.3568390819999996</v>
      </c>
      <c r="CI187">
        <f>4.38653529</f>
        <v>4.3865352900000003</v>
      </c>
      <c r="CJ187">
        <f>4.476724862</f>
        <v>4.4767248620000002</v>
      </c>
      <c r="CK187">
        <f>4.430725703</f>
        <v>4.4307257030000002</v>
      </c>
      <c r="CL187">
        <f>4.294774376</f>
        <v>4.2947743760000003</v>
      </c>
      <c r="CM187">
        <f>3.76966334</f>
        <v>3.7696633400000001</v>
      </c>
      <c r="CN187">
        <f>3.653563977</f>
        <v>3.6535639770000001</v>
      </c>
      <c r="CO187">
        <f>3.274148589</f>
        <v>3.2741485890000002</v>
      </c>
      <c r="CP187">
        <f>3.333458793</f>
        <v>3.3334587930000001</v>
      </c>
      <c r="CQ187">
        <f>3.634982353</f>
        <v>3.6349823529999998</v>
      </c>
      <c r="CR187">
        <f>3.921541338</f>
        <v>3.9215413379999999</v>
      </c>
      <c r="CS187">
        <f>4.913691286</f>
        <v>4.9136912859999997</v>
      </c>
      <c r="CT187">
        <f>5.140769889</f>
        <v>5.1407698890000004</v>
      </c>
      <c r="CU187">
        <f>5.567642928</f>
        <v>5.5676429279999997</v>
      </c>
      <c r="CV187">
        <f>6.56008762</f>
        <v>6.56008762</v>
      </c>
      <c r="CW187">
        <f>6.231207758</f>
        <v>6.231207758</v>
      </c>
      <c r="CX187">
        <f>5.817786055</f>
        <v>5.817786055</v>
      </c>
      <c r="CY187">
        <f>5.557501573</f>
        <v>5.5575015729999997</v>
      </c>
      <c r="CZ187">
        <f>5.494708536</f>
        <v>5.4947085360000001</v>
      </c>
      <c r="DA187">
        <f>5.403245222</f>
        <v>5.4032452219999998</v>
      </c>
      <c r="DB187">
        <f>5.36171984</f>
        <v>5.3617198400000001</v>
      </c>
      <c r="DC187">
        <f>4.861175254</f>
        <v>4.8611752539999999</v>
      </c>
      <c r="DD187">
        <f>5.279114373</f>
        <v>5.2791143729999996</v>
      </c>
      <c r="DE187">
        <f>5.945885193</f>
        <v>5.9458851929999996</v>
      </c>
      <c r="DF187">
        <f>6.678675877</f>
        <v>6.6786758769999999</v>
      </c>
      <c r="DG187">
        <f>6.21900294</f>
        <v>6.2190029400000002</v>
      </c>
      <c r="DH187">
        <f>6.310270918</f>
        <v>6.3102709179999996</v>
      </c>
      <c r="DI187">
        <f>6.432995234</f>
        <v>6.4329952339999998</v>
      </c>
      <c r="DJ187">
        <f>6.503812053</f>
        <v>6.5038120529999999</v>
      </c>
      <c r="DK187">
        <f>6.691738809</f>
        <v>6.6917388090000003</v>
      </c>
      <c r="DL187">
        <f>6.127260097</f>
        <v>6.1272600969999997</v>
      </c>
      <c r="DM187">
        <f>6.504990112</f>
        <v>6.5049901119999998</v>
      </c>
      <c r="DN187">
        <f>6.976545648</f>
        <v>6.9765456480000001</v>
      </c>
      <c r="DO187">
        <f>6.880278151</f>
        <v>6.8802781509999997</v>
      </c>
      <c r="DP187">
        <f>6.513211701</f>
        <v>6.5132117010000004</v>
      </c>
      <c r="DQ187">
        <f>6.727872975</f>
        <v>6.7278729750000004</v>
      </c>
      <c r="DR187">
        <f>7.032276957</f>
        <v>7.0322769569999997</v>
      </c>
      <c r="DS187">
        <f>7.359403727</f>
        <v>7.3594037270000001</v>
      </c>
      <c r="DT187">
        <f>11.28162329</f>
        <v>11.281623290000001</v>
      </c>
      <c r="DU187">
        <f>9.327444007</f>
        <v>9.3274440070000004</v>
      </c>
    </row>
    <row r="188" spans="1:125">
      <c r="A188" t="str">
        <f>"    Healthcare Trust of America In"</f>
        <v xml:space="preserve">    Healthcare Trust of America In</v>
      </c>
      <c r="B188" t="str">
        <f>"HTA US Equity"</f>
        <v>HTA US Equity</v>
      </c>
      <c r="C188" t="str">
        <f t="shared" si="45"/>
        <v>RR554</v>
      </c>
      <c r="D188" t="str">
        <f t="shared" si="46"/>
        <v>FFO_RE_ASSET</v>
      </c>
      <c r="E188" t="str">
        <f t="shared" si="47"/>
        <v>动态</v>
      </c>
      <c r="F188" t="str">
        <f ca="1">IF(AND(ISNUMBER($F$429),$B$258=1),$F$429,HLOOKUP(INDIRECT(ADDRESS(2,COLUMN())),OFFSET($BN$2,0,0,ROW()-1,60),ROW()-1,FALSE))</f>
        <v/>
      </c>
      <c r="G188">
        <f ca="1">IF(AND(ISNUMBER($G$429),$B$258=1),$G$429,HLOOKUP(INDIRECT(ADDRESS(2,COLUMN())),OFFSET($BN$2,0,0,ROW()-1,60),ROW()-1,FALSE))</f>
        <v>6.7570688649999999</v>
      </c>
      <c r="H188">
        <f ca="1">IF(AND(ISNUMBER($H$429),$B$258=1),$H$429,HLOOKUP(INDIRECT(ADDRESS(2,COLUMN())),OFFSET($BN$2,0,0,ROW()-1,60),ROW()-1,FALSE))</f>
        <v>6.156764269</v>
      </c>
      <c r="I188">
        <f ca="1">IF(AND(ISNUMBER($I$429),$B$258=1),$I$429,HLOOKUP(INDIRECT(ADDRESS(2,COLUMN())),OFFSET($BN$2,0,0,ROW()-1,60),ROW()-1,FALSE))</f>
        <v>5.6070523110000003</v>
      </c>
      <c r="J188">
        <f ca="1">IF(AND(ISNUMBER($J$429),$B$258=1),$J$429,HLOOKUP(INDIRECT(ADDRESS(2,COLUMN())),OFFSET($BN$2,0,0,ROW()-1,60),ROW()-1,FALSE))</f>
        <v>8.0377572609999994</v>
      </c>
      <c r="K188">
        <f ca="1">IF(AND(ISNUMBER($K$429),$B$258=1),$K$429,HLOOKUP(INDIRECT(ADDRESS(2,COLUMN())),OFFSET($BN$2,0,0,ROW()-1,60),ROW()-1,FALSE))</f>
        <v>7.7485079529999998</v>
      </c>
      <c r="L188">
        <f ca="1">IF(AND(ISNUMBER($L$429),$B$258=1),$L$429,HLOOKUP(INDIRECT(ADDRESS(2,COLUMN())),OFFSET($BN$2,0,0,ROW()-1,60),ROW()-1,FALSE))</f>
        <v>7.3875809180000003</v>
      </c>
      <c r="M188">
        <f ca="1">IF(AND(ISNUMBER($M$429),$B$258=1),$M$429,HLOOKUP(INDIRECT(ADDRESS(2,COLUMN())),OFFSET($BN$2,0,0,ROW()-1,60),ROW()-1,FALSE))</f>
        <v>7.2829718579999998</v>
      </c>
      <c r="N188">
        <f ca="1">IF(AND(ISNUMBER($N$429),$B$258=1),$N$429,HLOOKUP(INDIRECT(ADDRESS(2,COLUMN())),OFFSET($BN$2,0,0,ROW()-1,60),ROW()-1,FALSE))</f>
        <v>7.6199127979999997</v>
      </c>
      <c r="O188">
        <f ca="1">IF(AND(ISNUMBER($O$429),$B$258=1),$O$429,HLOOKUP(INDIRECT(ADDRESS(2,COLUMN())),OFFSET($BN$2,0,0,ROW()-1,60),ROW()-1,FALSE))</f>
        <v>7.6316101600000001</v>
      </c>
      <c r="P188">
        <f ca="1">IF(AND(ISNUMBER($P$429),$B$258=1),$P$429,HLOOKUP(INDIRECT(ADDRESS(2,COLUMN())),OFFSET($BN$2,0,0,ROW()-1,60),ROW()-1,FALSE))</f>
        <v>7.3998459099999998</v>
      </c>
      <c r="Q188">
        <f ca="1">IF(AND(ISNUMBER($Q$429),$B$258=1),$Q$429,HLOOKUP(INDIRECT(ADDRESS(2,COLUMN())),OFFSET($BN$2,0,0,ROW()-1,60),ROW()-1,FALSE))</f>
        <v>7.1589310189999997</v>
      </c>
      <c r="R188">
        <f ca="1">IF(AND(ISNUMBER($R$429),$B$258=1),$R$429,HLOOKUP(INDIRECT(ADDRESS(2,COLUMN())),OFFSET($BN$2,0,0,ROW()-1,60),ROW()-1,FALSE))</f>
        <v>7.1016985469999998</v>
      </c>
      <c r="S188">
        <f ca="1">IF(AND(ISNUMBER($S$429),$B$258=1),$S$429,HLOOKUP(INDIRECT(ADDRESS(2,COLUMN())),OFFSET($BN$2,0,0,ROW()-1,60),ROW()-1,FALSE))</f>
        <v>6.9328859840000003</v>
      </c>
      <c r="T188">
        <f ca="1">IF(AND(ISNUMBER($T$429),$B$258=1),$T$429,HLOOKUP(INDIRECT(ADDRESS(2,COLUMN())),OFFSET($BN$2,0,0,ROW()-1,60),ROW()-1,FALSE))</f>
        <v>7.0942658549999997</v>
      </c>
      <c r="U188">
        <f ca="1">IF(AND(ISNUMBER($U$429),$B$258=1),$U$429,HLOOKUP(INDIRECT(ADDRESS(2,COLUMN())),OFFSET($BN$2,0,0,ROW()-1,60),ROW()-1,FALSE))</f>
        <v>7.0835679410000001</v>
      </c>
      <c r="V188">
        <f ca="1">IF(AND(ISNUMBER($V$429),$B$258=1),$V$429,HLOOKUP(INDIRECT(ADDRESS(2,COLUMN())),OFFSET($BN$2,0,0,ROW()-1,60),ROW()-1,FALSE))</f>
        <v>7.6823614249999999</v>
      </c>
      <c r="W188">
        <f ca="1">IF(AND(ISNUMBER($W$429),$B$258=1),$W$429,HLOOKUP(INDIRECT(ADDRESS(2,COLUMN())),OFFSET($BN$2,0,0,ROW()-1,60),ROW()-1,FALSE))</f>
        <v>7.2129042109999997</v>
      </c>
      <c r="X188">
        <f ca="1">IF(AND(ISNUMBER($X$429),$B$258=1),$X$429,HLOOKUP(INDIRECT(ADDRESS(2,COLUMN())),OFFSET($BN$2,0,0,ROW()-1,60),ROW()-1,FALSE))</f>
        <v>6.6509599870000002</v>
      </c>
      <c r="Y188">
        <f ca="1">IF(AND(ISNUMBER($Y$429),$B$258=1),$Y$429,HLOOKUP(INDIRECT(ADDRESS(2,COLUMN())),OFFSET($BN$2,0,0,ROW()-1,60),ROW()-1,FALSE))</f>
        <v>6.4102269270000001</v>
      </c>
      <c r="Z188">
        <f ca="1">IF(AND(ISNUMBER($Z$429),$B$258=1),$Z$429,HLOOKUP(INDIRECT(ADDRESS(2,COLUMN())),OFFSET($BN$2,0,0,ROW()-1,60),ROW()-1,FALSE))</f>
        <v>4.7661526439999999</v>
      </c>
      <c r="AA188">
        <f ca="1">IF(AND(ISNUMBER($AA$429),$B$258=1),$AA$429,HLOOKUP(INDIRECT(ADDRESS(2,COLUMN())),OFFSET($BN$2,0,0,ROW()-1,60),ROW()-1,FALSE))</f>
        <v>4.8898945830000002</v>
      </c>
      <c r="AB188">
        <f ca="1">IF(AND(ISNUMBER($AB$429),$B$258=1),$AB$429,HLOOKUP(INDIRECT(ADDRESS(2,COLUMN())),OFFSET($BN$2,0,0,ROW()-1,60),ROW()-1,FALSE))</f>
        <v>4.8796149010000001</v>
      </c>
      <c r="AC188">
        <f ca="1">IF(AND(ISNUMBER($AC$429),$B$258=1),$AC$429,HLOOKUP(INDIRECT(ADDRESS(2,COLUMN())),OFFSET($BN$2,0,0,ROW()-1,60),ROW()-1,FALSE))</f>
        <v>4.899000901</v>
      </c>
      <c r="AD188">
        <f ca="1">IF(AND(ISNUMBER($AD$429),$B$258=1),$AD$429,HLOOKUP(INDIRECT(ADDRESS(2,COLUMN())),OFFSET($BN$2,0,0,ROW()-1,60),ROW()-1,FALSE))</f>
        <v>5.7046473049999999</v>
      </c>
      <c r="AE188">
        <f ca="1">IF(AND(ISNUMBER($AE$429),$B$258=1),$AE$429,HLOOKUP(INDIRECT(ADDRESS(2,COLUMN())),OFFSET($BN$2,0,0,ROW()-1,60),ROW()-1,FALSE))</f>
        <v>6.1254312459999998</v>
      </c>
      <c r="AF188">
        <f ca="1">IF(AND(ISNUMBER($AF$429),$B$258=1),$AF$429,HLOOKUP(INDIRECT(ADDRESS(2,COLUMN())),OFFSET($BN$2,0,0,ROW()-1,60),ROW()-1,FALSE))</f>
        <v>5.9503216610000003</v>
      </c>
      <c r="AG188">
        <f ca="1">IF(AND(ISNUMBER($AG$429),$B$258=1),$AG$429,HLOOKUP(INDIRECT(ADDRESS(2,COLUMN())),OFFSET($BN$2,0,0,ROW()-1,60),ROW()-1,FALSE))</f>
        <v>5.6069014069999996</v>
      </c>
      <c r="AH188">
        <f ca="1">IF(AND(ISNUMBER($AH$429),$B$258=1),$AH$429,HLOOKUP(INDIRECT(ADDRESS(2,COLUMN())),OFFSET($BN$2,0,0,ROW()-1,60),ROW()-1,FALSE))</f>
        <v>5.1684257379999998</v>
      </c>
      <c r="AI188" t="str">
        <f ca="1">IF(AND(ISNUMBER($AI$429),$B$258=1),$AI$429,HLOOKUP(INDIRECT(ADDRESS(2,COLUMN())),OFFSET($BN$2,0,0,ROW()-1,60),ROW()-1,FALSE))</f>
        <v/>
      </c>
      <c r="AJ188" t="str">
        <f ca="1">IF(AND(ISNUMBER($AJ$429),$B$258=1),$AJ$429,HLOOKUP(INDIRECT(ADDRESS(2,COLUMN())),OFFSET($BN$2,0,0,ROW()-1,60),ROW()-1,FALSE))</f>
        <v/>
      </c>
      <c r="AK188" t="str">
        <f ca="1">IF(AND(ISNUMBER($AK$429),$B$258=1),$AK$429,HLOOKUP(INDIRECT(ADDRESS(2,COLUMN())),OFFSET($BN$2,0,0,ROW()-1,60),ROW()-1,FALSE))</f>
        <v/>
      </c>
      <c r="AL188" t="str">
        <f ca="1">IF(AND(ISNUMBER($AL$429),$B$258=1),$AL$429,HLOOKUP(INDIRECT(ADDRESS(2,COLUMN())),OFFSET($BN$2,0,0,ROW()-1,60),ROW()-1,FALSE))</f>
        <v/>
      </c>
      <c r="AM188" t="str">
        <f ca="1">IF(AND(ISNUMBER($AM$429),$B$258=1),$AM$429,HLOOKUP(INDIRECT(ADDRESS(2,COLUMN())),OFFSET($BN$2,0,0,ROW()-1,60),ROW()-1,FALSE))</f>
        <v/>
      </c>
      <c r="AN188" t="str">
        <f ca="1">IF(AND(ISNUMBER($AN$429),$B$258=1),$AN$429,HLOOKUP(INDIRECT(ADDRESS(2,COLUMN())),OFFSET($BN$2,0,0,ROW()-1,60),ROW()-1,FALSE))</f>
        <v/>
      </c>
      <c r="AO188" t="str">
        <f ca="1">IF(AND(ISNUMBER($AO$429),$B$258=1),$AO$429,HLOOKUP(INDIRECT(ADDRESS(2,COLUMN())),OFFSET($BN$2,0,0,ROW()-1,60),ROW()-1,FALSE))</f>
        <v/>
      </c>
      <c r="AP188" t="str">
        <f ca="1">IF(AND(ISNUMBER($AP$429),$B$258=1),$AP$429,HLOOKUP(INDIRECT(ADDRESS(2,COLUMN())),OFFSET($BN$2,0,0,ROW()-1,60),ROW()-1,FALSE))</f>
        <v/>
      </c>
      <c r="AQ188" t="str">
        <f ca="1">IF(AND(ISNUMBER($AQ$429),$B$258=1),$AQ$429,HLOOKUP(INDIRECT(ADDRESS(2,COLUMN())),OFFSET($BN$2,0,0,ROW()-1,60),ROW()-1,FALSE))</f>
        <v/>
      </c>
      <c r="AR188" t="str">
        <f ca="1">IF(AND(ISNUMBER($AR$429),$B$258=1),$AR$429,HLOOKUP(INDIRECT(ADDRESS(2,COLUMN())),OFFSET($BN$2,0,0,ROW()-1,60),ROW()-1,FALSE))</f>
        <v/>
      </c>
      <c r="AS188" t="str">
        <f ca="1">IF(AND(ISNUMBER($AS$429),$B$258=1),$AS$429,HLOOKUP(INDIRECT(ADDRESS(2,COLUMN())),OFFSET($BN$2,0,0,ROW()-1,60),ROW()-1,FALSE))</f>
        <v/>
      </c>
      <c r="AT188" t="str">
        <f ca="1">IF(AND(ISNUMBER($AT$429),$B$258=1),$AT$429,HLOOKUP(INDIRECT(ADDRESS(2,COLUMN())),OFFSET($BN$2,0,0,ROW()-1,60),ROW()-1,FALSE))</f>
        <v/>
      </c>
      <c r="AU188" t="str">
        <f ca="1">IF(AND(ISNUMBER($AU$429),$B$258=1),$AU$429,HLOOKUP(INDIRECT(ADDRESS(2,COLUMN())),OFFSET($BN$2,0,0,ROW()-1,60),ROW()-1,FALSE))</f>
        <v/>
      </c>
      <c r="AV188" t="str">
        <f ca="1">IF(AND(ISNUMBER($AV$429),$B$258=1),$AV$429,HLOOKUP(INDIRECT(ADDRESS(2,COLUMN())),OFFSET($BN$2,0,0,ROW()-1,60),ROW()-1,FALSE))</f>
        <v/>
      </c>
      <c r="AW188" t="str">
        <f ca="1">IF(AND(ISNUMBER($AW$429),$B$258=1),$AW$429,HLOOKUP(INDIRECT(ADDRESS(2,COLUMN())),OFFSET($BN$2,0,0,ROW()-1,60),ROW()-1,FALSE))</f>
        <v/>
      </c>
      <c r="AX188" t="str">
        <f ca="1">IF(AND(ISNUMBER($AX$429),$B$258=1),$AX$429,HLOOKUP(INDIRECT(ADDRESS(2,COLUMN())),OFFSET($BN$2,0,0,ROW()-1,60),ROW()-1,FALSE))</f>
        <v/>
      </c>
      <c r="AY188" t="str">
        <f ca="1">IF(AND(ISNUMBER($AY$429),$B$258=1),$AY$429,HLOOKUP(INDIRECT(ADDRESS(2,COLUMN())),OFFSET($BN$2,0,0,ROW()-1,60),ROW()-1,FALSE))</f>
        <v/>
      </c>
      <c r="AZ188" t="str">
        <f ca="1">IF(AND(ISNUMBER($AZ$429),$B$258=1),$AZ$429,HLOOKUP(INDIRECT(ADDRESS(2,COLUMN())),OFFSET($BN$2,0,0,ROW()-1,60),ROW()-1,FALSE))</f>
        <v/>
      </c>
      <c r="BA188" t="str">
        <f ca="1">IF(AND(ISNUMBER($BA$429),$B$258=1),$BA$429,HLOOKUP(INDIRECT(ADDRESS(2,COLUMN())),OFFSET($BN$2,0,0,ROW()-1,60),ROW()-1,FALSE))</f>
        <v/>
      </c>
      <c r="BB188" t="str">
        <f ca="1">IF(AND(ISNUMBER($BB$429),$B$258=1),$BB$429,HLOOKUP(INDIRECT(ADDRESS(2,COLUMN())),OFFSET($BN$2,0,0,ROW()-1,60),ROW()-1,FALSE))</f>
        <v/>
      </c>
      <c r="BC188" t="str">
        <f ca="1">IF(AND(ISNUMBER($BC$429),$B$258=1),$BC$429,HLOOKUP(INDIRECT(ADDRESS(2,COLUMN())),OFFSET($BN$2,0,0,ROW()-1,60),ROW()-1,FALSE))</f>
        <v/>
      </c>
      <c r="BD188" t="str">
        <f ca="1">IF(AND(ISNUMBER($BD$429),$B$258=1),$BD$429,HLOOKUP(INDIRECT(ADDRESS(2,COLUMN())),OFFSET($BN$2,0,0,ROW()-1,60),ROW()-1,FALSE))</f>
        <v/>
      </c>
      <c r="BE188" t="str">
        <f ca="1">IF(AND(ISNUMBER($BE$429),$B$258=1),$BE$429,HLOOKUP(INDIRECT(ADDRESS(2,COLUMN())),OFFSET($BN$2,0,0,ROW()-1,60),ROW()-1,FALSE))</f>
        <v/>
      </c>
      <c r="BF188" t="str">
        <f ca="1">IF(AND(ISNUMBER($BF$429),$B$258=1),$BF$429,HLOOKUP(INDIRECT(ADDRESS(2,COLUMN())),OFFSET($BN$2,0,0,ROW()-1,60),ROW()-1,FALSE))</f>
        <v/>
      </c>
      <c r="BG188" t="str">
        <f ca="1">IF(AND(ISNUMBER($BG$429),$B$258=1),$BG$429,HLOOKUP(INDIRECT(ADDRESS(2,COLUMN())),OFFSET($BN$2,0,0,ROW()-1,60),ROW()-1,FALSE))</f>
        <v/>
      </c>
      <c r="BH188" t="str">
        <f ca="1">IF(AND(ISNUMBER($BH$429),$B$258=1),$BH$429,HLOOKUP(INDIRECT(ADDRESS(2,COLUMN())),OFFSET($BN$2,0,0,ROW()-1,60),ROW()-1,FALSE))</f>
        <v/>
      </c>
      <c r="BI188" t="str">
        <f ca="1">IF(AND(ISNUMBER($BI$429),$B$258=1),$BI$429,HLOOKUP(INDIRECT(ADDRESS(2,COLUMN())),OFFSET($BN$2,0,0,ROW()-1,60),ROW()-1,FALSE))</f>
        <v/>
      </c>
      <c r="BJ188" t="str">
        <f ca="1">IF(AND(ISNUMBER($BJ$429),$B$258=1),$BJ$429,HLOOKUP(INDIRECT(ADDRESS(2,COLUMN())),OFFSET($BN$2,0,0,ROW()-1,60),ROW()-1,FALSE))</f>
        <v/>
      </c>
      <c r="BK188" t="str">
        <f ca="1">IF(AND(ISNUMBER($BK$429),$B$258=1),$BK$429,HLOOKUP(INDIRECT(ADDRESS(2,COLUMN())),OFFSET($BN$2,0,0,ROW()-1,60),ROW()-1,FALSE))</f>
        <v/>
      </c>
      <c r="BL188" t="str">
        <f ca="1">IF(AND(ISNUMBER($BL$429),$B$258=1),$BL$429,HLOOKUP(INDIRECT(ADDRESS(2,COLUMN())),OFFSET($BN$2,0,0,ROW()-1,60),ROW()-1,FALSE))</f>
        <v/>
      </c>
      <c r="BM188" t="str">
        <f ca="1">IF(AND(ISNUMBER($BM$429),$B$258=1),$BM$429,HLOOKUP(INDIRECT(ADDRESS(2,COLUMN())),OFFSET($BN$2,0,0,ROW()-1,60),ROW()-1,FALSE))</f>
        <v/>
      </c>
      <c r="BN188" t="str">
        <f>""</f>
        <v/>
      </c>
      <c r="BO188">
        <f>6.757068865</f>
        <v>6.7570688649999999</v>
      </c>
      <c r="BP188">
        <f>6.156764269</f>
        <v>6.156764269</v>
      </c>
      <c r="BQ188">
        <f>5.607052311</f>
        <v>5.6070523110000003</v>
      </c>
      <c r="BR188">
        <f>8.037757261</f>
        <v>8.0377572609999994</v>
      </c>
      <c r="BS188">
        <f>7.748507953</f>
        <v>7.7485079529999998</v>
      </c>
      <c r="BT188">
        <f>7.387580918</f>
        <v>7.3875809180000003</v>
      </c>
      <c r="BU188">
        <f>7.282971858</f>
        <v>7.2829718579999998</v>
      </c>
      <c r="BV188">
        <f>7.619912798</f>
        <v>7.6199127979999997</v>
      </c>
      <c r="BW188">
        <f>7.63161016</f>
        <v>7.6316101600000001</v>
      </c>
      <c r="BX188">
        <f>7.39984591</f>
        <v>7.3998459099999998</v>
      </c>
      <c r="BY188">
        <f>7.158931019</f>
        <v>7.1589310189999997</v>
      </c>
      <c r="BZ188">
        <f>7.101698547</f>
        <v>7.1016985469999998</v>
      </c>
      <c r="CA188">
        <f>6.932885984</f>
        <v>6.9328859840000003</v>
      </c>
      <c r="CB188">
        <f>7.094265855</f>
        <v>7.0942658549999997</v>
      </c>
      <c r="CC188">
        <f>7.083567941</f>
        <v>7.0835679410000001</v>
      </c>
      <c r="CD188">
        <f>7.682361425</f>
        <v>7.6823614249999999</v>
      </c>
      <c r="CE188">
        <f>7.212904211</f>
        <v>7.2129042109999997</v>
      </c>
      <c r="CF188">
        <f>6.650959987</f>
        <v>6.6509599870000002</v>
      </c>
      <c r="CG188">
        <f>6.410226927</f>
        <v>6.4102269270000001</v>
      </c>
      <c r="CH188">
        <f>4.766152644</f>
        <v>4.7661526439999999</v>
      </c>
      <c r="CI188">
        <f>4.889894583</f>
        <v>4.8898945830000002</v>
      </c>
      <c r="CJ188">
        <f>4.879614901</f>
        <v>4.8796149010000001</v>
      </c>
      <c r="CK188">
        <f>4.899000901</f>
        <v>4.899000901</v>
      </c>
      <c r="CL188">
        <f>5.704647305</f>
        <v>5.7046473049999999</v>
      </c>
      <c r="CM188">
        <f>6.125431246</f>
        <v>6.1254312459999998</v>
      </c>
      <c r="CN188">
        <f>5.950321661</f>
        <v>5.9503216610000003</v>
      </c>
      <c r="CO188">
        <f>5.606901407</f>
        <v>5.6069014069999996</v>
      </c>
      <c r="CP188">
        <f>5.168425738</f>
        <v>5.1684257379999998</v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>
      <c r="A189" t="str">
        <f>"    Medical Properties Trust Inc"</f>
        <v xml:space="preserve">    Medical Properties Trust Inc</v>
      </c>
      <c r="B189" t="str">
        <f>"MPW US Equity"</f>
        <v>MPW US Equity</v>
      </c>
      <c r="C189" t="str">
        <f t="shared" si="45"/>
        <v>RR554</v>
      </c>
      <c r="D189" t="str">
        <f t="shared" si="46"/>
        <v>FFO_RE_ASSET</v>
      </c>
      <c r="E189" t="str">
        <f t="shared" si="47"/>
        <v>动态</v>
      </c>
      <c r="F189" t="str">
        <f ca="1">IF(AND(ISNUMBER($F$430),$B$258=1),$F$430,HLOOKUP(INDIRECT(ADDRESS(2,COLUMN())),OFFSET($BN$2,0,0,ROW()-1,60),ROW()-1,FALSE))</f>
        <v/>
      </c>
      <c r="G189">
        <f ca="1">IF(AND(ISNUMBER($G$430),$B$258=1),$G$430,HLOOKUP(INDIRECT(ADDRESS(2,COLUMN())),OFFSET($BN$2,0,0,ROW()-1,60),ROW()-1,FALSE))</f>
        <v>6.3200542349999997</v>
      </c>
      <c r="H189">
        <f ca="1">IF(AND(ISNUMBER($H$430),$B$258=1),$H$430,HLOOKUP(INDIRECT(ADDRESS(2,COLUMN())),OFFSET($BN$2,0,0,ROW()-1,60),ROW()-1,FALSE))</f>
        <v>6.035987897</v>
      </c>
      <c r="I189">
        <f ca="1">IF(AND(ISNUMBER($I$430),$B$258=1),$I$430,HLOOKUP(INDIRECT(ADDRESS(2,COLUMN())),OFFSET($BN$2,0,0,ROW()-1,60),ROW()-1,FALSE))</f>
        <v>5.8328799519999999</v>
      </c>
      <c r="J189">
        <f ca="1">IF(AND(ISNUMBER($J$430),$B$258=1),$J$430,HLOOKUP(INDIRECT(ADDRESS(2,COLUMN())),OFFSET($BN$2,0,0,ROW()-1,60),ROW()-1,FALSE))</f>
        <v>5.1662319270000001</v>
      </c>
      <c r="K189">
        <f ca="1">IF(AND(ISNUMBER($K$430),$B$258=1),$K$430,HLOOKUP(INDIRECT(ADDRESS(2,COLUMN())),OFFSET($BN$2,0,0,ROW()-1,60),ROW()-1,FALSE))</f>
        <v>5.2959784360000004</v>
      </c>
      <c r="L189">
        <f ca="1">IF(AND(ISNUMBER($L$430),$B$258=1),$L$430,HLOOKUP(INDIRECT(ADDRESS(2,COLUMN())),OFFSET($BN$2,0,0,ROW()-1,60),ROW()-1,FALSE))</f>
        <v>5.9605921149999999</v>
      </c>
      <c r="M189">
        <f ca="1">IF(AND(ISNUMBER($M$430),$B$258=1),$M$430,HLOOKUP(INDIRECT(ADDRESS(2,COLUMN())),OFFSET($BN$2,0,0,ROW()-1,60),ROW()-1,FALSE))</f>
        <v>6.5031332700000002</v>
      </c>
      <c r="N189">
        <f ca="1">IF(AND(ISNUMBER($N$430),$B$258=1),$N$430,HLOOKUP(INDIRECT(ADDRESS(2,COLUMN())),OFFSET($BN$2,0,0,ROW()-1,60),ROW()-1,FALSE))</f>
        <v>6.2690299500000002</v>
      </c>
      <c r="O189">
        <f ca="1">IF(AND(ISNUMBER($O$430),$B$258=1),$O$430,HLOOKUP(INDIRECT(ADDRESS(2,COLUMN())),OFFSET($BN$2,0,0,ROW()-1,60),ROW()-1,FALSE))</f>
        <v>5.9765995900000002</v>
      </c>
      <c r="P189">
        <f ca="1">IF(AND(ISNUMBER($P$430),$B$258=1),$P$430,HLOOKUP(INDIRECT(ADDRESS(2,COLUMN())),OFFSET($BN$2,0,0,ROW()-1,60),ROW()-1,FALSE))</f>
        <v>4.3552071640000003</v>
      </c>
      <c r="Q189">
        <f ca="1">IF(AND(ISNUMBER($Q$430),$B$258=1),$Q$430,HLOOKUP(INDIRECT(ADDRESS(2,COLUMN())),OFFSET($BN$2,0,0,ROW()-1,60),ROW()-1,FALSE))</f>
        <v>5.1402444760000003</v>
      </c>
      <c r="R189">
        <f ca="1">IF(AND(ISNUMBER($R$430),$B$258=1),$R$430,HLOOKUP(INDIRECT(ADDRESS(2,COLUMN())),OFFSET($BN$2,0,0,ROW()-1,60),ROW()-1,FALSE))</f>
        <v>4.8542605710000002</v>
      </c>
      <c r="S189">
        <f ca="1">IF(AND(ISNUMBER($S$430),$B$258=1),$S$430,HLOOKUP(INDIRECT(ADDRESS(2,COLUMN())),OFFSET($BN$2,0,0,ROW()-1,60),ROW()-1,FALSE))</f>
        <v>4.1564735019999999</v>
      </c>
      <c r="T189">
        <f ca="1">IF(AND(ISNUMBER($T$430),$B$258=1),$T$430,HLOOKUP(INDIRECT(ADDRESS(2,COLUMN())),OFFSET($BN$2,0,0,ROW()-1,60),ROW()-1,FALSE))</f>
        <v>4.229294039</v>
      </c>
      <c r="U189">
        <f ca="1">IF(AND(ISNUMBER($U$430),$B$258=1),$U$430,HLOOKUP(INDIRECT(ADDRESS(2,COLUMN())),OFFSET($BN$2,0,0,ROW()-1,60),ROW()-1,FALSE))</f>
        <v>4.2164758840000003</v>
      </c>
      <c r="V189">
        <f ca="1">IF(AND(ISNUMBER($V$430),$B$258=1),$V$430,HLOOKUP(INDIRECT(ADDRESS(2,COLUMN())),OFFSET($BN$2,0,0,ROW()-1,60),ROW()-1,FALSE))</f>
        <v>4.9966259739999996</v>
      </c>
      <c r="W189">
        <f ca="1">IF(AND(ISNUMBER($W$430),$B$258=1),$W$430,HLOOKUP(INDIRECT(ADDRESS(2,COLUMN())),OFFSET($BN$2,0,0,ROW()-1,60),ROW()-1,FALSE))</f>
        <v>5.9864125509999999</v>
      </c>
      <c r="X189">
        <f ca="1">IF(AND(ISNUMBER($X$430),$B$258=1),$X$430,HLOOKUP(INDIRECT(ADDRESS(2,COLUMN())),OFFSET($BN$2,0,0,ROW()-1,60),ROW()-1,FALSE))</f>
        <v>6.429763855</v>
      </c>
      <c r="Y189">
        <f ca="1">IF(AND(ISNUMBER($Y$430),$B$258=1),$Y$430,HLOOKUP(INDIRECT(ADDRESS(2,COLUMN())),OFFSET($BN$2,0,0,ROW()-1,60),ROW()-1,FALSE))</f>
        <v>7.210013354</v>
      </c>
      <c r="Z189">
        <f ca="1">IF(AND(ISNUMBER($Z$430),$B$258=1),$Z$430,HLOOKUP(INDIRECT(ADDRESS(2,COLUMN())),OFFSET($BN$2,0,0,ROW()-1,60),ROW()-1,FALSE))</f>
        <v>7.0759713350000002</v>
      </c>
      <c r="AA189">
        <f ca="1">IF(AND(ISNUMBER($AA$430),$B$258=1),$AA$430,HLOOKUP(INDIRECT(ADDRESS(2,COLUMN())),OFFSET($BN$2,0,0,ROW()-1,60),ROW()-1,FALSE))</f>
        <v>7.0089431690000001</v>
      </c>
      <c r="AB189">
        <f ca="1">IF(AND(ISNUMBER($AB$430),$B$258=1),$AB$430,HLOOKUP(INDIRECT(ADDRESS(2,COLUMN())),OFFSET($BN$2,0,0,ROW()-1,60),ROW()-1,FALSE))</f>
        <v>6.1432958099999997</v>
      </c>
      <c r="AC189">
        <f ca="1">IF(AND(ISNUMBER($AC$430),$B$258=1),$AC$430,HLOOKUP(INDIRECT(ADDRESS(2,COLUMN())),OFFSET($BN$2,0,0,ROW()-1,60),ROW()-1,FALSE))</f>
        <v>5.0710607650000004</v>
      </c>
      <c r="AD189">
        <f ca="1">IF(AND(ISNUMBER($AD$430),$B$258=1),$AD$430,HLOOKUP(INDIRECT(ADDRESS(2,COLUMN())),OFFSET($BN$2,0,0,ROW()-1,60),ROW()-1,FALSE))</f>
        <v>3.809491451</v>
      </c>
      <c r="AE189">
        <f ca="1">IF(AND(ISNUMBER($AE$430),$B$258=1),$AE$430,HLOOKUP(INDIRECT(ADDRESS(2,COLUMN())),OFFSET($BN$2,0,0,ROW()-1,60),ROW()-1,FALSE))</f>
        <v>4.6665542960000002</v>
      </c>
      <c r="AF189">
        <f ca="1">IF(AND(ISNUMBER($AF$430),$B$258=1),$AF$430,HLOOKUP(INDIRECT(ADDRESS(2,COLUMN())),OFFSET($BN$2,0,0,ROW()-1,60),ROW()-1,FALSE))</f>
        <v>4.1865855859999996</v>
      </c>
      <c r="AG189">
        <f ca="1">IF(AND(ISNUMBER($AG$430),$B$258=1),$AG$430,HLOOKUP(INDIRECT(ADDRESS(2,COLUMN())),OFFSET($BN$2,0,0,ROW()-1,60),ROW()-1,FALSE))</f>
        <v>4.6123711009999999</v>
      </c>
      <c r="AH189">
        <f ca="1">IF(AND(ISNUMBER($AH$430),$B$258=1),$AH$430,HLOOKUP(INDIRECT(ADDRESS(2,COLUMN())),OFFSET($BN$2,0,0,ROW()-1,60),ROW()-1,FALSE))</f>
        <v>4.1054051319999996</v>
      </c>
      <c r="AI189">
        <f ca="1">IF(AND(ISNUMBER($AI$430),$B$258=1),$AI$430,HLOOKUP(INDIRECT(ADDRESS(2,COLUMN())),OFFSET($BN$2,0,0,ROW()-1,60),ROW()-1,FALSE))</f>
        <v>3.417913907</v>
      </c>
      <c r="AJ189">
        <f ca="1">IF(AND(ISNUMBER($AJ$430),$B$258=1),$AJ$430,HLOOKUP(INDIRECT(ADDRESS(2,COLUMN())),OFFSET($BN$2,0,0,ROW()-1,60),ROW()-1,FALSE))</f>
        <v>3.1545398279999999</v>
      </c>
      <c r="AK189">
        <f ca="1">IF(AND(ISNUMBER($AK$430),$B$258=1),$AK$430,HLOOKUP(INDIRECT(ADDRESS(2,COLUMN())),OFFSET($BN$2,0,0,ROW()-1,60),ROW()-1,FALSE))</f>
        <v>3.4062380779999999</v>
      </c>
      <c r="AL189">
        <f ca="1">IF(AND(ISNUMBER($AL$430),$B$258=1),$AL$430,HLOOKUP(INDIRECT(ADDRESS(2,COLUMN())),OFFSET($BN$2,0,0,ROW()-1,60),ROW()-1,FALSE))</f>
        <v>3.86958796</v>
      </c>
      <c r="AM189">
        <f ca="1">IF(AND(ISNUMBER($AM$430),$B$258=1),$AM$430,HLOOKUP(INDIRECT(ADDRESS(2,COLUMN())),OFFSET($BN$2,0,0,ROW()-1,60),ROW()-1,FALSE))</f>
        <v>5.5870548940000004</v>
      </c>
      <c r="AN189">
        <f ca="1">IF(AND(ISNUMBER($AN$430),$B$258=1),$AN$430,HLOOKUP(INDIRECT(ADDRESS(2,COLUMN())),OFFSET($BN$2,0,0,ROW()-1,60),ROW()-1,FALSE))</f>
        <v>4.6090079570000002</v>
      </c>
      <c r="AO189">
        <f ca="1">IF(AND(ISNUMBER($AO$430),$B$258=1),$AO$430,HLOOKUP(INDIRECT(ADDRESS(2,COLUMN())),OFFSET($BN$2,0,0,ROW()-1,60),ROW()-1,FALSE))</f>
        <v>4.9618742779999998</v>
      </c>
      <c r="AP189">
        <f ca="1">IF(AND(ISNUMBER($AP$430),$B$258=1),$AP$430,HLOOKUP(INDIRECT(ADDRESS(2,COLUMN())),OFFSET($BN$2,0,0,ROW()-1,60),ROW()-1,FALSE))</f>
        <v>4.7966118079999998</v>
      </c>
      <c r="AQ189">
        <f ca="1">IF(AND(ISNUMBER($AQ$430),$B$258=1),$AQ$430,HLOOKUP(INDIRECT(ADDRESS(2,COLUMN())),OFFSET($BN$2,0,0,ROW()-1,60),ROW()-1,FALSE))</f>
        <v>5.1321779010000004</v>
      </c>
      <c r="AR189">
        <f ca="1">IF(AND(ISNUMBER($AR$430),$B$258=1),$AR$430,HLOOKUP(INDIRECT(ADDRESS(2,COLUMN())),OFFSET($BN$2,0,0,ROW()-1,60),ROW()-1,FALSE))</f>
        <v>5.0599991009999998</v>
      </c>
      <c r="AS189">
        <f ca="1">IF(AND(ISNUMBER($AS$430),$B$258=1),$AS$430,HLOOKUP(INDIRECT(ADDRESS(2,COLUMN())),OFFSET($BN$2,0,0,ROW()-1,60),ROW()-1,FALSE))</f>
        <v>5.5916717299999998</v>
      </c>
      <c r="AT189">
        <f ca="1">IF(AND(ISNUMBER($AT$430),$B$258=1),$AT$430,HLOOKUP(INDIRECT(ADDRESS(2,COLUMN())),OFFSET($BN$2,0,0,ROW()-1,60),ROW()-1,FALSE))</f>
        <v>7.531427205</v>
      </c>
      <c r="AU189">
        <f ca="1">IF(AND(ISNUMBER($AU$430),$B$258=1),$AU$430,HLOOKUP(INDIRECT(ADDRESS(2,COLUMN())),OFFSET($BN$2,0,0,ROW()-1,60),ROW()-1,FALSE))</f>
        <v>7.0392465829999997</v>
      </c>
      <c r="AV189">
        <f ca="1">IF(AND(ISNUMBER($AV$430),$B$258=1),$AV$430,HLOOKUP(INDIRECT(ADDRESS(2,COLUMN())),OFFSET($BN$2,0,0,ROW()-1,60),ROW()-1,FALSE))</f>
        <v>6.7049880259999997</v>
      </c>
      <c r="AW189">
        <f ca="1">IF(AND(ISNUMBER($AW$430),$B$258=1),$AW$430,HLOOKUP(INDIRECT(ADDRESS(2,COLUMN())),OFFSET($BN$2,0,0,ROW()-1,60),ROW()-1,FALSE))</f>
        <v>7.2236832409999998</v>
      </c>
      <c r="AX189">
        <f ca="1">IF(AND(ISNUMBER($AX$430),$B$258=1),$AX$430,HLOOKUP(INDIRECT(ADDRESS(2,COLUMN())),OFFSET($BN$2,0,0,ROW()-1,60),ROW()-1,FALSE))</f>
        <v>7.0102205770000001</v>
      </c>
      <c r="AY189">
        <f ca="1">IF(AND(ISNUMBER($AY$430),$B$258=1),$AY$430,HLOOKUP(INDIRECT(ADDRESS(2,COLUMN())),OFFSET($BN$2,0,0,ROW()-1,60),ROW()-1,FALSE))</f>
        <v>7.9800048889999999</v>
      </c>
      <c r="AZ189">
        <f ca="1">IF(AND(ISNUMBER($AZ$430),$B$258=1),$AZ$430,HLOOKUP(INDIRECT(ADDRESS(2,COLUMN())),OFFSET($BN$2,0,0,ROW()-1,60),ROW()-1,FALSE))</f>
        <v>8.2656896080000006</v>
      </c>
      <c r="BA189">
        <f ca="1">IF(AND(ISNUMBER($BA$430),$B$258=1),$BA$430,HLOOKUP(INDIRECT(ADDRESS(2,COLUMN())),OFFSET($BN$2,0,0,ROW()-1,60),ROW()-1,FALSE))</f>
        <v>8.7340707930000008</v>
      </c>
      <c r="BB189">
        <f ca="1">IF(AND(ISNUMBER($BB$430),$B$258=1),$BB$430,HLOOKUP(INDIRECT(ADDRESS(2,COLUMN())),OFFSET($BN$2,0,0,ROW()-1,60),ROW()-1,FALSE))</f>
        <v>8.5486634739999996</v>
      </c>
      <c r="BC189" t="str">
        <f ca="1">IF(AND(ISNUMBER($BC$430),$B$258=1),$BC$430,HLOOKUP(INDIRECT(ADDRESS(2,COLUMN())),OFFSET($BN$2,0,0,ROW()-1,60),ROW()-1,FALSE))</f>
        <v/>
      </c>
      <c r="BD189" t="str">
        <f ca="1">IF(AND(ISNUMBER($BD$430),$B$258=1),$BD$430,HLOOKUP(INDIRECT(ADDRESS(2,COLUMN())),OFFSET($BN$2,0,0,ROW()-1,60),ROW()-1,FALSE))</f>
        <v/>
      </c>
      <c r="BE189" t="str">
        <f ca="1">IF(AND(ISNUMBER($BE$430),$B$258=1),$BE$430,HLOOKUP(INDIRECT(ADDRESS(2,COLUMN())),OFFSET($BN$2,0,0,ROW()-1,60),ROW()-1,FALSE))</f>
        <v/>
      </c>
      <c r="BF189" t="str">
        <f ca="1">IF(AND(ISNUMBER($BF$430),$B$258=1),$BF$430,HLOOKUP(INDIRECT(ADDRESS(2,COLUMN())),OFFSET($BN$2,0,0,ROW()-1,60),ROW()-1,FALSE))</f>
        <v/>
      </c>
      <c r="BG189" t="str">
        <f ca="1">IF(AND(ISNUMBER($BG$430),$B$258=1),$BG$430,HLOOKUP(INDIRECT(ADDRESS(2,COLUMN())),OFFSET($BN$2,0,0,ROW()-1,60),ROW()-1,FALSE))</f>
        <v/>
      </c>
      <c r="BH189" t="str">
        <f ca="1">IF(AND(ISNUMBER($BH$430),$B$258=1),$BH$430,HLOOKUP(INDIRECT(ADDRESS(2,COLUMN())),OFFSET($BN$2,0,0,ROW()-1,60),ROW()-1,FALSE))</f>
        <v/>
      </c>
      <c r="BI189" t="str">
        <f ca="1">IF(AND(ISNUMBER($BI$430),$B$258=1),$BI$430,HLOOKUP(INDIRECT(ADDRESS(2,COLUMN())),OFFSET($BN$2,0,0,ROW()-1,60),ROW()-1,FALSE))</f>
        <v/>
      </c>
      <c r="BJ189" t="str">
        <f ca="1">IF(AND(ISNUMBER($BJ$430),$B$258=1),$BJ$430,HLOOKUP(INDIRECT(ADDRESS(2,COLUMN())),OFFSET($BN$2,0,0,ROW()-1,60),ROW()-1,FALSE))</f>
        <v/>
      </c>
      <c r="BK189" t="str">
        <f ca="1">IF(AND(ISNUMBER($BK$430),$B$258=1),$BK$430,HLOOKUP(INDIRECT(ADDRESS(2,COLUMN())),OFFSET($BN$2,0,0,ROW()-1,60),ROW()-1,FALSE))</f>
        <v/>
      </c>
      <c r="BL189" t="str">
        <f ca="1">IF(AND(ISNUMBER($BL$430),$B$258=1),$BL$430,HLOOKUP(INDIRECT(ADDRESS(2,COLUMN())),OFFSET($BN$2,0,0,ROW()-1,60),ROW()-1,FALSE))</f>
        <v/>
      </c>
      <c r="BM189" t="str">
        <f ca="1">IF(AND(ISNUMBER($BM$430),$B$258=1),$BM$430,HLOOKUP(INDIRECT(ADDRESS(2,COLUMN())),OFFSET($BN$2,0,0,ROW()-1,60),ROW()-1,FALSE))</f>
        <v/>
      </c>
      <c r="BN189" t="str">
        <f>""</f>
        <v/>
      </c>
      <c r="BO189">
        <f>6.320054235</f>
        <v>6.3200542349999997</v>
      </c>
      <c r="BP189">
        <f>6.035987897</f>
        <v>6.035987897</v>
      </c>
      <c r="BQ189">
        <f>5.832879952</f>
        <v>5.8328799519999999</v>
      </c>
      <c r="BR189">
        <f>5.166231927</f>
        <v>5.1662319270000001</v>
      </c>
      <c r="BS189">
        <f>5.295978436</f>
        <v>5.2959784360000004</v>
      </c>
      <c r="BT189">
        <f>5.960592115</f>
        <v>5.9605921149999999</v>
      </c>
      <c r="BU189">
        <f>6.50313327</f>
        <v>6.5031332700000002</v>
      </c>
      <c r="BV189">
        <f>6.26902995</f>
        <v>6.2690299500000002</v>
      </c>
      <c r="BW189">
        <f>5.97659959</f>
        <v>5.9765995900000002</v>
      </c>
      <c r="BX189">
        <f>4.355207164</f>
        <v>4.3552071640000003</v>
      </c>
      <c r="BY189">
        <f>5.140244476</f>
        <v>5.1402444760000003</v>
      </c>
      <c r="BZ189">
        <f>4.854260571</f>
        <v>4.8542605710000002</v>
      </c>
      <c r="CA189">
        <f>4.156473502</f>
        <v>4.1564735019999999</v>
      </c>
      <c r="CB189">
        <f>4.229294039</f>
        <v>4.229294039</v>
      </c>
      <c r="CC189">
        <f>4.216475884</f>
        <v>4.2164758840000003</v>
      </c>
      <c r="CD189">
        <f>4.996625974</f>
        <v>4.9966259739999996</v>
      </c>
      <c r="CE189">
        <f>5.986412551</f>
        <v>5.9864125509999999</v>
      </c>
      <c r="CF189">
        <f>6.429763855</f>
        <v>6.429763855</v>
      </c>
      <c r="CG189">
        <f>7.210013354</f>
        <v>7.210013354</v>
      </c>
      <c r="CH189">
        <f>7.075971335</f>
        <v>7.0759713350000002</v>
      </c>
      <c r="CI189">
        <f>7.008943169</f>
        <v>7.0089431690000001</v>
      </c>
      <c r="CJ189">
        <f>6.14329581</f>
        <v>6.1432958099999997</v>
      </c>
      <c r="CK189">
        <f>5.071060765</f>
        <v>5.0710607650000004</v>
      </c>
      <c r="CL189">
        <f>3.809491451</f>
        <v>3.809491451</v>
      </c>
      <c r="CM189">
        <f>4.666554296</f>
        <v>4.6665542960000002</v>
      </c>
      <c r="CN189">
        <f>4.186585586</f>
        <v>4.1865855859999996</v>
      </c>
      <c r="CO189">
        <f>4.612371101</f>
        <v>4.6123711009999999</v>
      </c>
      <c r="CP189">
        <f>4.105405132</f>
        <v>4.1054051319999996</v>
      </c>
      <c r="CQ189">
        <f>3.417913907</f>
        <v>3.417913907</v>
      </c>
      <c r="CR189">
        <f>3.154539828</f>
        <v>3.1545398279999999</v>
      </c>
      <c r="CS189">
        <f>3.406238078</f>
        <v>3.4062380779999999</v>
      </c>
      <c r="CT189">
        <f>3.86958796</f>
        <v>3.86958796</v>
      </c>
      <c r="CU189">
        <f>5.587054894</f>
        <v>5.5870548940000004</v>
      </c>
      <c r="CV189">
        <f>4.609007957</f>
        <v>4.6090079570000002</v>
      </c>
      <c r="CW189">
        <f>4.961874278</f>
        <v>4.9618742779999998</v>
      </c>
      <c r="CX189">
        <f>4.796611808</f>
        <v>4.7966118079999998</v>
      </c>
      <c r="CY189">
        <f>5.132177901</f>
        <v>5.1321779010000004</v>
      </c>
      <c r="CZ189">
        <f>5.059999101</f>
        <v>5.0599991009999998</v>
      </c>
      <c r="DA189">
        <f>5.59167173</f>
        <v>5.5916717299999998</v>
      </c>
      <c r="DB189">
        <f>7.531427205</f>
        <v>7.531427205</v>
      </c>
      <c r="DC189">
        <f>7.039246583</f>
        <v>7.0392465829999997</v>
      </c>
      <c r="DD189">
        <f>6.704988026</f>
        <v>6.7049880259999997</v>
      </c>
      <c r="DE189">
        <f>7.223683241</f>
        <v>7.2236832409999998</v>
      </c>
      <c r="DF189">
        <f>7.010220577</f>
        <v>7.0102205770000001</v>
      </c>
      <c r="DG189">
        <f>7.980004889</f>
        <v>7.9800048889999999</v>
      </c>
      <c r="DH189">
        <f>8.265689608</f>
        <v>8.2656896080000006</v>
      </c>
      <c r="DI189">
        <f>8.734070793</f>
        <v>8.7340707930000008</v>
      </c>
      <c r="DJ189">
        <f>8.548663474</f>
        <v>8.5486634739999996</v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>
      <c r="A190" t="str">
        <f>"    Omega Healthcare Investors Inc"</f>
        <v xml:space="preserve">    Omega Healthcare Investors Inc</v>
      </c>
      <c r="B190" t="str">
        <f>"OHI US Equity"</f>
        <v>OHI US Equity</v>
      </c>
      <c r="C190" t="str">
        <f t="shared" si="45"/>
        <v>RR554</v>
      </c>
      <c r="D190" t="str">
        <f t="shared" si="46"/>
        <v>FFO_RE_ASSET</v>
      </c>
      <c r="E190" t="str">
        <f t="shared" si="47"/>
        <v>动态</v>
      </c>
      <c r="F190" t="str">
        <f ca="1">IF(AND(ISNUMBER($F$431),$B$258=1),$F$431,HLOOKUP(INDIRECT(ADDRESS(2,COLUMN())),OFFSET($BN$2,0,0,ROW()-1,60),ROW()-1,FALSE))</f>
        <v/>
      </c>
      <c r="G190">
        <f ca="1">IF(AND(ISNUMBER($G$431),$B$258=1),$G$431,HLOOKUP(INDIRECT(ADDRESS(2,COLUMN())),OFFSET($BN$2,0,0,ROW()-1,60),ROW()-1,FALSE))</f>
        <v>5.9365480479999997</v>
      </c>
      <c r="H190">
        <f ca="1">IF(AND(ISNUMBER($H$431),$B$258=1),$H$431,HLOOKUP(INDIRECT(ADDRESS(2,COLUMN())),OFFSET($BN$2,0,0,ROW()-1,60),ROW()-1,FALSE))</f>
        <v>5.9909531210000004</v>
      </c>
      <c r="I190">
        <f ca="1">IF(AND(ISNUMBER($I$431),$B$258=1),$I$431,HLOOKUP(INDIRECT(ADDRESS(2,COLUMN())),OFFSET($BN$2,0,0,ROW()-1,60),ROW()-1,FALSE))</f>
        <v>8.8663314110000009</v>
      </c>
      <c r="J190">
        <f ca="1">IF(AND(ISNUMBER($J$431),$B$258=1),$J$431,HLOOKUP(INDIRECT(ADDRESS(2,COLUMN())),OFFSET($BN$2,0,0,ROW()-1,60),ROW()-1,FALSE))</f>
        <v>9.2654471859999994</v>
      </c>
      <c r="K190">
        <f ca="1">IF(AND(ISNUMBER($K$431),$B$258=1),$K$431,HLOOKUP(INDIRECT(ADDRESS(2,COLUMN())),OFFSET($BN$2,0,0,ROW()-1,60),ROW()-1,FALSE))</f>
        <v>9.0366469719999998</v>
      </c>
      <c r="L190">
        <f ca="1">IF(AND(ISNUMBER($L$431),$B$258=1),$L$431,HLOOKUP(INDIRECT(ADDRESS(2,COLUMN())),OFFSET($BN$2,0,0,ROW()-1,60),ROW()-1,FALSE))</f>
        <v>8.4074178839999991</v>
      </c>
      <c r="M190">
        <f ca="1">IF(AND(ISNUMBER($M$431),$B$258=1),$M$431,HLOOKUP(INDIRECT(ADDRESS(2,COLUMN())),OFFSET($BN$2,0,0,ROW()-1,60),ROW()-1,FALSE))</f>
        <v>8.4373511449999992</v>
      </c>
      <c r="N190">
        <f ca="1">IF(AND(ISNUMBER($N$431),$B$258=1),$N$431,HLOOKUP(INDIRECT(ADDRESS(2,COLUMN())),OFFSET($BN$2,0,0,ROW()-1,60),ROW()-1,FALSE))</f>
        <v>9.7610531920000003</v>
      </c>
      <c r="O190">
        <f ca="1">IF(AND(ISNUMBER($O$431),$B$258=1),$O$431,HLOOKUP(INDIRECT(ADDRESS(2,COLUMN())),OFFSET($BN$2,0,0,ROW()-1,60),ROW()-1,FALSE))</f>
        <v>8.6063017550000005</v>
      </c>
      <c r="P190">
        <f ca="1">IF(AND(ISNUMBER($P$431),$B$258=1),$P$431,HLOOKUP(INDIRECT(ADDRESS(2,COLUMN())),OFFSET($BN$2,0,0,ROW()-1,60),ROW()-1,FALSE))</f>
        <v>7.8681268129999999</v>
      </c>
      <c r="Q190">
        <f ca="1">IF(AND(ISNUMBER($Q$431),$B$258=1),$Q$431,HLOOKUP(INDIRECT(ADDRESS(2,COLUMN())),OFFSET($BN$2,0,0,ROW()-1,60),ROW()-1,FALSE))</f>
        <v>6.9482459719999996</v>
      </c>
      <c r="R190">
        <f ca="1">IF(AND(ISNUMBER($R$431),$B$258=1),$R$431,HLOOKUP(INDIRECT(ADDRESS(2,COLUMN())),OFFSET($BN$2,0,0,ROW()-1,60),ROW()-1,FALSE))</f>
        <v>9.9793313589999997</v>
      </c>
      <c r="S190">
        <f ca="1">IF(AND(ISNUMBER($S$431),$B$258=1),$S$431,HLOOKUP(INDIRECT(ADDRESS(2,COLUMN())),OFFSET($BN$2,0,0,ROW()-1,60),ROW()-1,FALSE))</f>
        <v>10.230402720000001</v>
      </c>
      <c r="T190">
        <f ca="1">IF(AND(ISNUMBER($T$431),$B$258=1),$T$431,HLOOKUP(INDIRECT(ADDRESS(2,COLUMN())),OFFSET($BN$2,0,0,ROW()-1,60),ROW()-1,FALSE))</f>
        <v>10.97140508</v>
      </c>
      <c r="U190">
        <f ca="1">IF(AND(ISNUMBER($U$431),$B$258=1),$U$431,HLOOKUP(INDIRECT(ADDRESS(2,COLUMN())),OFFSET($BN$2,0,0,ROW()-1,60),ROW()-1,FALSE))</f>
        <v>10.150895930000001</v>
      </c>
      <c r="V190">
        <f ca="1">IF(AND(ISNUMBER($V$431),$B$258=1),$V$431,HLOOKUP(INDIRECT(ADDRESS(2,COLUMN())),OFFSET($BN$2,0,0,ROW()-1,60),ROW()-1,FALSE))</f>
        <v>10.693022490000001</v>
      </c>
      <c r="W190">
        <f ca="1">IF(AND(ISNUMBER($W$431),$B$258=1),$W$431,HLOOKUP(INDIRECT(ADDRESS(2,COLUMN())),OFFSET($BN$2,0,0,ROW()-1,60),ROW()-1,FALSE))</f>
        <v>10.33236415</v>
      </c>
      <c r="X190">
        <f ca="1">IF(AND(ISNUMBER($X$431),$B$258=1),$X$431,HLOOKUP(INDIRECT(ADDRESS(2,COLUMN())),OFFSET($BN$2,0,0,ROW()-1,60),ROW()-1,FALSE))</f>
        <v>11.132176510000001</v>
      </c>
      <c r="Y190">
        <f ca="1">IF(AND(ISNUMBER($Y$431),$B$258=1),$Y$431,HLOOKUP(INDIRECT(ADDRESS(2,COLUMN())),OFFSET($BN$2,0,0,ROW()-1,60),ROW()-1,FALSE))</f>
        <v>10.977769650000001</v>
      </c>
      <c r="Z190">
        <f ca="1">IF(AND(ISNUMBER($Z$431),$B$258=1),$Z$431,HLOOKUP(INDIRECT(ADDRESS(2,COLUMN())),OFFSET($BN$2,0,0,ROW()-1,60),ROW()-1,FALSE))</f>
        <v>9.8611695889999993</v>
      </c>
      <c r="AA190">
        <f ca="1">IF(AND(ISNUMBER($AA$431),$B$258=1),$AA$431,HLOOKUP(INDIRECT(ADDRESS(2,COLUMN())),OFFSET($BN$2,0,0,ROW()-1,60),ROW()-1,FALSE))</f>
        <v>8.8824382580000005</v>
      </c>
      <c r="AB190">
        <f ca="1">IF(AND(ISNUMBER($AB$431),$B$258=1),$AB$431,HLOOKUP(INDIRECT(ADDRESS(2,COLUMN())),OFFSET($BN$2,0,0,ROW()-1,60),ROW()-1,FALSE))</f>
        <v>9.2083578169999996</v>
      </c>
      <c r="AC190">
        <f ca="1">IF(AND(ISNUMBER($AC$431),$B$258=1),$AC$431,HLOOKUP(INDIRECT(ADDRESS(2,COLUMN())),OFFSET($BN$2,0,0,ROW()-1,60),ROW()-1,FALSE))</f>
        <v>9.0291743919999998</v>
      </c>
      <c r="AD190">
        <f ca="1">IF(AND(ISNUMBER($AD$431),$B$258=1),$AD$431,HLOOKUP(INDIRECT(ADDRESS(2,COLUMN())),OFFSET($BN$2,0,0,ROW()-1,60),ROW()-1,FALSE))</f>
        <v>8.395513674</v>
      </c>
      <c r="AE190">
        <f ca="1">IF(AND(ISNUMBER($AE$431),$B$258=1),$AE$431,HLOOKUP(INDIRECT(ADDRESS(2,COLUMN())),OFFSET($BN$2,0,0,ROW()-1,60),ROW()-1,FALSE))</f>
        <v>7.8400586219999999</v>
      </c>
      <c r="AF190">
        <f ca="1">IF(AND(ISNUMBER($AF$431),$B$258=1),$AF$431,HLOOKUP(INDIRECT(ADDRESS(2,COLUMN())),OFFSET($BN$2,0,0,ROW()-1,60),ROW()-1,FALSE))</f>
        <v>7.5385540219999996</v>
      </c>
      <c r="AG190">
        <f ca="1">IF(AND(ISNUMBER($AG$431),$B$258=1),$AG$431,HLOOKUP(INDIRECT(ADDRESS(2,COLUMN())),OFFSET($BN$2,0,0,ROW()-1,60),ROW()-1,FALSE))</f>
        <v>7.3833124559999996</v>
      </c>
      <c r="AH190">
        <f ca="1">IF(AND(ISNUMBER($AH$431),$B$258=1),$AH$431,HLOOKUP(INDIRECT(ADDRESS(2,COLUMN())),OFFSET($BN$2,0,0,ROW()-1,60),ROW()-1,FALSE))</f>
        <v>7.9440833140000002</v>
      </c>
      <c r="AI190">
        <f ca="1">IF(AND(ISNUMBER($AI$431),$B$258=1),$AI$431,HLOOKUP(INDIRECT(ADDRESS(2,COLUMN())),OFFSET($BN$2,0,0,ROW()-1,60),ROW()-1,FALSE))</f>
        <v>7.5098310189999999</v>
      </c>
      <c r="AJ190">
        <f ca="1">IF(AND(ISNUMBER($AJ$431),$B$258=1),$AJ$431,HLOOKUP(INDIRECT(ADDRESS(2,COLUMN())),OFFSET($BN$2,0,0,ROW()-1,60),ROW()-1,FALSE))</f>
        <v>7.9305530050000002</v>
      </c>
      <c r="AK190">
        <f ca="1">IF(AND(ISNUMBER($AK$431),$B$258=1),$AK$431,HLOOKUP(INDIRECT(ADDRESS(2,COLUMN())),OFFSET($BN$2,0,0,ROW()-1,60),ROW()-1,FALSE))</f>
        <v>7.1276701549999997</v>
      </c>
      <c r="AL190">
        <f ca="1">IF(AND(ISNUMBER($AL$431),$B$258=1),$AL$431,HLOOKUP(INDIRECT(ADDRESS(2,COLUMN())),OFFSET($BN$2,0,0,ROW()-1,60),ROW()-1,FALSE))</f>
        <v>8.7117066100000002</v>
      </c>
      <c r="AM190">
        <f ca="1">IF(AND(ISNUMBER($AM$431),$B$258=1),$AM$431,HLOOKUP(INDIRECT(ADDRESS(2,COLUMN())),OFFSET($BN$2,0,0,ROW()-1,60),ROW()-1,FALSE))</f>
        <v>8.6814982829999998</v>
      </c>
      <c r="AN190">
        <f ca="1">IF(AND(ISNUMBER($AN$431),$B$258=1),$AN$431,HLOOKUP(INDIRECT(ADDRESS(2,COLUMN())),OFFSET($BN$2,0,0,ROW()-1,60),ROW()-1,FALSE))</f>
        <v>9.8080357330000005</v>
      </c>
      <c r="AO190">
        <f ca="1">IF(AND(ISNUMBER($AO$431),$B$258=1),$AO$431,HLOOKUP(INDIRECT(ADDRESS(2,COLUMN())),OFFSET($BN$2,0,0,ROW()-1,60),ROW()-1,FALSE))</f>
        <v>9.3474114739999994</v>
      </c>
      <c r="AP190">
        <f ca="1">IF(AND(ISNUMBER($AP$431),$B$258=1),$AP$431,HLOOKUP(INDIRECT(ADDRESS(2,COLUMN())),OFFSET($BN$2,0,0,ROW()-1,60),ROW()-1,FALSE))</f>
        <v>9.4730631110000001</v>
      </c>
      <c r="AQ190">
        <f ca="1">IF(AND(ISNUMBER($AQ$431),$B$258=1),$AQ$431,HLOOKUP(INDIRECT(ADDRESS(2,COLUMN())),OFFSET($BN$2,0,0,ROW()-1,60),ROW()-1,FALSE))</f>
        <v>8.5124005650000001</v>
      </c>
      <c r="AR190">
        <f ca="1">IF(AND(ISNUMBER($AR$431),$B$258=1),$AR$431,HLOOKUP(INDIRECT(ADDRESS(2,COLUMN())),OFFSET($BN$2,0,0,ROW()-1,60),ROW()-1,FALSE))</f>
        <v>8.2962540039999997</v>
      </c>
      <c r="AS190">
        <f ca="1">IF(AND(ISNUMBER($AS$431),$B$258=1),$AS$431,HLOOKUP(INDIRECT(ADDRESS(2,COLUMN())),OFFSET($BN$2,0,0,ROW()-1,60),ROW()-1,FALSE))</f>
        <v>8.2903125830000004</v>
      </c>
      <c r="AT190">
        <f ca="1">IF(AND(ISNUMBER($AT$431),$B$258=1),$AT$431,HLOOKUP(INDIRECT(ADDRESS(2,COLUMN())),OFFSET($BN$2,0,0,ROW()-1,60),ROW()-1,FALSE))</f>
        <v>8.5721928950000006</v>
      </c>
      <c r="AU190">
        <f ca="1">IF(AND(ISNUMBER($AU$431),$B$258=1),$AU$431,HLOOKUP(INDIRECT(ADDRESS(2,COLUMN())),OFFSET($BN$2,0,0,ROW()-1,60),ROW()-1,FALSE))</f>
        <v>8.6350851469999998</v>
      </c>
      <c r="AV190">
        <f ca="1">IF(AND(ISNUMBER($AV$431),$B$258=1),$AV$431,HLOOKUP(INDIRECT(ADDRESS(2,COLUMN())),OFFSET($BN$2,0,0,ROW()-1,60),ROW()-1,FALSE))</f>
        <v>8.1458549280000003</v>
      </c>
      <c r="AW190">
        <f ca="1">IF(AND(ISNUMBER($AW$431),$B$258=1),$AW$431,HLOOKUP(INDIRECT(ADDRESS(2,COLUMN())),OFFSET($BN$2,0,0,ROW()-1,60),ROW()-1,FALSE))</f>
        <v>8.6873286390000004</v>
      </c>
      <c r="AX190">
        <f ca="1">IF(AND(ISNUMBER($AX$431),$B$258=1),$AX$431,HLOOKUP(INDIRECT(ADDRESS(2,COLUMN())),OFFSET($BN$2,0,0,ROW()-1,60),ROW()-1,FALSE))</f>
        <v>8.6164932610000005</v>
      </c>
      <c r="AY190">
        <f ca="1">IF(AND(ISNUMBER($AY$431),$B$258=1),$AY$431,HLOOKUP(INDIRECT(ADDRESS(2,COLUMN())),OFFSET($BN$2,0,0,ROW()-1,60),ROW()-1,FALSE))</f>
        <v>7.5934839150000002</v>
      </c>
      <c r="AZ190">
        <f ca="1">IF(AND(ISNUMBER($AZ$431),$B$258=1),$AZ$431,HLOOKUP(INDIRECT(ADDRESS(2,COLUMN())),OFFSET($BN$2,0,0,ROW()-1,60),ROW()-1,FALSE))</f>
        <v>7.686411251</v>
      </c>
      <c r="BA190">
        <f ca="1">IF(AND(ISNUMBER($BA$431),$B$258=1),$BA$431,HLOOKUP(INDIRECT(ADDRESS(2,COLUMN())),OFFSET($BN$2,0,0,ROW()-1,60),ROW()-1,FALSE))</f>
        <v>7.10668992</v>
      </c>
      <c r="BB190">
        <f ca="1">IF(AND(ISNUMBER($BB$431),$B$258=1),$BB$431,HLOOKUP(INDIRECT(ADDRESS(2,COLUMN())),OFFSET($BN$2,0,0,ROW()-1,60),ROW()-1,FALSE))</f>
        <v>5.4226118809999999</v>
      </c>
      <c r="BC190">
        <f ca="1">IF(AND(ISNUMBER($BC$431),$B$258=1),$BC$431,HLOOKUP(INDIRECT(ADDRESS(2,COLUMN())),OFFSET($BN$2,0,0,ROW()-1,60),ROW()-1,FALSE))</f>
        <v>4.9837944619999996</v>
      </c>
      <c r="BD190">
        <f ca="1">IF(AND(ISNUMBER($BD$431),$B$258=1),$BD$431,HLOOKUP(INDIRECT(ADDRESS(2,COLUMN())),OFFSET($BN$2,0,0,ROW()-1,60),ROW()-1,FALSE))</f>
        <v>5.4345884609999997</v>
      </c>
      <c r="BE190">
        <f ca="1">IF(AND(ISNUMBER($BE$431),$B$258=1),$BE$431,HLOOKUP(INDIRECT(ADDRESS(2,COLUMN())),OFFSET($BN$2,0,0,ROW()-1,60),ROW()-1,FALSE))</f>
        <v>4.8705173119999996</v>
      </c>
      <c r="BF190">
        <f ca="1">IF(AND(ISNUMBER($BF$431),$B$258=1),$BF$431,HLOOKUP(INDIRECT(ADDRESS(2,COLUMN())),OFFSET($BN$2,0,0,ROW()-1,60),ROW()-1,FALSE))</f>
        <v>4.620627904</v>
      </c>
      <c r="BG190" t="str">
        <f ca="1">IF(AND(ISNUMBER($BG$431),$B$258=1),$BG$431,HLOOKUP(INDIRECT(ADDRESS(2,COLUMN())),OFFSET($BN$2,0,0,ROW()-1,60),ROW()-1,FALSE))</f>
        <v/>
      </c>
      <c r="BH190" t="str">
        <f ca="1">IF(AND(ISNUMBER($BH$431),$B$258=1),$BH$431,HLOOKUP(INDIRECT(ADDRESS(2,COLUMN())),OFFSET($BN$2,0,0,ROW()-1,60),ROW()-1,FALSE))</f>
        <v/>
      </c>
      <c r="BI190" t="str">
        <f ca="1">IF(AND(ISNUMBER($BI$431),$B$258=1),$BI$431,HLOOKUP(INDIRECT(ADDRESS(2,COLUMN())),OFFSET($BN$2,0,0,ROW()-1,60),ROW()-1,FALSE))</f>
        <v/>
      </c>
      <c r="BJ190" t="str">
        <f ca="1">IF(AND(ISNUMBER($BJ$431),$B$258=1),$BJ$431,HLOOKUP(INDIRECT(ADDRESS(2,COLUMN())),OFFSET($BN$2,0,0,ROW()-1,60),ROW()-1,FALSE))</f>
        <v/>
      </c>
      <c r="BK190" t="str">
        <f ca="1">IF(AND(ISNUMBER($BK$431),$B$258=1),$BK$431,HLOOKUP(INDIRECT(ADDRESS(2,COLUMN())),OFFSET($BN$2,0,0,ROW()-1,60),ROW()-1,FALSE))</f>
        <v/>
      </c>
      <c r="BL190" t="str">
        <f ca="1">IF(AND(ISNUMBER($BL$431),$B$258=1),$BL$431,HLOOKUP(INDIRECT(ADDRESS(2,COLUMN())),OFFSET($BN$2,0,0,ROW()-1,60),ROW()-1,FALSE))</f>
        <v/>
      </c>
      <c r="BM190">
        <f ca="1">IF(AND(ISNUMBER($BM$431),$B$258=1),$BM$431,HLOOKUP(INDIRECT(ADDRESS(2,COLUMN())),OFFSET($BN$2,0,0,ROW()-1,60),ROW()-1,FALSE))</f>
        <v>3.9876364390000001</v>
      </c>
      <c r="BN190" t="str">
        <f>""</f>
        <v/>
      </c>
      <c r="BO190">
        <f>5.936548048</f>
        <v>5.9365480479999997</v>
      </c>
      <c r="BP190">
        <f>5.990953121</f>
        <v>5.9909531210000004</v>
      </c>
      <c r="BQ190">
        <f>8.866331411</f>
        <v>8.8663314110000009</v>
      </c>
      <c r="BR190">
        <f>9.265447186</f>
        <v>9.2654471859999994</v>
      </c>
      <c r="BS190">
        <f>9.036646972</f>
        <v>9.0366469719999998</v>
      </c>
      <c r="BT190">
        <f>8.407417884</f>
        <v>8.4074178839999991</v>
      </c>
      <c r="BU190">
        <f>8.437351145</f>
        <v>8.4373511449999992</v>
      </c>
      <c r="BV190">
        <f>9.761053192</f>
        <v>9.7610531920000003</v>
      </c>
      <c r="BW190">
        <f>8.606301755</f>
        <v>8.6063017550000005</v>
      </c>
      <c r="BX190">
        <f>7.868126813</f>
        <v>7.8681268129999999</v>
      </c>
      <c r="BY190">
        <f>6.948245972</f>
        <v>6.9482459719999996</v>
      </c>
      <c r="BZ190">
        <f>9.979331359</f>
        <v>9.9793313589999997</v>
      </c>
      <c r="CA190">
        <f>10.23040272</f>
        <v>10.230402720000001</v>
      </c>
      <c r="CB190">
        <f>10.97140508</f>
        <v>10.97140508</v>
      </c>
      <c r="CC190">
        <f>10.15089593</f>
        <v>10.150895930000001</v>
      </c>
      <c r="CD190">
        <f>10.69302249</f>
        <v>10.693022490000001</v>
      </c>
      <c r="CE190">
        <f>10.33236415</f>
        <v>10.33236415</v>
      </c>
      <c r="CF190">
        <f>11.13217651</f>
        <v>11.132176510000001</v>
      </c>
      <c r="CG190">
        <f>10.97776965</f>
        <v>10.977769650000001</v>
      </c>
      <c r="CH190">
        <f>9.861169589</f>
        <v>9.8611695889999993</v>
      </c>
      <c r="CI190">
        <f>8.882438258</f>
        <v>8.8824382580000005</v>
      </c>
      <c r="CJ190">
        <f>9.208357817</f>
        <v>9.2083578169999996</v>
      </c>
      <c r="CK190">
        <f>9.029174392</f>
        <v>9.0291743919999998</v>
      </c>
      <c r="CL190">
        <f>8.395513674</f>
        <v>8.395513674</v>
      </c>
      <c r="CM190">
        <f>7.840058622</f>
        <v>7.8400586219999999</v>
      </c>
      <c r="CN190">
        <f>7.538554022</f>
        <v>7.5385540219999996</v>
      </c>
      <c r="CO190">
        <f>7.383312456</f>
        <v>7.3833124559999996</v>
      </c>
      <c r="CP190">
        <f>7.944083314</f>
        <v>7.9440833140000002</v>
      </c>
      <c r="CQ190">
        <f>7.509831019</f>
        <v>7.5098310189999999</v>
      </c>
      <c r="CR190">
        <f>7.930553005</f>
        <v>7.9305530050000002</v>
      </c>
      <c r="CS190">
        <f>7.127670155</f>
        <v>7.1276701549999997</v>
      </c>
      <c r="CT190">
        <f>8.71170661</f>
        <v>8.7117066100000002</v>
      </c>
      <c r="CU190">
        <f>8.681498283</f>
        <v>8.6814982829999998</v>
      </c>
      <c r="CV190">
        <f>9.808035733</f>
        <v>9.8080357330000005</v>
      </c>
      <c r="CW190">
        <f>9.347411474</f>
        <v>9.3474114739999994</v>
      </c>
      <c r="CX190">
        <f>9.473063111</f>
        <v>9.4730631110000001</v>
      </c>
      <c r="CY190">
        <f>8.512400565</f>
        <v>8.5124005650000001</v>
      </c>
      <c r="CZ190">
        <f>8.296254004</f>
        <v>8.2962540039999997</v>
      </c>
      <c r="DA190">
        <f>8.290312583</f>
        <v>8.2903125830000004</v>
      </c>
      <c r="DB190">
        <f>8.572192895</f>
        <v>8.5721928950000006</v>
      </c>
      <c r="DC190">
        <f>8.635085147</f>
        <v>8.6350851469999998</v>
      </c>
      <c r="DD190">
        <f>8.145854928</f>
        <v>8.1458549280000003</v>
      </c>
      <c r="DE190">
        <f>8.687328639</f>
        <v>8.6873286390000004</v>
      </c>
      <c r="DF190">
        <f>8.616493261</f>
        <v>8.6164932610000005</v>
      </c>
      <c r="DG190">
        <f>7.593483915</f>
        <v>7.5934839150000002</v>
      </c>
      <c r="DH190">
        <f>7.686411251</f>
        <v>7.686411251</v>
      </c>
      <c r="DI190">
        <f>7.10668992</f>
        <v>7.10668992</v>
      </c>
      <c r="DJ190">
        <f>5.422611881</f>
        <v>5.4226118809999999</v>
      </c>
      <c r="DK190">
        <f>4.983794462</f>
        <v>4.9837944619999996</v>
      </c>
      <c r="DL190">
        <f>5.434588461</f>
        <v>5.4345884609999997</v>
      </c>
      <c r="DM190">
        <f>4.870517312</f>
        <v>4.8705173119999996</v>
      </c>
      <c r="DN190">
        <f>4.620627904</f>
        <v>4.620627904</v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>
        <f>3.987636439</f>
        <v>3.9876364390000001</v>
      </c>
    </row>
    <row r="191" spans="1:125">
      <c r="A191" t="str">
        <f>"    Sabra Health Care REIT Inc"</f>
        <v xml:space="preserve">    Sabra Health Care REIT Inc</v>
      </c>
      <c r="B191" t="str">
        <f>"SBRA US Equity"</f>
        <v>SBRA US Equity</v>
      </c>
      <c r="C191" t="str">
        <f t="shared" si="45"/>
        <v>RR554</v>
      </c>
      <c r="D191" t="str">
        <f t="shared" si="46"/>
        <v>FFO_RE_ASSET</v>
      </c>
      <c r="E191" t="str">
        <f t="shared" si="47"/>
        <v>动态</v>
      </c>
      <c r="F191" t="str">
        <f ca="1">IF(AND(ISNUMBER($F$432),$B$258=1),$F$432,HLOOKUP(INDIRECT(ADDRESS(2,COLUMN())),OFFSET($BN$2,0,0,ROW()-1,60),ROW()-1,FALSE))</f>
        <v/>
      </c>
      <c r="G191">
        <f ca="1">IF(AND(ISNUMBER($G$432),$B$258=1),$G$432,HLOOKUP(INDIRECT(ADDRESS(2,COLUMN())),OFFSET($BN$2,0,0,ROW()-1,60),ROW()-1,FALSE))</f>
        <v>5.2789906909999997</v>
      </c>
      <c r="H191">
        <f ca="1">IF(AND(ISNUMBER($H$432),$B$258=1),$H$432,HLOOKUP(INDIRECT(ADDRESS(2,COLUMN())),OFFSET($BN$2,0,0,ROW()-1,60),ROW()-1,FALSE))</f>
        <v>3.6416143719999998</v>
      </c>
      <c r="I191">
        <f ca="1">IF(AND(ISNUMBER($I$432),$B$258=1),$I$432,HLOOKUP(INDIRECT(ADDRESS(2,COLUMN())),OFFSET($BN$2,0,0,ROW()-1,60),ROW()-1,FALSE))</f>
        <v>7.4633929710000002</v>
      </c>
      <c r="J191">
        <f ca="1">IF(AND(ISNUMBER($J$432),$B$258=1),$J$432,HLOOKUP(INDIRECT(ADDRESS(2,COLUMN())),OFFSET($BN$2,0,0,ROW()-1,60),ROW()-1,FALSE))</f>
        <v>8.4715618789999994</v>
      </c>
      <c r="K191">
        <f ca="1">IF(AND(ISNUMBER($K$432),$B$258=1),$K$432,HLOOKUP(INDIRECT(ADDRESS(2,COLUMN())),OFFSET($BN$2,0,0,ROW()-1,60),ROW()-1,FALSE))</f>
        <v>8.1213367890000008</v>
      </c>
      <c r="L191">
        <f ca="1">IF(AND(ISNUMBER($L$432),$B$258=1),$L$432,HLOOKUP(INDIRECT(ADDRESS(2,COLUMN())),OFFSET($BN$2,0,0,ROW()-1,60),ROW()-1,FALSE))</f>
        <v>8.1714430500000006</v>
      </c>
      <c r="M191">
        <f ca="1">IF(AND(ISNUMBER($M$432),$B$258=1),$M$432,HLOOKUP(INDIRECT(ADDRESS(2,COLUMN())),OFFSET($BN$2,0,0,ROW()-1,60),ROW()-1,FALSE))</f>
        <v>8.3072001600000007</v>
      </c>
      <c r="N191">
        <f ca="1">IF(AND(ISNUMBER($N$432),$B$258=1),$N$432,HLOOKUP(INDIRECT(ADDRESS(2,COLUMN())),OFFSET($BN$2,0,0,ROW()-1,60),ROW()-1,FALSE))</f>
        <v>7.6074658089999998</v>
      </c>
      <c r="O191">
        <f ca="1">IF(AND(ISNUMBER($O$432),$B$258=1),$O$432,HLOOKUP(INDIRECT(ADDRESS(2,COLUMN())),OFFSET($BN$2,0,0,ROW()-1,60),ROW()-1,FALSE))</f>
        <v>7.1856648129999998</v>
      </c>
      <c r="P191">
        <f ca="1">IF(AND(ISNUMBER($P$432),$B$258=1),$P$432,HLOOKUP(INDIRECT(ADDRESS(2,COLUMN())),OFFSET($BN$2,0,0,ROW()-1,60),ROW()-1,FALSE))</f>
        <v>6.998310161</v>
      </c>
      <c r="Q191">
        <f ca="1">IF(AND(ISNUMBER($Q$432),$B$258=1),$Q$432,HLOOKUP(INDIRECT(ADDRESS(2,COLUMN())),OFFSET($BN$2,0,0,ROW()-1,60),ROW()-1,FALSE))</f>
        <v>7.5911496520000004</v>
      </c>
      <c r="R191">
        <f ca="1">IF(AND(ISNUMBER($R$432),$B$258=1),$R$432,HLOOKUP(INDIRECT(ADDRESS(2,COLUMN())),OFFSET($BN$2,0,0,ROW()-1,60),ROW()-1,FALSE))</f>
        <v>8.1133630019999998</v>
      </c>
      <c r="S191">
        <f ca="1">IF(AND(ISNUMBER($S$432),$B$258=1),$S$432,HLOOKUP(INDIRECT(ADDRESS(2,COLUMN())),OFFSET($BN$2,0,0,ROW()-1,60),ROW()-1,FALSE))</f>
        <v>5.9446600319999998</v>
      </c>
      <c r="T191">
        <f ca="1">IF(AND(ISNUMBER($T$432),$B$258=1),$T$432,HLOOKUP(INDIRECT(ADDRESS(2,COLUMN())),OFFSET($BN$2,0,0,ROW()-1,60),ROW()-1,FALSE))</f>
        <v>5.4578284520000002</v>
      </c>
      <c r="U191">
        <f ca="1">IF(AND(ISNUMBER($U$432),$B$258=1),$U$432,HLOOKUP(INDIRECT(ADDRESS(2,COLUMN())),OFFSET($BN$2,0,0,ROW()-1,60),ROW()-1,FALSE))</f>
        <v>6.2557052989999997</v>
      </c>
      <c r="V191">
        <f ca="1">IF(AND(ISNUMBER($V$432),$B$258=1),$V$432,HLOOKUP(INDIRECT(ADDRESS(2,COLUMN())),OFFSET($BN$2,0,0,ROW()-1,60),ROW()-1,FALSE))</f>
        <v>4.4566014569999997</v>
      </c>
      <c r="W191">
        <f ca="1">IF(AND(ISNUMBER($W$432),$B$258=1),$W$432,HLOOKUP(INDIRECT(ADDRESS(2,COLUMN())),OFFSET($BN$2,0,0,ROW()-1,60),ROW()-1,FALSE))</f>
        <v>6.7287141579999998</v>
      </c>
      <c r="X191">
        <f ca="1">IF(AND(ISNUMBER($X$432),$B$258=1),$X$432,HLOOKUP(INDIRECT(ADDRESS(2,COLUMN())),OFFSET($BN$2,0,0,ROW()-1,60),ROW()-1,FALSE))</f>
        <v>7.0520804630000002</v>
      </c>
      <c r="Y191">
        <f ca="1">IF(AND(ISNUMBER($Y$432),$B$258=1),$Y$432,HLOOKUP(INDIRECT(ADDRESS(2,COLUMN())),OFFSET($BN$2,0,0,ROW()-1,60),ROW()-1,FALSE))</f>
        <v>6.5450328080000002</v>
      </c>
      <c r="Z191">
        <f ca="1">IF(AND(ISNUMBER($Z$432),$B$258=1),$Z$432,HLOOKUP(INDIRECT(ADDRESS(2,COLUMN())),OFFSET($BN$2,0,0,ROW()-1,60),ROW()-1,FALSE))</f>
        <v>7.7414829080000001</v>
      </c>
      <c r="AA191">
        <f ca="1">IF(AND(ISNUMBER($AA$432),$B$258=1),$AA$432,HLOOKUP(INDIRECT(ADDRESS(2,COLUMN())),OFFSET($BN$2,0,0,ROW()-1,60),ROW()-1,FALSE))</f>
        <v>6.979096899</v>
      </c>
      <c r="AB191">
        <f ca="1">IF(AND(ISNUMBER($AB$432),$B$258=1),$AB$432,HLOOKUP(INDIRECT(ADDRESS(2,COLUMN())),OFFSET($BN$2,0,0,ROW()-1,60),ROW()-1,FALSE))</f>
        <v>7.5870375929999998</v>
      </c>
      <c r="AC191">
        <f ca="1">IF(AND(ISNUMBER($AC$432),$B$258=1),$AC$432,HLOOKUP(INDIRECT(ADDRESS(2,COLUMN())),OFFSET($BN$2,0,0,ROW()-1,60),ROW()-1,FALSE))</f>
        <v>7.8812860139999996</v>
      </c>
      <c r="AD191">
        <f ca="1">IF(AND(ISNUMBER($AD$432),$B$258=1),$AD$432,HLOOKUP(INDIRECT(ADDRESS(2,COLUMN())),OFFSET($BN$2,0,0,ROW()-1,60),ROW()-1,FALSE))</f>
        <v>7.5734511700000002</v>
      </c>
      <c r="AE191" t="str">
        <f ca="1">IF(AND(ISNUMBER($AE$432),$B$258=1),$AE$432,HLOOKUP(INDIRECT(ADDRESS(2,COLUMN())),OFFSET($BN$2,0,0,ROW()-1,60),ROW()-1,FALSE))</f>
        <v/>
      </c>
      <c r="AF191" t="str">
        <f ca="1">IF(AND(ISNUMBER($AF$432),$B$258=1),$AF$432,HLOOKUP(INDIRECT(ADDRESS(2,COLUMN())),OFFSET($BN$2,0,0,ROW()-1,60),ROW()-1,FALSE))</f>
        <v/>
      </c>
      <c r="AG191" t="str">
        <f ca="1">IF(AND(ISNUMBER($AG$432),$B$258=1),$AG$432,HLOOKUP(INDIRECT(ADDRESS(2,COLUMN())),OFFSET($BN$2,0,0,ROW()-1,60),ROW()-1,FALSE))</f>
        <v/>
      </c>
      <c r="AH191" t="str">
        <f ca="1">IF(AND(ISNUMBER($AH$432),$B$258=1),$AH$432,HLOOKUP(INDIRECT(ADDRESS(2,COLUMN())),OFFSET($BN$2,0,0,ROW()-1,60),ROW()-1,FALSE))</f>
        <v/>
      </c>
      <c r="AI191" t="str">
        <f ca="1">IF(AND(ISNUMBER($AI$432),$B$258=1),$AI$432,HLOOKUP(INDIRECT(ADDRESS(2,COLUMN())),OFFSET($BN$2,0,0,ROW()-1,60),ROW()-1,FALSE))</f>
        <v/>
      </c>
      <c r="AJ191" t="str">
        <f ca="1">IF(AND(ISNUMBER($AJ$432),$B$258=1),$AJ$432,HLOOKUP(INDIRECT(ADDRESS(2,COLUMN())),OFFSET($BN$2,0,0,ROW()-1,60),ROW()-1,FALSE))</f>
        <v/>
      </c>
      <c r="AK191" t="str">
        <f ca="1">IF(AND(ISNUMBER($AK$432),$B$258=1),$AK$432,HLOOKUP(INDIRECT(ADDRESS(2,COLUMN())),OFFSET($BN$2,0,0,ROW()-1,60),ROW()-1,FALSE))</f>
        <v/>
      </c>
      <c r="AL191" t="str">
        <f ca="1">IF(AND(ISNUMBER($AL$432),$B$258=1),$AL$432,HLOOKUP(INDIRECT(ADDRESS(2,COLUMN())),OFFSET($BN$2,0,0,ROW()-1,60),ROW()-1,FALSE))</f>
        <v/>
      </c>
      <c r="AM191" t="str">
        <f ca="1">IF(AND(ISNUMBER($AM$432),$B$258=1),$AM$432,HLOOKUP(INDIRECT(ADDRESS(2,COLUMN())),OFFSET($BN$2,0,0,ROW()-1,60),ROW()-1,FALSE))</f>
        <v/>
      </c>
      <c r="AN191" t="str">
        <f ca="1">IF(AND(ISNUMBER($AN$432),$B$258=1),$AN$432,HLOOKUP(INDIRECT(ADDRESS(2,COLUMN())),OFFSET($BN$2,0,0,ROW()-1,60),ROW()-1,FALSE))</f>
        <v/>
      </c>
      <c r="AO191" t="str">
        <f ca="1">IF(AND(ISNUMBER($AO$432),$B$258=1),$AO$432,HLOOKUP(INDIRECT(ADDRESS(2,COLUMN())),OFFSET($BN$2,0,0,ROW()-1,60),ROW()-1,FALSE))</f>
        <v/>
      </c>
      <c r="AP191" t="str">
        <f ca="1">IF(AND(ISNUMBER($AP$432),$B$258=1),$AP$432,HLOOKUP(INDIRECT(ADDRESS(2,COLUMN())),OFFSET($BN$2,0,0,ROW()-1,60),ROW()-1,FALSE))</f>
        <v/>
      </c>
      <c r="AQ191" t="str">
        <f ca="1">IF(AND(ISNUMBER($AQ$432),$B$258=1),$AQ$432,HLOOKUP(INDIRECT(ADDRESS(2,COLUMN())),OFFSET($BN$2,0,0,ROW()-1,60),ROW()-1,FALSE))</f>
        <v/>
      </c>
      <c r="AR191" t="str">
        <f ca="1">IF(AND(ISNUMBER($AR$432),$B$258=1),$AR$432,HLOOKUP(INDIRECT(ADDRESS(2,COLUMN())),OFFSET($BN$2,0,0,ROW()-1,60),ROW()-1,FALSE))</f>
        <v/>
      </c>
      <c r="AS191" t="str">
        <f ca="1">IF(AND(ISNUMBER($AS$432),$B$258=1),$AS$432,HLOOKUP(INDIRECT(ADDRESS(2,COLUMN())),OFFSET($BN$2,0,0,ROW()-1,60),ROW()-1,FALSE))</f>
        <v/>
      </c>
      <c r="AT191" t="str">
        <f ca="1">IF(AND(ISNUMBER($AT$432),$B$258=1),$AT$432,HLOOKUP(INDIRECT(ADDRESS(2,COLUMN())),OFFSET($BN$2,0,0,ROW()-1,60),ROW()-1,FALSE))</f>
        <v/>
      </c>
      <c r="AU191" t="str">
        <f ca="1">IF(AND(ISNUMBER($AU$432),$B$258=1),$AU$432,HLOOKUP(INDIRECT(ADDRESS(2,COLUMN())),OFFSET($BN$2,0,0,ROW()-1,60),ROW()-1,FALSE))</f>
        <v/>
      </c>
      <c r="AV191" t="str">
        <f ca="1">IF(AND(ISNUMBER($AV$432),$B$258=1),$AV$432,HLOOKUP(INDIRECT(ADDRESS(2,COLUMN())),OFFSET($BN$2,0,0,ROW()-1,60),ROW()-1,FALSE))</f>
        <v/>
      </c>
      <c r="AW191" t="str">
        <f ca="1">IF(AND(ISNUMBER($AW$432),$B$258=1),$AW$432,HLOOKUP(INDIRECT(ADDRESS(2,COLUMN())),OFFSET($BN$2,0,0,ROW()-1,60),ROW()-1,FALSE))</f>
        <v/>
      </c>
      <c r="AX191" t="str">
        <f ca="1">IF(AND(ISNUMBER($AX$432),$B$258=1),$AX$432,HLOOKUP(INDIRECT(ADDRESS(2,COLUMN())),OFFSET($BN$2,0,0,ROW()-1,60),ROW()-1,FALSE))</f>
        <v/>
      </c>
      <c r="AY191" t="str">
        <f ca="1">IF(AND(ISNUMBER($AY$432),$B$258=1),$AY$432,HLOOKUP(INDIRECT(ADDRESS(2,COLUMN())),OFFSET($BN$2,0,0,ROW()-1,60),ROW()-1,FALSE))</f>
        <v/>
      </c>
      <c r="AZ191" t="str">
        <f ca="1">IF(AND(ISNUMBER($AZ$432),$B$258=1),$AZ$432,HLOOKUP(INDIRECT(ADDRESS(2,COLUMN())),OFFSET($BN$2,0,0,ROW()-1,60),ROW()-1,FALSE))</f>
        <v/>
      </c>
      <c r="BA191" t="str">
        <f ca="1">IF(AND(ISNUMBER($BA$432),$B$258=1),$BA$432,HLOOKUP(INDIRECT(ADDRESS(2,COLUMN())),OFFSET($BN$2,0,0,ROW()-1,60),ROW()-1,FALSE))</f>
        <v/>
      </c>
      <c r="BB191" t="str">
        <f ca="1">IF(AND(ISNUMBER($BB$432),$B$258=1),$BB$432,HLOOKUP(INDIRECT(ADDRESS(2,COLUMN())),OFFSET($BN$2,0,0,ROW()-1,60),ROW()-1,FALSE))</f>
        <v/>
      </c>
      <c r="BC191" t="str">
        <f ca="1">IF(AND(ISNUMBER($BC$432),$B$258=1),$BC$432,HLOOKUP(INDIRECT(ADDRESS(2,COLUMN())),OFFSET($BN$2,0,0,ROW()-1,60),ROW()-1,FALSE))</f>
        <v/>
      </c>
      <c r="BD191" t="str">
        <f ca="1">IF(AND(ISNUMBER($BD$432),$B$258=1),$BD$432,HLOOKUP(INDIRECT(ADDRESS(2,COLUMN())),OFFSET($BN$2,0,0,ROW()-1,60),ROW()-1,FALSE))</f>
        <v/>
      </c>
      <c r="BE191" t="str">
        <f ca="1">IF(AND(ISNUMBER($BE$432),$B$258=1),$BE$432,HLOOKUP(INDIRECT(ADDRESS(2,COLUMN())),OFFSET($BN$2,0,0,ROW()-1,60),ROW()-1,FALSE))</f>
        <v/>
      </c>
      <c r="BF191" t="str">
        <f ca="1">IF(AND(ISNUMBER($BF$432),$B$258=1),$BF$432,HLOOKUP(INDIRECT(ADDRESS(2,COLUMN())),OFFSET($BN$2,0,0,ROW()-1,60),ROW()-1,FALSE))</f>
        <v/>
      </c>
      <c r="BG191" t="str">
        <f ca="1">IF(AND(ISNUMBER($BG$432),$B$258=1),$BG$432,HLOOKUP(INDIRECT(ADDRESS(2,COLUMN())),OFFSET($BN$2,0,0,ROW()-1,60),ROW()-1,FALSE))</f>
        <v/>
      </c>
      <c r="BH191" t="str">
        <f ca="1">IF(AND(ISNUMBER($BH$432),$B$258=1),$BH$432,HLOOKUP(INDIRECT(ADDRESS(2,COLUMN())),OFFSET($BN$2,0,0,ROW()-1,60),ROW()-1,FALSE))</f>
        <v/>
      </c>
      <c r="BI191" t="str">
        <f ca="1">IF(AND(ISNUMBER($BI$432),$B$258=1),$BI$432,HLOOKUP(INDIRECT(ADDRESS(2,COLUMN())),OFFSET($BN$2,0,0,ROW()-1,60),ROW()-1,FALSE))</f>
        <v/>
      </c>
      <c r="BJ191" t="str">
        <f ca="1">IF(AND(ISNUMBER($BJ$432),$B$258=1),$BJ$432,HLOOKUP(INDIRECT(ADDRESS(2,COLUMN())),OFFSET($BN$2,0,0,ROW()-1,60),ROW()-1,FALSE))</f>
        <v/>
      </c>
      <c r="BK191" t="str">
        <f ca="1">IF(AND(ISNUMBER($BK$432),$B$258=1),$BK$432,HLOOKUP(INDIRECT(ADDRESS(2,COLUMN())),OFFSET($BN$2,0,0,ROW()-1,60),ROW()-1,FALSE))</f>
        <v/>
      </c>
      <c r="BL191" t="str">
        <f ca="1">IF(AND(ISNUMBER($BL$432),$B$258=1),$BL$432,HLOOKUP(INDIRECT(ADDRESS(2,COLUMN())),OFFSET($BN$2,0,0,ROW()-1,60),ROW()-1,FALSE))</f>
        <v/>
      </c>
      <c r="BM191" t="str">
        <f ca="1">IF(AND(ISNUMBER($BM$432),$B$258=1),$BM$432,HLOOKUP(INDIRECT(ADDRESS(2,COLUMN())),OFFSET($BN$2,0,0,ROW()-1,60),ROW()-1,FALSE))</f>
        <v/>
      </c>
      <c r="BN191" t="str">
        <f>""</f>
        <v/>
      </c>
      <c r="BO191">
        <f>5.278990691</f>
        <v>5.2789906909999997</v>
      </c>
      <c r="BP191">
        <f>3.641614372</f>
        <v>3.6416143719999998</v>
      </c>
      <c r="BQ191">
        <f>7.463392971</f>
        <v>7.4633929710000002</v>
      </c>
      <c r="BR191">
        <f>8.471561879</f>
        <v>8.4715618789999994</v>
      </c>
      <c r="BS191">
        <f>8.121336789</f>
        <v>8.1213367890000008</v>
      </c>
      <c r="BT191">
        <f>8.17144305</f>
        <v>8.1714430500000006</v>
      </c>
      <c r="BU191">
        <f>8.30720016</f>
        <v>8.3072001600000007</v>
      </c>
      <c r="BV191">
        <f>7.607465809</f>
        <v>7.6074658089999998</v>
      </c>
      <c r="BW191">
        <f>7.185664813</f>
        <v>7.1856648129999998</v>
      </c>
      <c r="BX191">
        <f>6.998310161</f>
        <v>6.998310161</v>
      </c>
      <c r="BY191">
        <f>7.591149652</f>
        <v>7.5911496520000004</v>
      </c>
      <c r="BZ191">
        <f>8.113363002</f>
        <v>8.1133630019999998</v>
      </c>
      <c r="CA191">
        <f>5.944660032</f>
        <v>5.9446600319999998</v>
      </c>
      <c r="CB191">
        <f>5.457828452</f>
        <v>5.4578284520000002</v>
      </c>
      <c r="CC191">
        <f>6.255705299</f>
        <v>6.2557052989999997</v>
      </c>
      <c r="CD191">
        <f>4.456601457</f>
        <v>4.4566014569999997</v>
      </c>
      <c r="CE191">
        <f>6.728714158</f>
        <v>6.7287141579999998</v>
      </c>
      <c r="CF191">
        <f>7.052080463</f>
        <v>7.0520804630000002</v>
      </c>
      <c r="CG191">
        <f>6.545032808</f>
        <v>6.5450328080000002</v>
      </c>
      <c r="CH191">
        <f>7.741482908</f>
        <v>7.7414829080000001</v>
      </c>
      <c r="CI191">
        <f>6.979096899</f>
        <v>6.979096899</v>
      </c>
      <c r="CJ191">
        <f>7.587037593</f>
        <v>7.5870375929999998</v>
      </c>
      <c r="CK191">
        <f>7.881286014</f>
        <v>7.8812860139999996</v>
      </c>
      <c r="CL191">
        <f>7.57345117</f>
        <v>7.5734511700000002</v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>
      <c r="A192" t="str">
        <f>"    Senior Housing Properties Trus"</f>
        <v xml:space="preserve">    Senior Housing Properties Trus</v>
      </c>
      <c r="B192" t="str">
        <f>"SNH US Equity"</f>
        <v>SNH US Equity</v>
      </c>
      <c r="C192" t="str">
        <f t="shared" si="45"/>
        <v>RR554</v>
      </c>
      <c r="D192" t="str">
        <f t="shared" si="46"/>
        <v>FFO_RE_ASSET</v>
      </c>
      <c r="E192" t="str">
        <f t="shared" si="47"/>
        <v>动态</v>
      </c>
      <c r="F192" t="str">
        <f ca="1">IF(AND(ISNUMBER($F$433),$B$258=1),$F$433,HLOOKUP(INDIRECT(ADDRESS(2,COLUMN())),OFFSET($BN$2,0,0,ROW()-1,60),ROW()-1,FALSE))</f>
        <v/>
      </c>
      <c r="G192">
        <f ca="1">IF(AND(ISNUMBER($G$433),$B$258=1),$G$433,HLOOKUP(INDIRECT(ADDRESS(2,COLUMN())),OFFSET($BN$2,0,0,ROW()-1,60),ROW()-1,FALSE))</f>
        <v>5.7737771860000002</v>
      </c>
      <c r="H192">
        <f ca="1">IF(AND(ISNUMBER($H$433),$B$258=1),$H$433,HLOOKUP(INDIRECT(ADDRESS(2,COLUMN())),OFFSET($BN$2,0,0,ROW()-1,60),ROW()-1,FALSE))</f>
        <v>6.3315671870000001</v>
      </c>
      <c r="I192">
        <f ca="1">IF(AND(ISNUMBER($I$433),$B$258=1),$I$433,HLOOKUP(INDIRECT(ADDRESS(2,COLUMN())),OFFSET($BN$2,0,0,ROW()-1,60),ROW()-1,FALSE))</f>
        <v>6.4524601830000003</v>
      </c>
      <c r="J192">
        <f ca="1">IF(AND(ISNUMBER($J$433),$B$258=1),$J$433,HLOOKUP(INDIRECT(ADDRESS(2,COLUMN())),OFFSET($BN$2,0,0,ROW()-1,60),ROW()-1,FALSE))</f>
        <v>6.9159507869999999</v>
      </c>
      <c r="K192">
        <f ca="1">IF(AND(ISNUMBER($K$433),$B$258=1),$K$433,HLOOKUP(INDIRECT(ADDRESS(2,COLUMN())),OFFSET($BN$2,0,0,ROW()-1,60),ROW()-1,FALSE))</f>
        <v>7.0121823790000004</v>
      </c>
      <c r="L192">
        <f ca="1">IF(AND(ISNUMBER($L$433),$B$258=1),$L$433,HLOOKUP(INDIRECT(ADDRESS(2,COLUMN())),OFFSET($BN$2,0,0,ROW()-1,60),ROW()-1,FALSE))</f>
        <v>6.4064057610000003</v>
      </c>
      <c r="M192">
        <f ca="1">IF(AND(ISNUMBER($M$433),$B$258=1),$M$433,HLOOKUP(INDIRECT(ADDRESS(2,COLUMN())),OFFSET($BN$2,0,0,ROW()-1,60),ROW()-1,FALSE))</f>
        <v>6.4489521639999996</v>
      </c>
      <c r="N192">
        <f ca="1">IF(AND(ISNUMBER($N$433),$B$258=1),$N$433,HLOOKUP(INDIRECT(ADDRESS(2,COLUMN())),OFFSET($BN$2,0,0,ROW()-1,60),ROW()-1,FALSE))</f>
        <v>6.6541241360000001</v>
      </c>
      <c r="O192">
        <f ca="1">IF(AND(ISNUMBER($O$433),$B$258=1),$O$433,HLOOKUP(INDIRECT(ADDRESS(2,COLUMN())),OFFSET($BN$2,0,0,ROW()-1,60),ROW()-1,FALSE))</f>
        <v>6.6193049220000004</v>
      </c>
      <c r="P192">
        <f ca="1">IF(AND(ISNUMBER($P$433),$B$258=1),$P$433,HLOOKUP(INDIRECT(ADDRESS(2,COLUMN())),OFFSET($BN$2,0,0,ROW()-1,60),ROW()-1,FALSE))</f>
        <v>6.8777993139999998</v>
      </c>
      <c r="Q192">
        <f ca="1">IF(AND(ISNUMBER($Q$433),$B$258=1),$Q$433,HLOOKUP(INDIRECT(ADDRESS(2,COLUMN())),OFFSET($BN$2,0,0,ROW()-1,60),ROW()-1,FALSE))</f>
        <v>6.5064278040000003</v>
      </c>
      <c r="R192">
        <f ca="1">IF(AND(ISNUMBER($R$433),$B$258=1),$R$433,HLOOKUP(INDIRECT(ADDRESS(2,COLUMN())),OFFSET($BN$2,0,0,ROW()-1,60),ROW()-1,FALSE))</f>
        <v>7.1046717719999997</v>
      </c>
      <c r="S192">
        <f ca="1">IF(AND(ISNUMBER($S$433),$B$258=1),$S$433,HLOOKUP(INDIRECT(ADDRESS(2,COLUMN())),OFFSET($BN$2,0,0,ROW()-1,60),ROW()-1,FALSE))</f>
        <v>7.0914245420000004</v>
      </c>
      <c r="T192">
        <f ca="1">IF(AND(ISNUMBER($T$433),$B$258=1),$T$433,HLOOKUP(INDIRECT(ADDRESS(2,COLUMN())),OFFSET($BN$2,0,0,ROW()-1,60),ROW()-1,FALSE))</f>
        <v>6.9092305510000003</v>
      </c>
      <c r="U192">
        <f ca="1">IF(AND(ISNUMBER($U$433),$B$258=1),$U$433,HLOOKUP(INDIRECT(ADDRESS(2,COLUMN())),OFFSET($BN$2,0,0,ROW()-1,60),ROW()-1,FALSE))</f>
        <v>6.6548909480000003</v>
      </c>
      <c r="V192">
        <f ca="1">IF(AND(ISNUMBER($V$433),$B$258=1),$V$433,HLOOKUP(INDIRECT(ADDRESS(2,COLUMN())),OFFSET($BN$2,0,0,ROW()-1,60),ROW()-1,FALSE))</f>
        <v>7.1063007909999998</v>
      </c>
      <c r="W192">
        <f ca="1">IF(AND(ISNUMBER($W$433),$B$258=1),$W$433,HLOOKUP(INDIRECT(ADDRESS(2,COLUMN())),OFFSET($BN$2,0,0,ROW()-1,60),ROW()-1,FALSE))</f>
        <v>7.1769575650000004</v>
      </c>
      <c r="X192">
        <f ca="1">IF(AND(ISNUMBER($X$433),$B$258=1),$X$433,HLOOKUP(INDIRECT(ADDRESS(2,COLUMN())),OFFSET($BN$2,0,0,ROW()-1,60),ROW()-1,FALSE))</f>
        <v>7.0362202270000003</v>
      </c>
      <c r="Y192">
        <f ca="1">IF(AND(ISNUMBER($Y$433),$B$258=1),$Y$433,HLOOKUP(INDIRECT(ADDRESS(2,COLUMN())),OFFSET($BN$2,0,0,ROW()-1,60),ROW()-1,FALSE))</f>
        <v>6.872414526</v>
      </c>
      <c r="Z192">
        <f ca="1">IF(AND(ISNUMBER($Z$433),$B$258=1),$Z$433,HLOOKUP(INDIRECT(ADDRESS(2,COLUMN())),OFFSET($BN$2,0,0,ROW()-1,60),ROW()-1,FALSE))</f>
        <v>6.6672056819999996</v>
      </c>
      <c r="AA192">
        <f ca="1">IF(AND(ISNUMBER($AA$433),$B$258=1),$AA$433,HLOOKUP(INDIRECT(ADDRESS(2,COLUMN())),OFFSET($BN$2,0,0,ROW()-1,60),ROW()-1,FALSE))</f>
        <v>6.6517528869999998</v>
      </c>
      <c r="AB192">
        <f ca="1">IF(AND(ISNUMBER($AB$433),$B$258=1),$AB$433,HLOOKUP(INDIRECT(ADDRESS(2,COLUMN())),OFFSET($BN$2,0,0,ROW()-1,60),ROW()-1,FALSE))</f>
        <v>6.6432337559999999</v>
      </c>
      <c r="AC192">
        <f ca="1">IF(AND(ISNUMBER($AC$433),$B$258=1),$AC$433,HLOOKUP(INDIRECT(ADDRESS(2,COLUMN())),OFFSET($BN$2,0,0,ROW()-1,60),ROW()-1,FALSE))</f>
        <v>6.9650120480000002</v>
      </c>
      <c r="AD192">
        <f ca="1">IF(AND(ISNUMBER($AD$433),$B$258=1),$AD$433,HLOOKUP(INDIRECT(ADDRESS(2,COLUMN())),OFFSET($BN$2,0,0,ROW()-1,60),ROW()-1,FALSE))</f>
        <v>6.8896980760000002</v>
      </c>
      <c r="AE192">
        <f ca="1">IF(AND(ISNUMBER($AE$433),$B$258=1),$AE$433,HLOOKUP(INDIRECT(ADDRESS(2,COLUMN())),OFFSET($BN$2,0,0,ROW()-1,60),ROW()-1,FALSE))</f>
        <v>6.6744376150000004</v>
      </c>
      <c r="AF192">
        <f ca="1">IF(AND(ISNUMBER($AF$433),$B$258=1),$AF$433,HLOOKUP(INDIRECT(ADDRESS(2,COLUMN())),OFFSET($BN$2,0,0,ROW()-1,60),ROW()-1,FALSE))</f>
        <v>7.1750435899999996</v>
      </c>
      <c r="AG192">
        <f ca="1">IF(AND(ISNUMBER($AG$433),$B$258=1),$AG$433,HLOOKUP(INDIRECT(ADDRESS(2,COLUMN())),OFFSET($BN$2,0,0,ROW()-1,60),ROW()-1,FALSE))</f>
        <v>7.2461881369999999</v>
      </c>
      <c r="AH192">
        <f ca="1">IF(AND(ISNUMBER($AH$433),$B$258=1),$AH$433,HLOOKUP(INDIRECT(ADDRESS(2,COLUMN())),OFFSET($BN$2,0,0,ROW()-1,60),ROW()-1,FALSE))</f>
        <v>7.3741562289999996</v>
      </c>
      <c r="AI192">
        <f ca="1">IF(AND(ISNUMBER($AI$433),$B$258=1),$AI$433,HLOOKUP(INDIRECT(ADDRESS(2,COLUMN())),OFFSET($BN$2,0,0,ROW()-1,60),ROW()-1,FALSE))</f>
        <v>7.3476638320000003</v>
      </c>
      <c r="AJ192">
        <f ca="1">IF(AND(ISNUMBER($AJ$433),$B$258=1),$AJ$433,HLOOKUP(INDIRECT(ADDRESS(2,COLUMN())),OFFSET($BN$2,0,0,ROW()-1,60),ROW()-1,FALSE))</f>
        <v>7.6041330550000001</v>
      </c>
      <c r="AK192">
        <f ca="1">IF(AND(ISNUMBER($AK$433),$B$258=1),$AK$433,HLOOKUP(INDIRECT(ADDRESS(2,COLUMN())),OFFSET($BN$2,0,0,ROW()-1,60),ROW()-1,FALSE))</f>
        <v>7.8746285909999996</v>
      </c>
      <c r="AL192">
        <f ca="1">IF(AND(ISNUMBER($AL$433),$B$258=1),$AL$433,HLOOKUP(INDIRECT(ADDRESS(2,COLUMN())),OFFSET($BN$2,0,0,ROW()-1,60),ROW()-1,FALSE))</f>
        <v>7.9199818329999996</v>
      </c>
      <c r="AM192">
        <f ca="1">IF(AND(ISNUMBER($AM$433),$B$258=1),$AM$433,HLOOKUP(INDIRECT(ADDRESS(2,COLUMN())),OFFSET($BN$2,0,0,ROW()-1,60),ROW()-1,FALSE))</f>
        <v>7.8175538600000003</v>
      </c>
      <c r="AN192">
        <f ca="1">IF(AND(ISNUMBER($AN$433),$B$258=1),$AN$433,HLOOKUP(INDIRECT(ADDRESS(2,COLUMN())),OFFSET($BN$2,0,0,ROW()-1,60),ROW()-1,FALSE))</f>
        <v>8.0534782499999995</v>
      </c>
      <c r="AO192">
        <f ca="1">IF(AND(ISNUMBER($AO$433),$B$258=1),$AO$433,HLOOKUP(INDIRECT(ADDRESS(2,COLUMN())),OFFSET($BN$2,0,0,ROW()-1,60),ROW()-1,FALSE))</f>
        <v>9.0423394699999999</v>
      </c>
      <c r="AP192">
        <f ca="1">IF(AND(ISNUMBER($AP$433),$B$258=1),$AP$433,HLOOKUP(INDIRECT(ADDRESS(2,COLUMN())),OFFSET($BN$2,0,0,ROW()-1,60),ROW()-1,FALSE))</f>
        <v>8.7380447080000003</v>
      </c>
      <c r="AQ192">
        <f ca="1">IF(AND(ISNUMBER($AQ$433),$B$258=1),$AQ$433,HLOOKUP(INDIRECT(ADDRESS(2,COLUMN())),OFFSET($BN$2,0,0,ROW()-1,60),ROW()-1,FALSE))</f>
        <v>8.6795058249999997</v>
      </c>
      <c r="AR192">
        <f ca="1">IF(AND(ISNUMBER($AR$433),$B$258=1),$AR$433,HLOOKUP(INDIRECT(ADDRESS(2,COLUMN())),OFFSET($BN$2,0,0,ROW()-1,60),ROW()-1,FALSE))</f>
        <v>8.4789413870000008</v>
      </c>
      <c r="AS192">
        <f ca="1">IF(AND(ISNUMBER($AS$433),$B$258=1),$AS$433,HLOOKUP(INDIRECT(ADDRESS(2,COLUMN())),OFFSET($BN$2,0,0,ROW()-1,60),ROW()-1,FALSE))</f>
        <v>8.522170998</v>
      </c>
      <c r="AT192">
        <f ca="1">IF(AND(ISNUMBER($AT$433),$B$258=1),$AT$433,HLOOKUP(INDIRECT(ADDRESS(2,COLUMN())),OFFSET($BN$2,0,0,ROW()-1,60),ROW()-1,FALSE))</f>
        <v>8.2641513510000006</v>
      </c>
      <c r="AU192">
        <f ca="1">IF(AND(ISNUMBER($AU$433),$B$258=1),$AU$433,HLOOKUP(INDIRECT(ADDRESS(2,COLUMN())),OFFSET($BN$2,0,0,ROW()-1,60),ROW()-1,FALSE))</f>
        <v>8.5193356260000002</v>
      </c>
      <c r="AV192">
        <f ca="1">IF(AND(ISNUMBER($AV$433),$B$258=1),$AV$433,HLOOKUP(INDIRECT(ADDRESS(2,COLUMN())),OFFSET($BN$2,0,0,ROW()-1,60),ROW()-1,FALSE))</f>
        <v>8.8312049160000008</v>
      </c>
      <c r="AW192">
        <f ca="1">IF(AND(ISNUMBER($AW$433),$B$258=1),$AW$433,HLOOKUP(INDIRECT(ADDRESS(2,COLUMN())),OFFSET($BN$2,0,0,ROW()-1,60),ROW()-1,FALSE))</f>
        <v>8.5773005819999995</v>
      </c>
      <c r="AX192">
        <f ca="1">IF(AND(ISNUMBER($AX$433),$B$258=1),$AX$433,HLOOKUP(INDIRECT(ADDRESS(2,COLUMN())),OFFSET($BN$2,0,0,ROW()-1,60),ROW()-1,FALSE))</f>
        <v>8.1592914650000008</v>
      </c>
      <c r="AY192">
        <f ca="1">IF(AND(ISNUMBER($AY$433),$B$258=1),$AY$433,HLOOKUP(INDIRECT(ADDRESS(2,COLUMN())),OFFSET($BN$2,0,0,ROW()-1,60),ROW()-1,FALSE))</f>
        <v>7.638688116</v>
      </c>
      <c r="AZ192">
        <f ca="1">IF(AND(ISNUMBER($AZ$433),$B$258=1),$AZ$433,HLOOKUP(INDIRECT(ADDRESS(2,COLUMN())),OFFSET($BN$2,0,0,ROW()-1,60),ROW()-1,FALSE))</f>
        <v>7.2567318070000004</v>
      </c>
      <c r="BA192">
        <f ca="1">IF(AND(ISNUMBER($BA$433),$B$258=1),$BA$433,HLOOKUP(INDIRECT(ADDRESS(2,COLUMN())),OFFSET($BN$2,0,0,ROW()-1,60),ROW()-1,FALSE))</f>
        <v>7.8906529540000001</v>
      </c>
      <c r="BB192">
        <f ca="1">IF(AND(ISNUMBER($BB$433),$B$258=1),$BB$433,HLOOKUP(INDIRECT(ADDRESS(2,COLUMN())),OFFSET($BN$2,0,0,ROW()-1,60),ROW()-1,FALSE))</f>
        <v>7.8646168989999996</v>
      </c>
      <c r="BC192">
        <f ca="1">IF(AND(ISNUMBER($BC$433),$B$258=1),$BC$433,HLOOKUP(INDIRECT(ADDRESS(2,COLUMN())),OFFSET($BN$2,0,0,ROW()-1,60),ROW()-1,FALSE))</f>
        <v>7.9639632149999997</v>
      </c>
      <c r="BD192">
        <f ca="1">IF(AND(ISNUMBER($BD$433),$B$258=1),$BD$433,HLOOKUP(INDIRECT(ADDRESS(2,COLUMN())),OFFSET($BN$2,0,0,ROW()-1,60),ROW()-1,FALSE))</f>
        <v>8.3859716730000002</v>
      </c>
      <c r="BE192">
        <f ca="1">IF(AND(ISNUMBER($BE$433),$B$258=1),$BE$433,HLOOKUP(INDIRECT(ADDRESS(2,COLUMN())),OFFSET($BN$2,0,0,ROW()-1,60),ROW()-1,FALSE))</f>
        <v>7.3449183739999997</v>
      </c>
      <c r="BF192">
        <f ca="1">IF(AND(ISNUMBER($BF$433),$B$258=1),$BF$433,HLOOKUP(INDIRECT(ADDRESS(2,COLUMN())),OFFSET($BN$2,0,0,ROW()-1,60),ROW()-1,FALSE))</f>
        <v>7.2396792230000004</v>
      </c>
      <c r="BG192">
        <f ca="1">IF(AND(ISNUMBER($BG$433),$B$258=1),$BG$433,HLOOKUP(INDIRECT(ADDRESS(2,COLUMN())),OFFSET($BN$2,0,0,ROW()-1,60),ROW()-1,FALSE))</f>
        <v>7.1308707800000004</v>
      </c>
      <c r="BH192">
        <f ca="1">IF(AND(ISNUMBER($BH$433),$B$258=1),$BH$433,HLOOKUP(INDIRECT(ADDRESS(2,COLUMN())),OFFSET($BN$2,0,0,ROW()-1,60),ROW()-1,FALSE))</f>
        <v>7.4523170009999999</v>
      </c>
      <c r="BI192" t="str">
        <f ca="1">IF(AND(ISNUMBER($BI$433),$B$258=1),$BI$433,HLOOKUP(INDIRECT(ADDRESS(2,COLUMN())),OFFSET($BN$2,0,0,ROW()-1,60),ROW()-1,FALSE))</f>
        <v/>
      </c>
      <c r="BJ192" t="str">
        <f ca="1">IF(AND(ISNUMBER($BJ$433),$B$258=1),$BJ$433,HLOOKUP(INDIRECT(ADDRESS(2,COLUMN())),OFFSET($BN$2,0,0,ROW()-1,60),ROW()-1,FALSE))</f>
        <v/>
      </c>
      <c r="BK192" t="str">
        <f ca="1">IF(AND(ISNUMBER($BK$433),$B$258=1),$BK$433,HLOOKUP(INDIRECT(ADDRESS(2,COLUMN())),OFFSET($BN$2,0,0,ROW()-1,60),ROW()-1,FALSE))</f>
        <v/>
      </c>
      <c r="BL192" t="str">
        <f ca="1">IF(AND(ISNUMBER($BL$433),$B$258=1),$BL$433,HLOOKUP(INDIRECT(ADDRESS(2,COLUMN())),OFFSET($BN$2,0,0,ROW()-1,60),ROW()-1,FALSE))</f>
        <v/>
      </c>
      <c r="BM192" t="str">
        <f ca="1">IF(AND(ISNUMBER($BM$433),$B$258=1),$BM$433,HLOOKUP(INDIRECT(ADDRESS(2,COLUMN())),OFFSET($BN$2,0,0,ROW()-1,60),ROW()-1,FALSE))</f>
        <v/>
      </c>
      <c r="BN192" t="str">
        <f>""</f>
        <v/>
      </c>
      <c r="BO192">
        <f>5.773777186</f>
        <v>5.7737771860000002</v>
      </c>
      <c r="BP192">
        <f>6.331567187</f>
        <v>6.3315671870000001</v>
      </c>
      <c r="BQ192">
        <f>6.452460183</f>
        <v>6.4524601830000003</v>
      </c>
      <c r="BR192">
        <f>6.915950787</f>
        <v>6.9159507869999999</v>
      </c>
      <c r="BS192">
        <f>7.012182379</f>
        <v>7.0121823790000004</v>
      </c>
      <c r="BT192">
        <f>6.406405761</f>
        <v>6.4064057610000003</v>
      </c>
      <c r="BU192">
        <f>6.448952164</f>
        <v>6.4489521639999996</v>
      </c>
      <c r="BV192">
        <f>6.654124136</f>
        <v>6.6541241360000001</v>
      </c>
      <c r="BW192">
        <f>6.619304922</f>
        <v>6.6193049220000004</v>
      </c>
      <c r="BX192">
        <f>6.877799314</f>
        <v>6.8777993139999998</v>
      </c>
      <c r="BY192">
        <f>6.506427804</f>
        <v>6.5064278040000003</v>
      </c>
      <c r="BZ192">
        <f>7.104671772</f>
        <v>7.1046717719999997</v>
      </c>
      <c r="CA192">
        <f>7.091424542</f>
        <v>7.0914245420000004</v>
      </c>
      <c r="CB192">
        <f>6.909230551</f>
        <v>6.9092305510000003</v>
      </c>
      <c r="CC192">
        <f>6.654890948</f>
        <v>6.6548909480000003</v>
      </c>
      <c r="CD192">
        <f>7.106300791</f>
        <v>7.1063007909999998</v>
      </c>
      <c r="CE192">
        <f>7.176957565</f>
        <v>7.1769575650000004</v>
      </c>
      <c r="CF192">
        <f>7.036220227</f>
        <v>7.0362202270000003</v>
      </c>
      <c r="CG192">
        <f>6.872414526</f>
        <v>6.872414526</v>
      </c>
      <c r="CH192">
        <f>6.667205682</f>
        <v>6.6672056819999996</v>
      </c>
      <c r="CI192">
        <f>6.651752887</f>
        <v>6.6517528869999998</v>
      </c>
      <c r="CJ192">
        <f>6.643233756</f>
        <v>6.6432337559999999</v>
      </c>
      <c r="CK192">
        <f>6.965012048</f>
        <v>6.9650120480000002</v>
      </c>
      <c r="CL192">
        <f>6.889698076</f>
        <v>6.8896980760000002</v>
      </c>
      <c r="CM192">
        <f>6.674437615</f>
        <v>6.6744376150000004</v>
      </c>
      <c r="CN192">
        <f>7.17504359</f>
        <v>7.1750435899999996</v>
      </c>
      <c r="CO192">
        <f>7.246188137</f>
        <v>7.2461881369999999</v>
      </c>
      <c r="CP192">
        <f>7.374156229</f>
        <v>7.3741562289999996</v>
      </c>
      <c r="CQ192">
        <f>7.347663832</f>
        <v>7.3476638320000003</v>
      </c>
      <c r="CR192">
        <f>7.604133055</f>
        <v>7.6041330550000001</v>
      </c>
      <c r="CS192">
        <f>7.874628591</f>
        <v>7.8746285909999996</v>
      </c>
      <c r="CT192">
        <f>7.919981833</f>
        <v>7.9199818329999996</v>
      </c>
      <c r="CU192">
        <f>7.81755386</f>
        <v>7.8175538600000003</v>
      </c>
      <c r="CV192">
        <f>8.05347825</f>
        <v>8.0534782499999995</v>
      </c>
      <c r="CW192">
        <f>9.04233947</f>
        <v>9.0423394699999999</v>
      </c>
      <c r="CX192">
        <f>8.738044708</f>
        <v>8.7380447080000003</v>
      </c>
      <c r="CY192">
        <f>8.679505825</f>
        <v>8.6795058249999997</v>
      </c>
      <c r="CZ192">
        <f>8.478941387</f>
        <v>8.4789413870000008</v>
      </c>
      <c r="DA192">
        <f>8.522170998</f>
        <v>8.522170998</v>
      </c>
      <c r="DB192">
        <f>8.264151351</f>
        <v>8.2641513510000006</v>
      </c>
      <c r="DC192">
        <f>8.519335626</f>
        <v>8.5193356260000002</v>
      </c>
      <c r="DD192">
        <f>8.831204916</f>
        <v>8.8312049160000008</v>
      </c>
      <c r="DE192">
        <f>8.577300582</f>
        <v>8.5773005819999995</v>
      </c>
      <c r="DF192">
        <f>8.159291465</f>
        <v>8.1592914650000008</v>
      </c>
      <c r="DG192">
        <f>7.638688116</f>
        <v>7.638688116</v>
      </c>
      <c r="DH192">
        <f>7.256731807</f>
        <v>7.2567318070000004</v>
      </c>
      <c r="DI192">
        <f>7.890652954</f>
        <v>7.8906529540000001</v>
      </c>
      <c r="DJ192">
        <f>7.864616899</f>
        <v>7.8646168989999996</v>
      </c>
      <c r="DK192">
        <f>7.963963215</f>
        <v>7.9639632149999997</v>
      </c>
      <c r="DL192">
        <f>8.385971673</f>
        <v>8.3859716730000002</v>
      </c>
      <c r="DM192">
        <f>7.344918374</f>
        <v>7.3449183739999997</v>
      </c>
      <c r="DN192">
        <f>7.239679223</f>
        <v>7.2396792230000004</v>
      </c>
      <c r="DO192">
        <f>7.13087078</f>
        <v>7.1308707800000004</v>
      </c>
      <c r="DP192">
        <f>7.452317001</f>
        <v>7.4523170009999999</v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1:125">
      <c r="A193" t="str">
        <f>"    Ventas Inc"</f>
        <v xml:space="preserve">    Ventas Inc</v>
      </c>
      <c r="B193" t="str">
        <f>"VTR US Equity"</f>
        <v>VTR US Equity</v>
      </c>
      <c r="C193" t="str">
        <f t="shared" si="45"/>
        <v>RR554</v>
      </c>
      <c r="D193" t="str">
        <f t="shared" si="46"/>
        <v>FFO_RE_ASSET</v>
      </c>
      <c r="E193" t="str">
        <f t="shared" si="47"/>
        <v>动态</v>
      </c>
      <c r="F193" t="str">
        <f ca="1">IF(AND(ISNUMBER($F$434),$B$258=1),$F$434,HLOOKUP(INDIRECT(ADDRESS(2,COLUMN())),OFFSET($BN$2,0,0,ROW()-1,60),ROW()-1,FALSE))</f>
        <v/>
      </c>
      <c r="G193">
        <f ca="1">IF(AND(ISNUMBER($G$434),$B$258=1),$G$434,HLOOKUP(INDIRECT(ADDRESS(2,COLUMN())),OFFSET($BN$2,0,0,ROW()-1,60),ROW()-1,FALSE))</f>
        <v>6.9958262769999999</v>
      </c>
      <c r="H193">
        <f ca="1">IF(AND(ISNUMBER($H$434),$B$258=1),$H$434,HLOOKUP(INDIRECT(ADDRESS(2,COLUMN())),OFFSET($BN$2,0,0,ROW()-1,60),ROW()-1,FALSE))</f>
        <v>6.7953211119999999</v>
      </c>
      <c r="I193">
        <f ca="1">IF(AND(ISNUMBER($I$434),$B$258=1),$I$434,HLOOKUP(INDIRECT(ADDRESS(2,COLUMN())),OFFSET($BN$2,0,0,ROW()-1,60),ROW()-1,FALSE))</f>
        <v>6.9221560259999997</v>
      </c>
      <c r="J193">
        <f ca="1">IF(AND(ISNUMBER($J$434),$B$258=1),$J$434,HLOOKUP(INDIRECT(ADDRESS(2,COLUMN())),OFFSET($BN$2,0,0,ROW()-1,60),ROW()-1,FALSE))</f>
        <v>6.7893854859999996</v>
      </c>
      <c r="K193">
        <f ca="1">IF(AND(ISNUMBER($K$434),$B$258=1),$K$434,HLOOKUP(INDIRECT(ADDRESS(2,COLUMN())),OFFSET($BN$2,0,0,ROW()-1,60),ROW()-1,FALSE))</f>
        <v>6.8973840180000003</v>
      </c>
      <c r="L193">
        <f ca="1">IF(AND(ISNUMBER($L$434),$B$258=1),$L$434,HLOOKUP(INDIRECT(ADDRESS(2,COLUMN())),OFFSET($BN$2,0,0,ROW()-1,60),ROW()-1,FALSE))</f>
        <v>6.7675300280000004</v>
      </c>
      <c r="M193">
        <f ca="1">IF(AND(ISNUMBER($M$434),$B$258=1),$M$434,HLOOKUP(INDIRECT(ADDRESS(2,COLUMN())),OFFSET($BN$2,0,0,ROW()-1,60),ROW()-1,FALSE))</f>
        <v>6.2589174449999998</v>
      </c>
      <c r="N193">
        <f ca="1">IF(AND(ISNUMBER($N$434),$B$258=1),$N$434,HLOOKUP(INDIRECT(ADDRESS(2,COLUMN())),OFFSET($BN$2,0,0,ROW()-1,60),ROW()-1,FALSE))</f>
        <v>6.3570228980000003</v>
      </c>
      <c r="O193">
        <f ca="1">IF(AND(ISNUMBER($O$434),$B$258=1),$O$434,HLOOKUP(INDIRECT(ADDRESS(2,COLUMN())),OFFSET($BN$2,0,0,ROW()-1,60),ROW()-1,FALSE))</f>
        <v>7.1401756150000004</v>
      </c>
      <c r="P193">
        <f ca="1">IF(AND(ISNUMBER($P$434),$B$258=1),$P$434,HLOOKUP(INDIRECT(ADDRESS(2,COLUMN())),OFFSET($BN$2,0,0,ROW()-1,60),ROW()-1,FALSE))</f>
        <v>6.752929483</v>
      </c>
      <c r="Q193">
        <f ca="1">IF(AND(ISNUMBER($Q$434),$B$258=1),$Q$434,HLOOKUP(INDIRECT(ADDRESS(2,COLUMN())),OFFSET($BN$2,0,0,ROW()-1,60),ROW()-1,FALSE))</f>
        <v>6.8715284179999996</v>
      </c>
      <c r="R193">
        <f ca="1">IF(AND(ISNUMBER($R$434),$B$258=1),$R$434,HLOOKUP(INDIRECT(ADDRESS(2,COLUMN())),OFFSET($BN$2,0,0,ROW()-1,60),ROW()-1,FALSE))</f>
        <v>6.4758483929999997</v>
      </c>
      <c r="S193">
        <f ca="1">IF(AND(ISNUMBER($S$434),$B$258=1),$S$434,HLOOKUP(INDIRECT(ADDRESS(2,COLUMN())),OFFSET($BN$2,0,0,ROW()-1,60),ROW()-1,FALSE))</f>
        <v>7.0347268669999998</v>
      </c>
      <c r="T193">
        <f ca="1">IF(AND(ISNUMBER($T$434),$B$258=1),$T$434,HLOOKUP(INDIRECT(ADDRESS(2,COLUMN())),OFFSET($BN$2,0,0,ROW()-1,60),ROW()-1,FALSE))</f>
        <v>6.4835529510000001</v>
      </c>
      <c r="U193">
        <f ca="1">IF(AND(ISNUMBER($U$434),$B$258=1),$U$434,HLOOKUP(INDIRECT(ADDRESS(2,COLUMN())),OFFSET($BN$2,0,0,ROW()-1,60),ROW()-1,FALSE))</f>
        <v>6.8401649820000001</v>
      </c>
      <c r="V193">
        <f ca="1">IF(AND(ISNUMBER($V$434),$B$258=1),$V$434,HLOOKUP(INDIRECT(ADDRESS(2,COLUMN())),OFFSET($BN$2,0,0,ROW()-1,60),ROW()-1,FALSE))</f>
        <v>6.7672173290000002</v>
      </c>
      <c r="W193">
        <f ca="1">IF(AND(ISNUMBER($W$434),$B$258=1),$W$434,HLOOKUP(INDIRECT(ADDRESS(2,COLUMN())),OFFSET($BN$2,0,0,ROW()-1,60),ROW()-1,FALSE))</f>
        <v>6.6425408819999996</v>
      </c>
      <c r="X193">
        <f ca="1">IF(AND(ISNUMBER($X$434),$B$258=1),$X$434,HLOOKUP(INDIRECT(ADDRESS(2,COLUMN())),OFFSET($BN$2,0,0,ROW()-1,60),ROW()-1,FALSE))</f>
        <v>6.6162388400000003</v>
      </c>
      <c r="Y193">
        <f ca="1">IF(AND(ISNUMBER($Y$434),$B$258=1),$Y$434,HLOOKUP(INDIRECT(ADDRESS(2,COLUMN())),OFFSET($BN$2,0,0,ROW()-1,60),ROW()-1,FALSE))</f>
        <v>6.7554956180000003</v>
      </c>
      <c r="Z193">
        <f ca="1">IF(AND(ISNUMBER($Z$434),$B$258=1),$Z$434,HLOOKUP(INDIRECT(ADDRESS(2,COLUMN())),OFFSET($BN$2,0,0,ROW()-1,60),ROW()-1,FALSE))</f>
        <v>6.5669058280000003</v>
      </c>
      <c r="AA193">
        <f ca="1">IF(AND(ISNUMBER($AA$434),$B$258=1),$AA$434,HLOOKUP(INDIRECT(ADDRESS(2,COLUMN())),OFFSET($BN$2,0,0,ROW()-1,60),ROW()-1,FALSE))</f>
        <v>6.0138544390000002</v>
      </c>
      <c r="AB193">
        <f ca="1">IF(AND(ISNUMBER($AB$434),$B$258=1),$AB$434,HLOOKUP(INDIRECT(ADDRESS(2,COLUMN())),OFFSET($BN$2,0,0,ROW()-1,60),ROW()-1,FALSE))</f>
        <v>6.5367949520000002</v>
      </c>
      <c r="AC193">
        <f ca="1">IF(AND(ISNUMBER($AC$434),$B$258=1),$AC$434,HLOOKUP(INDIRECT(ADDRESS(2,COLUMN())),OFFSET($BN$2,0,0,ROW()-1,60),ROW()-1,FALSE))</f>
        <v>8.1768906000000001</v>
      </c>
      <c r="AD193">
        <f ca="1">IF(AND(ISNUMBER($AD$434),$B$258=1),$AD$434,HLOOKUP(INDIRECT(ADDRESS(2,COLUMN())),OFFSET($BN$2,0,0,ROW()-1,60),ROW()-1,FALSE))</f>
        <v>8.7461609629999995</v>
      </c>
      <c r="AE193">
        <f ca="1">IF(AND(ISNUMBER($AE$434),$B$258=1),$AE$434,HLOOKUP(INDIRECT(ADDRESS(2,COLUMN())),OFFSET($BN$2,0,0,ROW()-1,60),ROW()-1,FALSE))</f>
        <v>7.6108269679999996</v>
      </c>
      <c r="AF193">
        <f ca="1">IF(AND(ISNUMBER($AF$434),$B$258=1),$AF$434,HLOOKUP(INDIRECT(ADDRESS(2,COLUMN())),OFFSET($BN$2,0,0,ROW()-1,60),ROW()-1,FALSE))</f>
        <v>5.2493675199999998</v>
      </c>
      <c r="AG193">
        <f ca="1">IF(AND(ISNUMBER($AG$434),$B$258=1),$AG$434,HLOOKUP(INDIRECT(ADDRESS(2,COLUMN())),OFFSET($BN$2,0,0,ROW()-1,60),ROW()-1,FALSE))</f>
        <v>5.820407661</v>
      </c>
      <c r="AH193">
        <f ca="1">IF(AND(ISNUMBER($AH$434),$B$258=1),$AH$434,HLOOKUP(INDIRECT(ADDRESS(2,COLUMN())),OFFSET($BN$2,0,0,ROW()-1,60),ROW()-1,FALSE))</f>
        <v>7.9085782330000001</v>
      </c>
      <c r="AI193">
        <f ca="1">IF(AND(ISNUMBER($AI$434),$B$258=1),$AI$434,HLOOKUP(INDIRECT(ADDRESS(2,COLUMN())),OFFSET($BN$2,0,0,ROW()-1,60),ROW()-1,FALSE))</f>
        <v>7.8748574979999999</v>
      </c>
      <c r="AJ193">
        <f ca="1">IF(AND(ISNUMBER($AJ$434),$B$258=1),$AJ$434,HLOOKUP(INDIRECT(ADDRESS(2,COLUMN())),OFFSET($BN$2,0,0,ROW()-1,60),ROW()-1,FALSE))</f>
        <v>7.8283981210000002</v>
      </c>
      <c r="AK193">
        <f ca="1">IF(AND(ISNUMBER($AK$434),$B$258=1),$AK$434,HLOOKUP(INDIRECT(ADDRESS(2,COLUMN())),OFFSET($BN$2,0,0,ROW()-1,60),ROW()-1,FALSE))</f>
        <v>7.832272949</v>
      </c>
      <c r="AL193">
        <f ca="1">IF(AND(ISNUMBER($AL$434),$B$258=1),$AL$434,HLOOKUP(INDIRECT(ADDRESS(2,COLUMN())),OFFSET($BN$2,0,0,ROW()-1,60),ROW()-1,FALSE))</f>
        <v>7.6707613229999998</v>
      </c>
      <c r="AM193">
        <f ca="1">IF(AND(ISNUMBER($AM$434),$B$258=1),$AM$434,HLOOKUP(INDIRECT(ADDRESS(2,COLUMN())),OFFSET($BN$2,0,0,ROW()-1,60),ROW()-1,FALSE))</f>
        <v>7.4528886480000001</v>
      </c>
      <c r="AN193">
        <f ca="1">IF(AND(ISNUMBER($AN$434),$B$258=1),$AN$434,HLOOKUP(INDIRECT(ADDRESS(2,COLUMN())),OFFSET($BN$2,0,0,ROW()-1,60),ROW()-1,FALSE))</f>
        <v>7.2729859640000001</v>
      </c>
      <c r="AO193">
        <f ca="1">IF(AND(ISNUMBER($AO$434),$B$258=1),$AO$434,HLOOKUP(INDIRECT(ADDRESS(2,COLUMN())),OFFSET($BN$2,0,0,ROW()-1,60),ROW()-1,FALSE))</f>
        <v>7.5008724080000002</v>
      </c>
      <c r="AP193">
        <f ca="1">IF(AND(ISNUMBER($AP$434),$B$258=1),$AP$434,HLOOKUP(INDIRECT(ADDRESS(2,COLUMN())),OFFSET($BN$2,0,0,ROW()-1,60),ROW()-1,FALSE))</f>
        <v>7.6057143710000004</v>
      </c>
      <c r="AQ193">
        <f ca="1">IF(AND(ISNUMBER($AQ$434),$B$258=1),$AQ$434,HLOOKUP(INDIRECT(ADDRESS(2,COLUMN())),OFFSET($BN$2,0,0,ROW()-1,60),ROW()-1,FALSE))</f>
        <v>7.641667032</v>
      </c>
      <c r="AR193">
        <f ca="1">IF(AND(ISNUMBER($AR$434),$B$258=1),$AR$434,HLOOKUP(INDIRECT(ADDRESS(2,COLUMN())),OFFSET($BN$2,0,0,ROW()-1,60),ROW()-1,FALSE))</f>
        <v>7.6736675559999998</v>
      </c>
      <c r="AS193">
        <f ca="1">IF(AND(ISNUMBER($AS$434),$B$258=1),$AS$434,HLOOKUP(INDIRECT(ADDRESS(2,COLUMN())),OFFSET($BN$2,0,0,ROW()-1,60),ROW()-1,FALSE))</f>
        <v>7.3568596270000004</v>
      </c>
      <c r="AT193">
        <f ca="1">IF(AND(ISNUMBER($AT$434),$B$258=1),$AT$434,HLOOKUP(INDIRECT(ADDRESS(2,COLUMN())),OFFSET($BN$2,0,0,ROW()-1,60),ROW()-1,FALSE))</f>
        <v>9.5652219980000002</v>
      </c>
      <c r="AU193">
        <f ca="1">IF(AND(ISNUMBER($AU$434),$B$258=1),$AU$434,HLOOKUP(INDIRECT(ADDRESS(2,COLUMN())),OFFSET($BN$2,0,0,ROW()-1,60),ROW()-1,FALSE))</f>
        <v>8.9217916200000005</v>
      </c>
      <c r="AV193">
        <f ca="1">IF(AND(ISNUMBER($AV$434),$B$258=1),$AV$434,HLOOKUP(INDIRECT(ADDRESS(2,COLUMN())),OFFSET($BN$2,0,0,ROW()-1,60),ROW()-1,FALSE))</f>
        <v>8.6782756289999998</v>
      </c>
      <c r="AW193">
        <f ca="1">IF(AND(ISNUMBER($AW$434),$B$258=1),$AW$434,HLOOKUP(INDIRECT(ADDRESS(2,COLUMN())),OFFSET($BN$2,0,0,ROW()-1,60),ROW()-1,FALSE))</f>
        <v>7.9297587180000004</v>
      </c>
      <c r="AX193">
        <f ca="1">IF(AND(ISNUMBER($AX$434),$B$258=1),$AX$434,HLOOKUP(INDIRECT(ADDRESS(2,COLUMN())),OFFSET($BN$2,0,0,ROW()-1,60),ROW()-1,FALSE))</f>
        <v>9.3858403270000004</v>
      </c>
      <c r="AY193">
        <f ca="1">IF(AND(ISNUMBER($AY$434),$B$258=1),$AY$434,HLOOKUP(INDIRECT(ADDRESS(2,COLUMN())),OFFSET($BN$2,0,0,ROW()-1,60),ROW()-1,FALSE))</f>
        <v>8.6926590029999993</v>
      </c>
      <c r="AZ193">
        <f ca="1">IF(AND(ISNUMBER($AZ$434),$B$258=1),$AZ$434,HLOOKUP(INDIRECT(ADDRESS(2,COLUMN())),OFFSET($BN$2,0,0,ROW()-1,60),ROW()-1,FALSE))</f>
        <v>9.4900122870000008</v>
      </c>
      <c r="BA193">
        <f ca="1">IF(AND(ISNUMBER($BA$434),$B$258=1),$BA$434,HLOOKUP(INDIRECT(ADDRESS(2,COLUMN())),OFFSET($BN$2,0,0,ROW()-1,60),ROW()-1,FALSE))</f>
        <v>9.7594438159999992</v>
      </c>
      <c r="BB193">
        <f ca="1">IF(AND(ISNUMBER($BB$434),$B$258=1),$BB$434,HLOOKUP(INDIRECT(ADDRESS(2,COLUMN())),OFFSET($BN$2,0,0,ROW()-1,60),ROW()-1,FALSE))</f>
        <v>12.509844810000001</v>
      </c>
      <c r="BC193">
        <f ca="1">IF(AND(ISNUMBER($BC$434),$B$258=1),$BC$434,HLOOKUP(INDIRECT(ADDRESS(2,COLUMN())),OFFSET($BN$2,0,0,ROW()-1,60),ROW()-1,FALSE))</f>
        <v>11.83257147</v>
      </c>
      <c r="BD193">
        <f ca="1">IF(AND(ISNUMBER($BD$434),$B$258=1),$BD$434,HLOOKUP(INDIRECT(ADDRESS(2,COLUMN())),OFFSET($BN$2,0,0,ROW()-1,60),ROW()-1,FALSE))</f>
        <v>10.142732479999999</v>
      </c>
      <c r="BE193">
        <f ca="1">IF(AND(ISNUMBER($BE$434),$B$258=1),$BE$434,HLOOKUP(INDIRECT(ADDRESS(2,COLUMN())),OFFSET($BN$2,0,0,ROW()-1,60),ROW()-1,FALSE))</f>
        <v>9.5331196330000001</v>
      </c>
      <c r="BF193">
        <f ca="1">IF(AND(ISNUMBER($BF$434),$B$258=1),$BF$434,HLOOKUP(INDIRECT(ADDRESS(2,COLUMN())),OFFSET($BN$2,0,0,ROW()-1,60),ROW()-1,FALSE))</f>
        <v>14.97634165</v>
      </c>
      <c r="BG193">
        <f ca="1">IF(AND(ISNUMBER($BG$434),$B$258=1),$BG$434,HLOOKUP(INDIRECT(ADDRESS(2,COLUMN())),OFFSET($BN$2,0,0,ROW()-1,60),ROW()-1,FALSE))</f>
        <v>16.965475340000001</v>
      </c>
      <c r="BH193">
        <f ca="1">IF(AND(ISNUMBER($BH$434),$B$258=1),$BH$434,HLOOKUP(INDIRECT(ADDRESS(2,COLUMN())),OFFSET($BN$2,0,0,ROW()-1,60),ROW()-1,FALSE))</f>
        <v>15.974674739999999</v>
      </c>
      <c r="BI193">
        <f ca="1">IF(AND(ISNUMBER($BI$434),$B$258=1),$BI$434,HLOOKUP(INDIRECT(ADDRESS(2,COLUMN())),OFFSET($BN$2,0,0,ROW()-1,60),ROW()-1,FALSE))</f>
        <v>16.16924753</v>
      </c>
      <c r="BJ193">
        <f ca="1">IF(AND(ISNUMBER($BJ$434),$B$258=1),$BJ$434,HLOOKUP(INDIRECT(ADDRESS(2,COLUMN())),OFFSET($BN$2,0,0,ROW()-1,60),ROW()-1,FALSE))</f>
        <v>15.421810430000001</v>
      </c>
      <c r="BK193">
        <f ca="1">IF(AND(ISNUMBER($BK$434),$B$258=1),$BK$434,HLOOKUP(INDIRECT(ADDRESS(2,COLUMN())),OFFSET($BN$2,0,0,ROW()-1,60),ROW()-1,FALSE))</f>
        <v>19.791234599999999</v>
      </c>
      <c r="BL193">
        <f ca="1">IF(AND(ISNUMBER($BL$434),$B$258=1),$BL$434,HLOOKUP(INDIRECT(ADDRESS(2,COLUMN())),OFFSET($BN$2,0,0,ROW()-1,60),ROW()-1,FALSE))</f>
        <v>18.757964390000001</v>
      </c>
      <c r="BM193">
        <f ca="1">IF(AND(ISNUMBER($BM$434),$B$258=1),$BM$434,HLOOKUP(INDIRECT(ADDRESS(2,COLUMN())),OFFSET($BN$2,0,0,ROW()-1,60),ROW()-1,FALSE))</f>
        <v>16.603822640000001</v>
      </c>
      <c r="BN193" t="str">
        <f>""</f>
        <v/>
      </c>
      <c r="BO193">
        <f>6.995826277</f>
        <v>6.9958262769999999</v>
      </c>
      <c r="BP193">
        <f>6.795321112</f>
        <v>6.7953211119999999</v>
      </c>
      <c r="BQ193">
        <f>6.922156026</f>
        <v>6.9221560259999997</v>
      </c>
      <c r="BR193">
        <f>6.789385486</f>
        <v>6.7893854859999996</v>
      </c>
      <c r="BS193">
        <f>6.897384018</f>
        <v>6.8973840180000003</v>
      </c>
      <c r="BT193">
        <f>6.767530028</f>
        <v>6.7675300280000004</v>
      </c>
      <c r="BU193">
        <f>6.258917445</f>
        <v>6.2589174449999998</v>
      </c>
      <c r="BV193">
        <f>6.357022898</f>
        <v>6.3570228980000003</v>
      </c>
      <c r="BW193">
        <f>7.140175615</f>
        <v>7.1401756150000004</v>
      </c>
      <c r="BX193">
        <f>6.752929483</f>
        <v>6.752929483</v>
      </c>
      <c r="BY193">
        <f>6.871528418</f>
        <v>6.8715284179999996</v>
      </c>
      <c r="BZ193">
        <f>6.475848393</f>
        <v>6.4758483929999997</v>
      </c>
      <c r="CA193">
        <f>7.034726867</f>
        <v>7.0347268669999998</v>
      </c>
      <c r="CB193">
        <f>6.483552951</f>
        <v>6.4835529510000001</v>
      </c>
      <c r="CC193">
        <f>6.840164982</f>
        <v>6.8401649820000001</v>
      </c>
      <c r="CD193">
        <f>6.767217329</f>
        <v>6.7672173290000002</v>
      </c>
      <c r="CE193">
        <f>6.642540882</f>
        <v>6.6425408819999996</v>
      </c>
      <c r="CF193">
        <f>6.61623884</f>
        <v>6.6162388400000003</v>
      </c>
      <c r="CG193">
        <f>6.755495618</f>
        <v>6.7554956180000003</v>
      </c>
      <c r="CH193">
        <f>6.566905828</f>
        <v>6.5669058280000003</v>
      </c>
      <c r="CI193">
        <f>6.013854439</f>
        <v>6.0138544390000002</v>
      </c>
      <c r="CJ193">
        <f>6.536794952</f>
        <v>6.5367949520000002</v>
      </c>
      <c r="CK193">
        <f>8.1768906</f>
        <v>8.1768906000000001</v>
      </c>
      <c r="CL193">
        <f>8.746160963</f>
        <v>8.7461609629999995</v>
      </c>
      <c r="CM193">
        <f>7.610826968</f>
        <v>7.6108269679999996</v>
      </c>
      <c r="CN193">
        <f>5.24936752</f>
        <v>5.2493675199999998</v>
      </c>
      <c r="CO193">
        <f>5.820407661</f>
        <v>5.820407661</v>
      </c>
      <c r="CP193">
        <f>7.908578233</f>
        <v>7.9085782330000001</v>
      </c>
      <c r="CQ193">
        <f>7.874857498</f>
        <v>7.8748574979999999</v>
      </c>
      <c r="CR193">
        <f>7.828398121</f>
        <v>7.8283981210000002</v>
      </c>
      <c r="CS193">
        <f>7.832272949</f>
        <v>7.832272949</v>
      </c>
      <c r="CT193">
        <f>7.670761323</f>
        <v>7.6707613229999998</v>
      </c>
      <c r="CU193">
        <f>7.452888648</f>
        <v>7.4528886480000001</v>
      </c>
      <c r="CV193">
        <f>7.272985964</f>
        <v>7.2729859640000001</v>
      </c>
      <c r="CW193">
        <f>7.500872408</f>
        <v>7.5008724080000002</v>
      </c>
      <c r="CX193">
        <f>7.605714371</f>
        <v>7.6057143710000004</v>
      </c>
      <c r="CY193">
        <f>7.641667032</f>
        <v>7.641667032</v>
      </c>
      <c r="CZ193">
        <f>7.673667556</f>
        <v>7.6736675559999998</v>
      </c>
      <c r="DA193">
        <f>7.356859627</f>
        <v>7.3568596270000004</v>
      </c>
      <c r="DB193">
        <f>9.565221998</f>
        <v>9.5652219980000002</v>
      </c>
      <c r="DC193">
        <f>8.92179162</f>
        <v>8.9217916200000005</v>
      </c>
      <c r="DD193">
        <f>8.678275629</f>
        <v>8.6782756289999998</v>
      </c>
      <c r="DE193">
        <f>7.929758718</f>
        <v>7.9297587180000004</v>
      </c>
      <c r="DF193">
        <f>9.385840327</f>
        <v>9.3858403270000004</v>
      </c>
      <c r="DG193">
        <f>8.692659003</f>
        <v>8.6926590029999993</v>
      </c>
      <c r="DH193">
        <f>9.490012287</f>
        <v>9.4900122870000008</v>
      </c>
      <c r="DI193">
        <f>9.759443816</f>
        <v>9.7594438159999992</v>
      </c>
      <c r="DJ193">
        <f>12.50984481</f>
        <v>12.509844810000001</v>
      </c>
      <c r="DK193">
        <f>11.83257147</f>
        <v>11.83257147</v>
      </c>
      <c r="DL193">
        <f>10.14273248</f>
        <v>10.142732479999999</v>
      </c>
      <c r="DM193">
        <f>9.533119633</f>
        <v>9.5331196330000001</v>
      </c>
      <c r="DN193">
        <f>14.97634165</f>
        <v>14.97634165</v>
      </c>
      <c r="DO193">
        <f>16.96547534</f>
        <v>16.965475340000001</v>
      </c>
      <c r="DP193">
        <f>15.97467474</f>
        <v>15.974674739999999</v>
      </c>
      <c r="DQ193">
        <f>16.16924753</f>
        <v>16.16924753</v>
      </c>
      <c r="DR193">
        <f>15.42181043</f>
        <v>15.421810430000001</v>
      </c>
      <c r="DS193">
        <f>19.7912346</f>
        <v>19.791234599999999</v>
      </c>
      <c r="DT193">
        <f>18.75796439</f>
        <v>18.757964390000001</v>
      </c>
      <c r="DU193">
        <f>16.60382264</f>
        <v>16.603822640000001</v>
      </c>
    </row>
    <row r="194" spans="1:125">
      <c r="A194" t="str">
        <f>"    Welltower Inc"</f>
        <v xml:space="preserve">    Welltower Inc</v>
      </c>
      <c r="B194" t="str">
        <f>"HCN US Equity"</f>
        <v>HCN US Equity</v>
      </c>
      <c r="C194" t="str">
        <f t="shared" si="45"/>
        <v>RR554</v>
      </c>
      <c r="D194" t="str">
        <f t="shared" si="46"/>
        <v>FFO_RE_ASSET</v>
      </c>
      <c r="E194" t="str">
        <f t="shared" si="47"/>
        <v>动态</v>
      </c>
      <c r="F194" t="str">
        <f ca="1">IF(AND(ISNUMBER($F$435),$B$258=1),$F$435,HLOOKUP(INDIRECT(ADDRESS(2,COLUMN())),OFFSET($BN$2,0,0,ROW()-1,60),ROW()-1,FALSE))</f>
        <v/>
      </c>
      <c r="G194">
        <f ca="1">IF(AND(ISNUMBER($G$435),$B$258=1),$G$435,HLOOKUP(INDIRECT(ADDRESS(2,COLUMN())),OFFSET($BN$2,0,0,ROW()-1,60),ROW()-1,FALSE))</f>
        <v>4.678234722</v>
      </c>
      <c r="H194">
        <f ca="1">IF(AND(ISNUMBER($H$435),$B$258=1),$H$435,HLOOKUP(INDIRECT(ADDRESS(2,COLUMN())),OFFSET($BN$2,0,0,ROW()-1,60),ROW()-1,FALSE))</f>
        <v>5.3297909409999997</v>
      </c>
      <c r="I194">
        <f ca="1">IF(AND(ISNUMBER($I$435),$B$258=1),$I$435,HLOOKUP(INDIRECT(ADDRESS(2,COLUMN())),OFFSET($BN$2,0,0,ROW()-1,60),ROW()-1,FALSE))</f>
        <v>5.8730381749999996</v>
      </c>
      <c r="J194">
        <f ca="1">IF(AND(ISNUMBER($J$435),$B$258=1),$J$435,HLOOKUP(INDIRECT(ADDRESS(2,COLUMN())),OFFSET($BN$2,0,0,ROW()-1,60),ROW()-1,FALSE))</f>
        <v>5.9946530109999996</v>
      </c>
      <c r="K194">
        <f ca="1">IF(AND(ISNUMBER($K$435),$B$258=1),$K$435,HLOOKUP(INDIRECT(ADDRESS(2,COLUMN())),OFFSET($BN$2,0,0,ROW()-1,60),ROW()-1,FALSE))</f>
        <v>6.1783849169999998</v>
      </c>
      <c r="L194">
        <f ca="1">IF(AND(ISNUMBER($L$435),$B$258=1),$L$435,HLOOKUP(INDIRECT(ADDRESS(2,COLUMN())),OFFSET($BN$2,0,0,ROW()-1,60),ROW()-1,FALSE))</f>
        <v>6.1402096610000001</v>
      </c>
      <c r="M194">
        <f ca="1">IF(AND(ISNUMBER($M$435),$B$258=1),$M$435,HLOOKUP(INDIRECT(ADDRESS(2,COLUMN())),OFFSET($BN$2,0,0,ROW()-1,60),ROW()-1,FALSE))</f>
        <v>6.1120217979999998</v>
      </c>
      <c r="N194">
        <f ca="1">IF(AND(ISNUMBER($N$435),$B$258=1),$N$435,HLOOKUP(INDIRECT(ADDRESS(2,COLUMN())),OFFSET($BN$2,0,0,ROW()-1,60),ROW()-1,FALSE))</f>
        <v>5.9514602840000004</v>
      </c>
      <c r="O194">
        <f ca="1">IF(AND(ISNUMBER($O$435),$B$258=1),$O$435,HLOOKUP(INDIRECT(ADDRESS(2,COLUMN())),OFFSET($BN$2,0,0,ROW()-1,60),ROW()-1,FALSE))</f>
        <v>5.8081954700000002</v>
      </c>
      <c r="P194">
        <f ca="1">IF(AND(ISNUMBER($P$435),$B$258=1),$P$435,HLOOKUP(INDIRECT(ADDRESS(2,COLUMN())),OFFSET($BN$2,0,0,ROW()-1,60),ROW()-1,FALSE))</f>
        <v>6.0506725140000004</v>
      </c>
      <c r="Q194">
        <f ca="1">IF(AND(ISNUMBER($Q$435),$B$258=1),$Q$435,HLOOKUP(INDIRECT(ADDRESS(2,COLUMN())),OFFSET($BN$2,0,0,ROW()-1,60),ROW()-1,FALSE))</f>
        <v>5.5511472519999998</v>
      </c>
      <c r="R194">
        <f ca="1">IF(AND(ISNUMBER($R$435),$B$258=1),$R$435,HLOOKUP(INDIRECT(ADDRESS(2,COLUMN())),OFFSET($BN$2,0,0,ROW()-1,60),ROW()-1,FALSE))</f>
        <v>5.6002818169999999</v>
      </c>
      <c r="S194">
        <f ca="1">IF(AND(ISNUMBER($S$435),$B$258=1),$S$435,HLOOKUP(INDIRECT(ADDRESS(2,COLUMN())),OFFSET($BN$2,0,0,ROW()-1,60),ROW()-1,FALSE))</f>
        <v>5.4520853779999996</v>
      </c>
      <c r="T194">
        <f ca="1">IF(AND(ISNUMBER($T$435),$B$258=1),$T$435,HLOOKUP(INDIRECT(ADDRESS(2,COLUMN())),OFFSET($BN$2,0,0,ROW()-1,60),ROW()-1,FALSE))</f>
        <v>5.5748575440000003</v>
      </c>
      <c r="U194">
        <f ca="1">IF(AND(ISNUMBER($U$435),$B$258=1),$U$435,HLOOKUP(INDIRECT(ADDRESS(2,COLUMN())),OFFSET($BN$2,0,0,ROW()-1,60),ROW()-1,FALSE))</f>
        <v>5.4084695910000002</v>
      </c>
      <c r="V194">
        <f ca="1">IF(AND(ISNUMBER($V$435),$B$258=1),$V$435,HLOOKUP(INDIRECT(ADDRESS(2,COLUMN())),OFFSET($BN$2,0,0,ROW()-1,60),ROW()-1,FALSE))</f>
        <v>5.4005613380000002</v>
      </c>
      <c r="W194">
        <f ca="1">IF(AND(ISNUMBER($W$435),$B$258=1),$W$435,HLOOKUP(INDIRECT(ADDRESS(2,COLUMN())),OFFSET($BN$2,0,0,ROW()-1,60),ROW()-1,FALSE))</f>
        <v>4.9513431800000003</v>
      </c>
      <c r="X194">
        <f ca="1">IF(AND(ISNUMBER($X$435),$B$258=1),$X$435,HLOOKUP(INDIRECT(ADDRESS(2,COLUMN())),OFFSET($BN$2,0,0,ROW()-1,60),ROW()-1,FALSE))</f>
        <v>4.8357614209999999</v>
      </c>
      <c r="Y194">
        <f ca="1">IF(AND(ISNUMBER($Y$435),$B$258=1),$Y$435,HLOOKUP(INDIRECT(ADDRESS(2,COLUMN())),OFFSET($BN$2,0,0,ROW()-1,60),ROW()-1,FALSE))</f>
        <v>4.6300481260000002</v>
      </c>
      <c r="Z194">
        <f ca="1">IF(AND(ISNUMBER($Z$435),$B$258=1),$Z$435,HLOOKUP(INDIRECT(ADDRESS(2,COLUMN())),OFFSET($BN$2,0,0,ROW()-1,60),ROW()-1,FALSE))</f>
        <v>4.385619374</v>
      </c>
      <c r="AA194">
        <f ca="1">IF(AND(ISNUMBER($AA$435),$B$258=1),$AA$435,HLOOKUP(INDIRECT(ADDRESS(2,COLUMN())),OFFSET($BN$2,0,0,ROW()-1,60),ROW()-1,FALSE))</f>
        <v>4.609913283</v>
      </c>
      <c r="AB194">
        <f ca="1">IF(AND(ISNUMBER($AB$435),$B$258=1),$AB$435,HLOOKUP(INDIRECT(ADDRESS(2,COLUMN())),OFFSET($BN$2,0,0,ROW()-1,60),ROW()-1,FALSE))</f>
        <v>4.6516786740000002</v>
      </c>
      <c r="AC194">
        <f ca="1">IF(AND(ISNUMBER($AC$435),$B$258=1),$AC$435,HLOOKUP(INDIRECT(ADDRESS(2,COLUMN())),OFFSET($BN$2,0,0,ROW()-1,60),ROW()-1,FALSE))</f>
        <v>4.7091421069999999</v>
      </c>
      <c r="AD194">
        <f ca="1">IF(AND(ISNUMBER($AD$435),$B$258=1),$AD$435,HLOOKUP(INDIRECT(ADDRESS(2,COLUMN())),OFFSET($BN$2,0,0,ROW()-1,60),ROW()-1,FALSE))</f>
        <v>5.2399625040000002</v>
      </c>
      <c r="AE194">
        <f ca="1">IF(AND(ISNUMBER($AE$435),$B$258=1),$AE$435,HLOOKUP(INDIRECT(ADDRESS(2,COLUMN())),OFFSET($BN$2,0,0,ROW()-1,60),ROW()-1,FALSE))</f>
        <v>4.8096515269999998</v>
      </c>
      <c r="AF194">
        <f ca="1">IF(AND(ISNUMBER($AF$435),$B$258=1),$AF$435,HLOOKUP(INDIRECT(ADDRESS(2,COLUMN())),OFFSET($BN$2,0,0,ROW()-1,60),ROW()-1,FALSE))</f>
        <v>4.6190704130000002</v>
      </c>
      <c r="AG194">
        <f ca="1">IF(AND(ISNUMBER($AG$435),$B$258=1),$AG$435,HLOOKUP(INDIRECT(ADDRESS(2,COLUMN())),OFFSET($BN$2,0,0,ROW()-1,60),ROW()-1,FALSE))</f>
        <v>3.7303553520000001</v>
      </c>
      <c r="AH194">
        <f ca="1">IF(AND(ISNUMBER($AH$435),$B$258=1),$AH$435,HLOOKUP(INDIRECT(ADDRESS(2,COLUMN())),OFFSET($BN$2,0,0,ROW()-1,60),ROW()-1,FALSE))</f>
        <v>3.6523000670000001</v>
      </c>
      <c r="AI194">
        <f ca="1">IF(AND(ISNUMBER($AI$435),$B$258=1),$AI$435,HLOOKUP(INDIRECT(ADDRESS(2,COLUMN())),OFFSET($BN$2,0,0,ROW()-1,60),ROW()-1,FALSE))</f>
        <v>3.907032235</v>
      </c>
      <c r="AJ194">
        <f ca="1">IF(AND(ISNUMBER($AJ$435),$B$258=1),$AJ$435,HLOOKUP(INDIRECT(ADDRESS(2,COLUMN())),OFFSET($BN$2,0,0,ROW()-1,60),ROW()-1,FALSE))</f>
        <v>3.8211828880000001</v>
      </c>
      <c r="AK194">
        <f ca="1">IF(AND(ISNUMBER($AK$435),$B$258=1),$AK$435,HLOOKUP(INDIRECT(ADDRESS(2,COLUMN())),OFFSET($BN$2,0,0,ROW()-1,60),ROW()-1,FALSE))</f>
        <v>4.4482424829999996</v>
      </c>
      <c r="AL194">
        <f ca="1">IF(AND(ISNUMBER($AL$435),$B$258=1),$AL$435,HLOOKUP(INDIRECT(ADDRESS(2,COLUMN())),OFFSET($BN$2,0,0,ROW()-1,60),ROW()-1,FALSE))</f>
        <v>4.4960616480000004</v>
      </c>
      <c r="AM194">
        <f ca="1">IF(AND(ISNUMBER($AM$435),$B$258=1),$AM$435,HLOOKUP(INDIRECT(ADDRESS(2,COLUMN())),OFFSET($BN$2,0,0,ROW()-1,60),ROW()-1,FALSE))</f>
        <v>4.9982846619999997</v>
      </c>
      <c r="AN194">
        <f ca="1">IF(AND(ISNUMBER($AN$435),$B$258=1),$AN$435,HLOOKUP(INDIRECT(ADDRESS(2,COLUMN())),OFFSET($BN$2,0,0,ROW()-1,60),ROW()-1,FALSE))</f>
        <v>4.6007188030000004</v>
      </c>
      <c r="AO194">
        <f ca="1">IF(AND(ISNUMBER($AO$435),$B$258=1),$AO$435,HLOOKUP(INDIRECT(ADDRESS(2,COLUMN())),OFFSET($BN$2,0,0,ROW()-1,60),ROW()-1,FALSE))</f>
        <v>5.1451580359999998</v>
      </c>
      <c r="AP194">
        <f ca="1">IF(AND(ISNUMBER($AP$435),$B$258=1),$AP$435,HLOOKUP(INDIRECT(ADDRESS(2,COLUMN())),OFFSET($BN$2,0,0,ROW()-1,60),ROW()-1,FALSE))</f>
        <v>5.0917148179999998</v>
      </c>
      <c r="AQ194">
        <f ca="1">IF(AND(ISNUMBER($AQ$435),$B$258=1),$AQ$435,HLOOKUP(INDIRECT(ADDRESS(2,COLUMN())),OFFSET($BN$2,0,0,ROW()-1,60),ROW()-1,FALSE))</f>
        <v>4.8833054159999998</v>
      </c>
      <c r="AR194">
        <f ca="1">IF(AND(ISNUMBER($AR$435),$B$258=1),$AR$435,HLOOKUP(INDIRECT(ADDRESS(2,COLUMN())),OFFSET($BN$2,0,0,ROW()-1,60),ROW()-1,FALSE))</f>
        <v>5.8224012600000004</v>
      </c>
      <c r="AS194">
        <f ca="1">IF(AND(ISNUMBER($AS$435),$B$258=1),$AS$435,HLOOKUP(INDIRECT(ADDRESS(2,COLUMN())),OFFSET($BN$2,0,0,ROW()-1,60),ROW()-1,FALSE))</f>
        <v>5.6941814160000002</v>
      </c>
      <c r="AT194">
        <f ca="1">IF(AND(ISNUMBER($AT$435),$B$258=1),$AT$435,HLOOKUP(INDIRECT(ADDRESS(2,COLUMN())),OFFSET($BN$2,0,0,ROW()-1,60),ROW()-1,FALSE))</f>
        <v>5.7071031479999998</v>
      </c>
      <c r="AU194">
        <f ca="1">IF(AND(ISNUMBER($AU$435),$B$258=1),$AU$435,HLOOKUP(INDIRECT(ADDRESS(2,COLUMN())),OFFSET($BN$2,0,0,ROW()-1,60),ROW()-1,FALSE))</f>
        <v>5.630306053</v>
      </c>
      <c r="AV194">
        <f ca="1">IF(AND(ISNUMBER($AV$435),$B$258=1),$AV$435,HLOOKUP(INDIRECT(ADDRESS(2,COLUMN())),OFFSET($BN$2,0,0,ROW()-1,60),ROW()-1,FALSE))</f>
        <v>5.7917403939999996</v>
      </c>
      <c r="AW194">
        <f ca="1">IF(AND(ISNUMBER($AW$435),$B$258=1),$AW$435,HLOOKUP(INDIRECT(ADDRESS(2,COLUMN())),OFFSET($BN$2,0,0,ROW()-1,60),ROW()-1,FALSE))</f>
        <v>5.5254619189999996</v>
      </c>
      <c r="AX194">
        <f ca="1">IF(AND(ISNUMBER($AX$435),$B$258=1),$AX$435,HLOOKUP(INDIRECT(ADDRESS(2,COLUMN())),OFFSET($BN$2,0,0,ROW()-1,60),ROW()-1,FALSE))</f>
        <v>5.397624338</v>
      </c>
      <c r="AY194">
        <f ca="1">IF(AND(ISNUMBER($AY$435),$B$258=1),$AY$435,HLOOKUP(INDIRECT(ADDRESS(2,COLUMN())),OFFSET($BN$2,0,0,ROW()-1,60),ROW()-1,FALSE))</f>
        <v>5.154864119</v>
      </c>
      <c r="AZ194">
        <f ca="1">IF(AND(ISNUMBER($AZ$435),$B$258=1),$AZ$435,HLOOKUP(INDIRECT(ADDRESS(2,COLUMN())),OFFSET($BN$2,0,0,ROW()-1,60),ROW()-1,FALSE))</f>
        <v>5.352193862</v>
      </c>
      <c r="BA194">
        <f ca="1">IF(AND(ISNUMBER($BA$435),$B$258=1),$BA$435,HLOOKUP(INDIRECT(ADDRESS(2,COLUMN())),OFFSET($BN$2,0,0,ROW()-1,60),ROW()-1,FALSE))</f>
        <v>5.3308276169999997</v>
      </c>
      <c r="BB194">
        <f ca="1">IF(AND(ISNUMBER($BB$435),$B$258=1),$BB$435,HLOOKUP(INDIRECT(ADDRESS(2,COLUMN())),OFFSET($BN$2,0,0,ROW()-1,60),ROW()-1,FALSE))</f>
        <v>4.5684785129999996</v>
      </c>
      <c r="BC194">
        <f ca="1">IF(AND(ISNUMBER($BC$435),$B$258=1),$BC$435,HLOOKUP(INDIRECT(ADDRESS(2,COLUMN())),OFFSET($BN$2,0,0,ROW()-1,60),ROW()-1,FALSE))</f>
        <v>4.515287754</v>
      </c>
      <c r="BD194">
        <f ca="1">IF(AND(ISNUMBER($BD$435),$B$258=1),$BD$435,HLOOKUP(INDIRECT(ADDRESS(2,COLUMN())),OFFSET($BN$2,0,0,ROW()-1,60),ROW()-1,FALSE))</f>
        <v>5.5112722620000003</v>
      </c>
      <c r="BE194" t="str">
        <f ca="1">IF(AND(ISNUMBER($BE$435),$B$258=1),$BE$435,HLOOKUP(INDIRECT(ADDRESS(2,COLUMN())),OFFSET($BN$2,0,0,ROW()-1,60),ROW()-1,FALSE))</f>
        <v/>
      </c>
      <c r="BF194" t="str">
        <f ca="1">IF(AND(ISNUMBER($BF$435),$B$258=1),$BF$435,HLOOKUP(INDIRECT(ADDRESS(2,COLUMN())),OFFSET($BN$2,0,0,ROW()-1,60),ROW()-1,FALSE))</f>
        <v/>
      </c>
      <c r="BG194" t="str">
        <f ca="1">IF(AND(ISNUMBER($BG$435),$B$258=1),$BG$435,HLOOKUP(INDIRECT(ADDRESS(2,COLUMN())),OFFSET($BN$2,0,0,ROW()-1,60),ROW()-1,FALSE))</f>
        <v/>
      </c>
      <c r="BH194" t="str">
        <f ca="1">IF(AND(ISNUMBER($BH$435),$B$258=1),$BH$435,HLOOKUP(INDIRECT(ADDRESS(2,COLUMN())),OFFSET($BN$2,0,0,ROW()-1,60),ROW()-1,FALSE))</f>
        <v/>
      </c>
      <c r="BI194" t="str">
        <f ca="1">IF(AND(ISNUMBER($BI$435),$B$258=1),$BI$435,HLOOKUP(INDIRECT(ADDRESS(2,COLUMN())),OFFSET($BN$2,0,0,ROW()-1,60),ROW()-1,FALSE))</f>
        <v/>
      </c>
      <c r="BJ194" t="str">
        <f ca="1">IF(AND(ISNUMBER($BJ$435),$B$258=1),$BJ$435,HLOOKUP(INDIRECT(ADDRESS(2,COLUMN())),OFFSET($BN$2,0,0,ROW()-1,60),ROW()-1,FALSE))</f>
        <v/>
      </c>
      <c r="BK194" t="str">
        <f ca="1">IF(AND(ISNUMBER($BK$435),$B$258=1),$BK$435,HLOOKUP(INDIRECT(ADDRESS(2,COLUMN())),OFFSET($BN$2,0,0,ROW()-1,60),ROW()-1,FALSE))</f>
        <v/>
      </c>
      <c r="BL194" t="str">
        <f ca="1">IF(AND(ISNUMBER($BL$435),$B$258=1),$BL$435,HLOOKUP(INDIRECT(ADDRESS(2,COLUMN())),OFFSET($BN$2,0,0,ROW()-1,60),ROW()-1,FALSE))</f>
        <v/>
      </c>
      <c r="BM194" t="str">
        <f ca="1">IF(AND(ISNUMBER($BM$435),$B$258=1),$BM$435,HLOOKUP(INDIRECT(ADDRESS(2,COLUMN())),OFFSET($BN$2,0,0,ROW()-1,60),ROW()-1,FALSE))</f>
        <v/>
      </c>
      <c r="BN194" t="str">
        <f>""</f>
        <v/>
      </c>
      <c r="BO194">
        <f>4.678234722</f>
        <v>4.678234722</v>
      </c>
      <c r="BP194">
        <f>5.329790941</f>
        <v>5.3297909409999997</v>
      </c>
      <c r="BQ194">
        <f>5.873038175</f>
        <v>5.8730381749999996</v>
      </c>
      <c r="BR194">
        <f>5.994653011</f>
        <v>5.9946530109999996</v>
      </c>
      <c r="BS194">
        <f>6.178384917</f>
        <v>6.1783849169999998</v>
      </c>
      <c r="BT194">
        <f>6.140209661</f>
        <v>6.1402096610000001</v>
      </c>
      <c r="BU194">
        <f>6.112021798</f>
        <v>6.1120217979999998</v>
      </c>
      <c r="BV194">
        <f>5.951460284</f>
        <v>5.9514602840000004</v>
      </c>
      <c r="BW194">
        <f>5.80819547</f>
        <v>5.8081954700000002</v>
      </c>
      <c r="BX194">
        <f>6.050672514</f>
        <v>6.0506725140000004</v>
      </c>
      <c r="BY194">
        <f>5.551147252</f>
        <v>5.5511472519999998</v>
      </c>
      <c r="BZ194">
        <f>5.600281817</f>
        <v>5.6002818169999999</v>
      </c>
      <c r="CA194">
        <f>5.452085378</f>
        <v>5.4520853779999996</v>
      </c>
      <c r="CB194">
        <f>5.574857544</f>
        <v>5.5748575440000003</v>
      </c>
      <c r="CC194">
        <f>5.408469591</f>
        <v>5.4084695910000002</v>
      </c>
      <c r="CD194">
        <f>5.400561338</f>
        <v>5.4005613380000002</v>
      </c>
      <c r="CE194">
        <f>4.95134318</f>
        <v>4.9513431800000003</v>
      </c>
      <c r="CF194">
        <f>4.835761421</f>
        <v>4.8357614209999999</v>
      </c>
      <c r="CG194">
        <f>4.630048126</f>
        <v>4.6300481260000002</v>
      </c>
      <c r="CH194">
        <f>4.385619374</f>
        <v>4.385619374</v>
      </c>
      <c r="CI194">
        <f>4.609913283</f>
        <v>4.609913283</v>
      </c>
      <c r="CJ194">
        <f>4.651678674</f>
        <v>4.6516786740000002</v>
      </c>
      <c r="CK194">
        <f>4.709142107</f>
        <v>4.7091421069999999</v>
      </c>
      <c r="CL194">
        <f>5.239962504</f>
        <v>5.2399625040000002</v>
      </c>
      <c r="CM194">
        <f>4.809651527</f>
        <v>4.8096515269999998</v>
      </c>
      <c r="CN194">
        <f>4.619070413</f>
        <v>4.6190704130000002</v>
      </c>
      <c r="CO194">
        <f>3.730355352</f>
        <v>3.7303553520000001</v>
      </c>
      <c r="CP194">
        <f>3.652300067</f>
        <v>3.6523000670000001</v>
      </c>
      <c r="CQ194">
        <f>3.907032235</f>
        <v>3.907032235</v>
      </c>
      <c r="CR194">
        <f>3.821182888</f>
        <v>3.8211828880000001</v>
      </c>
      <c r="CS194">
        <f>4.448242483</f>
        <v>4.4482424829999996</v>
      </c>
      <c r="CT194">
        <f>4.496061648</f>
        <v>4.4960616480000004</v>
      </c>
      <c r="CU194">
        <f>4.998284662</f>
        <v>4.9982846619999997</v>
      </c>
      <c r="CV194">
        <f>4.600718803</f>
        <v>4.6007188030000004</v>
      </c>
      <c r="CW194">
        <f>5.145158036</f>
        <v>5.1451580359999998</v>
      </c>
      <c r="CX194">
        <f>5.091714818</f>
        <v>5.0917148179999998</v>
      </c>
      <c r="CY194">
        <f>4.883305416</f>
        <v>4.8833054159999998</v>
      </c>
      <c r="CZ194">
        <f>5.82240126</f>
        <v>5.8224012600000004</v>
      </c>
      <c r="DA194">
        <f>5.694181416</f>
        <v>5.6941814160000002</v>
      </c>
      <c r="DB194">
        <f>5.707103148</f>
        <v>5.7071031479999998</v>
      </c>
      <c r="DC194">
        <f>5.630306053</f>
        <v>5.630306053</v>
      </c>
      <c r="DD194">
        <f>5.791740394</f>
        <v>5.7917403939999996</v>
      </c>
      <c r="DE194">
        <f>5.525461919</f>
        <v>5.5254619189999996</v>
      </c>
      <c r="DF194">
        <f>5.397624338</f>
        <v>5.397624338</v>
      </c>
      <c r="DG194">
        <f>5.154864119</f>
        <v>5.154864119</v>
      </c>
      <c r="DH194">
        <f>5.352193862</f>
        <v>5.352193862</v>
      </c>
      <c r="DI194">
        <f>5.330827617</f>
        <v>5.3308276169999997</v>
      </c>
      <c r="DJ194">
        <f>4.568478513</f>
        <v>4.5684785129999996</v>
      </c>
      <c r="DK194">
        <f>4.515287754</f>
        <v>4.515287754</v>
      </c>
      <c r="DL194">
        <f>5.511272262</f>
        <v>5.5112722620000003</v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>
      <c r="A195" t="str">
        <f>"债务/EBITDA"</f>
        <v>债务/EBITDA</v>
      </c>
      <c r="B195" t="str">
        <f>""</f>
        <v/>
      </c>
      <c r="E195" t="str">
        <f>"Median"</f>
        <v>Median</v>
      </c>
      <c r="F195" t="str">
        <f ca="1">IF(ISERROR(IF(MEDIAN($F$196:$F$206) = 0, "", MEDIAN($F$196:$F$206))), "", (IF(MEDIAN($F$196:$F$206) = 0, "", MEDIAN($F$196:$F$206))))</f>
        <v/>
      </c>
      <c r="G195">
        <f ca="1">IF(ISERROR(IF(MEDIAN($G$196:$G$206) = 0, "", MEDIAN($G$196:$G$206))), "", (IF(MEDIAN($G$196:$G$206) = 0, "", MEDIAN($G$196:$G$206))))</f>
        <v>7.1982608424999999</v>
      </c>
      <c r="H195">
        <f ca="1">IF(ISERROR(IF(MEDIAN($H$196:$H$206) = 0, "", MEDIAN($H$196:$H$206))), "", (IF(MEDIAN($H$196:$H$206) = 0, "", MEDIAN($H$196:$H$206))))</f>
        <v>6.8800714519999993</v>
      </c>
      <c r="I195">
        <f ca="1">IF(ISERROR(IF(MEDIAN($I$196:$I$206) = 0, "", MEDIAN($I$196:$I$206))), "", (IF(MEDIAN($I$196:$I$206) = 0, "", MEDIAN($I$196:$I$206))))</f>
        <v>6.0244330809999997</v>
      </c>
      <c r="J195">
        <f ca="1">IF(ISERROR(IF(MEDIAN($J$196:$J$206) = 0, "", MEDIAN($J$196:$J$206))), "", (IF(MEDIAN($J$196:$J$206) = 0, "", MEDIAN($J$196:$J$206))))</f>
        <v>5.8199621979999998</v>
      </c>
      <c r="K195">
        <f ca="1">IF(ISERROR(IF(MEDIAN($K$196:$K$206) = 0, "", MEDIAN($K$196:$K$206))), "", (IF(MEDIAN($K$196:$K$206) = 0, "", MEDIAN($K$196:$K$206))))</f>
        <v>6.0207777389999997</v>
      </c>
      <c r="L195">
        <f ca="1">IF(ISERROR(IF(MEDIAN($L$196:$L$206) = 0, "", MEDIAN($L$196:$L$206))), "", (IF(MEDIAN($L$196:$L$206) = 0, "", MEDIAN($L$196:$L$206))))</f>
        <v>6.1565772570000004</v>
      </c>
      <c r="M195">
        <f ca="1">IF(ISERROR(IF(MEDIAN($M$196:$M$206) = 0, "", MEDIAN($M$196:$M$206))), "", (IF(MEDIAN($M$196:$M$206) = 0, "", MEDIAN($M$196:$M$206))))</f>
        <v>6.1971481529999997</v>
      </c>
      <c r="N195">
        <f ca="1">IF(ISERROR(IF(MEDIAN($N$196:$N$206) = 0, "", MEDIAN($N$196:$N$206))), "", (IF(MEDIAN($N$196:$N$206) = 0, "", MEDIAN($N$196:$N$206))))</f>
        <v>6.5855988525000004</v>
      </c>
      <c r="O195">
        <f ca="1">IF(ISERROR(IF(MEDIAN($O$196:$O$206) = 0, "", MEDIAN($O$196:$O$206))), "", (IF(MEDIAN($O$196:$O$206) = 0, "", MEDIAN($O$196:$O$206))))</f>
        <v>6.6537256920000001</v>
      </c>
      <c r="P195">
        <f ca="1">IF(ISERROR(IF(MEDIAN($P$196:$P$206) = 0, "", MEDIAN($P$196:$P$206))), "", (IF(MEDIAN($P$196:$P$206) = 0, "", MEDIAN($P$196:$P$206))))</f>
        <v>6.8787341800000004</v>
      </c>
      <c r="Q195">
        <f ca="1">IF(ISERROR(IF(MEDIAN($Q$196:$Q$206) = 0, "", MEDIAN($Q$196:$Q$206))), "", (IF(MEDIAN($Q$196:$Q$206) = 0, "", MEDIAN($Q$196:$Q$206))))</f>
        <v>6.9794279274999997</v>
      </c>
      <c r="R195">
        <f ca="1">IF(ISERROR(IF(MEDIAN($R$196:$R$206) = 0, "", MEDIAN($R$196:$R$206))), "", (IF(MEDIAN($R$196:$R$206) = 0, "", MEDIAN($R$196:$R$206))))</f>
        <v>6.5145119334999997</v>
      </c>
      <c r="S195">
        <f ca="1">IF(ISERROR(IF(MEDIAN($S$196:$S$206) = 0, "", MEDIAN($S$196:$S$206))), "", (IF(MEDIAN($S$196:$S$206) = 0, "", MEDIAN($S$196:$S$206))))</f>
        <v>6.3760698715000004</v>
      </c>
      <c r="T195">
        <f ca="1">IF(ISERROR(IF(MEDIAN($T$196:$T$206) = 0, "", MEDIAN($T$196:$T$206))), "", (IF(MEDIAN($T$196:$T$206) = 0, "", MEDIAN($T$196:$T$206))))</f>
        <v>6.4889537874999998</v>
      </c>
      <c r="U195">
        <f ca="1">IF(ISERROR(IF(MEDIAN($U$196:$U$206) = 0, "", MEDIAN($U$196:$U$206))), "", (IF(MEDIAN($U$196:$U$206) = 0, "", MEDIAN($U$196:$U$206))))</f>
        <v>6.0962166680000003</v>
      </c>
      <c r="V195">
        <f ca="1">IF(ISERROR(IF(MEDIAN($V$196:$V$206) = 0, "", MEDIAN($V$196:$V$206))), "", (IF(MEDIAN($V$196:$V$206) = 0, "", MEDIAN($V$196:$V$206))))</f>
        <v>6.1787705544999998</v>
      </c>
      <c r="W195">
        <f ca="1">IF(ISERROR(IF(MEDIAN($W$196:$W$206) = 0, "", MEDIAN($W$196:$W$206))), "", (IF(MEDIAN($W$196:$W$206) = 0, "", MEDIAN($W$196:$W$206))))</f>
        <v>6.0682402350000002</v>
      </c>
      <c r="X195">
        <f ca="1">IF(ISERROR(IF(MEDIAN($X$196:$X$206) = 0, "", MEDIAN($X$196:$X$206))), "", (IF(MEDIAN($X$196:$X$206) = 0, "", MEDIAN($X$196:$X$206))))</f>
        <v>5.7878552175000006</v>
      </c>
      <c r="Y195">
        <f ca="1">IF(ISERROR(IF(MEDIAN($Y$196:$Y$206) = 0, "", MEDIAN($Y$196:$Y$206))), "", (IF(MEDIAN($Y$196:$Y$206) = 0, "", MEDIAN($Y$196:$Y$206))))</f>
        <v>5.5473734935000003</v>
      </c>
      <c r="Z195">
        <f ca="1">IF(ISERROR(IF(MEDIAN($Z$196:$Z$206) = 0, "", MEDIAN($Z$196:$Z$206))), "", (IF(MEDIAN($Z$196:$Z$206) = 0, "", MEDIAN($Z$196:$Z$206))))</f>
        <v>5.5254585919999997</v>
      </c>
      <c r="AA195">
        <f ca="1">IF(ISERROR(IF(MEDIAN($AA$196:$AA$206) = 0, "", MEDIAN($AA$196:$AA$206))), "", (IF(MEDIAN($AA$196:$AA$206) = 0, "", MEDIAN($AA$196:$AA$206))))</f>
        <v>6.4798491190000007</v>
      </c>
      <c r="AB195">
        <f ca="1">IF(ISERROR(IF(MEDIAN($AB$196:$AB$206) = 0, "", MEDIAN($AB$196:$AB$206))), "", (IF(MEDIAN($AB$196:$AB$206) = 0, "", MEDIAN($AB$196:$AB$206))))</f>
        <v>6.6179644814999996</v>
      </c>
      <c r="AC195">
        <f ca="1">IF(ISERROR(IF(MEDIAN($AC$196:$AC$206) = 0, "", MEDIAN($AC$196:$AC$206))), "", (IF(MEDIAN($AC$196:$AC$206) = 0, "", MEDIAN($AC$196:$AC$206))))</f>
        <v>6.4836063250000002</v>
      </c>
      <c r="AD195">
        <f ca="1">IF(ISERROR(IF(MEDIAN($AD$196:$AD$206) = 0, "", MEDIAN($AD$196:$AD$206))), "", (IF(MEDIAN($AD$196:$AD$206) = 0, "", MEDIAN($AD$196:$AD$206))))</f>
        <v>6.4133792385000001</v>
      </c>
      <c r="AE195">
        <f ca="1">IF(ISERROR(IF(MEDIAN($AE$196:$AE$206) = 0, "", MEDIAN($AE$196:$AE$206))), "", (IF(MEDIAN($AE$196:$AE$206) = 0, "", MEDIAN($AE$196:$AE$206))))</f>
        <v>6.4181983850000002</v>
      </c>
      <c r="AF195">
        <f ca="1">IF(ISERROR(IF(MEDIAN($AF$196:$AF$206) = 0, "", MEDIAN($AF$196:$AF$206))), "", (IF(MEDIAN($AF$196:$AF$206) = 0, "", MEDIAN($AF$196:$AF$206))))</f>
        <v>6.2672587579999997</v>
      </c>
      <c r="AG195">
        <f ca="1">IF(ISERROR(IF(MEDIAN($AG$196:$AG$206) = 0, "", MEDIAN($AG$196:$AG$206))), "", (IF(MEDIAN($AG$196:$AG$206) = 0, "", MEDIAN($AG$196:$AG$206))))</f>
        <v>7.344771444</v>
      </c>
      <c r="AH195">
        <f ca="1">IF(ISERROR(IF(MEDIAN($AH$196:$AH$206) = 0, "", MEDIAN($AH$196:$AH$206))), "", (IF(MEDIAN($AH$196:$AH$206) = 0, "", MEDIAN($AH$196:$AH$206))))</f>
        <v>6.7639091459999996</v>
      </c>
      <c r="AI195">
        <f ca="1">IF(ISERROR(IF(MEDIAN($AI$196:$AI$206) = 0, "", MEDIAN($AI$196:$AI$206))), "", (IF(MEDIAN($AI$196:$AI$206) = 0, "", MEDIAN($AI$196:$AI$206))))</f>
        <v>5.1804262220000004</v>
      </c>
      <c r="AJ195">
        <f ca="1">IF(ISERROR(IF(MEDIAN($AJ$196:$AJ$206) = 0, "", MEDIAN($AJ$196:$AJ$206))), "", (IF(MEDIAN($AJ$196:$AJ$206) = 0, "", MEDIAN($AJ$196:$AJ$206))))</f>
        <v>6.1729299500000003</v>
      </c>
      <c r="AK195">
        <f ca="1">IF(ISERROR(IF(MEDIAN($AK$196:$AK$206) = 0, "", MEDIAN($AK$196:$AK$206))), "", (IF(MEDIAN($AK$196:$AK$206) = 0, "", MEDIAN($AK$196:$AK$206))))</f>
        <v>6.8278695809999999</v>
      </c>
      <c r="AL195">
        <f ca="1">IF(ISERROR(IF(MEDIAN($AL$196:$AL$206) = 0, "", MEDIAN($AL$196:$AL$206))), "", (IF(MEDIAN($AL$196:$AL$206) = 0, "", MEDIAN($AL$196:$AL$206))))</f>
        <v>6.3907786629999999</v>
      </c>
      <c r="AM195">
        <f ca="1">IF(ISERROR(IF(MEDIAN($AM$196:$AM$206) = 0, "", MEDIAN($AM$196:$AM$206))), "", (IF(MEDIAN($AM$196:$AM$206) = 0, "", MEDIAN($AM$196:$AM$206))))</f>
        <v>5.5685607685000003</v>
      </c>
      <c r="AN195">
        <f ca="1">IF(ISERROR(IF(MEDIAN($AN$196:$AN$206) = 0, "", MEDIAN($AN$196:$AN$206))), "", (IF(MEDIAN($AN$196:$AN$206) = 0, "", MEDIAN($AN$196:$AN$206))))</f>
        <v>5.9674613975000002</v>
      </c>
      <c r="AO195">
        <f ca="1">IF(ISERROR(IF(MEDIAN($AO$196:$AO$206) = 0, "", MEDIAN($AO$196:$AO$206))), "", (IF(MEDIAN($AO$196:$AO$206) = 0, "", MEDIAN($AO$196:$AO$206))))</f>
        <v>6.1655038659999999</v>
      </c>
      <c r="AP195">
        <f ca="1">IF(ISERROR(IF(MEDIAN($AP$196:$AP$206) = 0, "", MEDIAN($AP$196:$AP$206))), "", (IF(MEDIAN($AP$196:$AP$206) = 0, "", MEDIAN($AP$196:$AP$206))))</f>
        <v>6.0209650290000001</v>
      </c>
      <c r="AQ195">
        <f ca="1">IF(ISERROR(IF(MEDIAN($AQ$196:$AQ$206) = 0, "", MEDIAN($AQ$196:$AQ$206))), "", (IF(MEDIAN($AQ$196:$AQ$206) = 0, "", MEDIAN($AQ$196:$AQ$206))))</f>
        <v>6.9409563335</v>
      </c>
      <c r="AR195">
        <f ca="1">IF(ISERROR(IF(MEDIAN($AR$196:$AR$206) = 0, "", MEDIAN($AR$196:$AR$206))), "", (IF(MEDIAN($AR$196:$AR$206) = 0, "", MEDIAN($AR$196:$AR$206))))</f>
        <v>6.1969849894999998</v>
      </c>
      <c r="AS195">
        <f ca="1">IF(ISERROR(IF(MEDIAN($AS$196:$AS$206) = 0, "", MEDIAN($AS$196:$AS$206))), "", (IF(MEDIAN($AS$196:$AS$206) = 0, "", MEDIAN($AS$196:$AS$206))))</f>
        <v>6.8655005684999999</v>
      </c>
      <c r="AT195">
        <f ca="1">IF(ISERROR(IF(MEDIAN($AT$196:$AT$206) = 0, "", MEDIAN($AT$196:$AT$206))), "", (IF(MEDIAN($AT$196:$AT$206) = 0, "", MEDIAN($AT$196:$AT$206))))</f>
        <v>6.1483692474999998</v>
      </c>
      <c r="AU195">
        <f ca="1">IF(ISERROR(IF(MEDIAN($AU$196:$AU$206) = 0, "", MEDIAN($AU$196:$AU$206))), "", (IF(MEDIAN($AU$196:$AU$206) = 0, "", MEDIAN($AU$196:$AU$206))))</f>
        <v>6.8678771100000002</v>
      </c>
      <c r="AV195">
        <f ca="1">IF(ISERROR(IF(MEDIAN($AV$196:$AV$206) = 0, "", MEDIAN($AV$196:$AV$206))), "", (IF(MEDIAN($AV$196:$AV$206) = 0, "", MEDIAN($AV$196:$AV$206))))</f>
        <v>6.5051089515000005</v>
      </c>
      <c r="AW195">
        <f ca="1">IF(ISERROR(IF(MEDIAN($AW$196:$AW$206) = 0, "", MEDIAN($AW$196:$AW$206))), "", (IF(MEDIAN($AW$196:$AW$206) = 0, "", MEDIAN($AW$196:$AW$206))))</f>
        <v>6.5744762239999996</v>
      </c>
      <c r="AX195">
        <f ca="1">IF(ISERROR(IF(MEDIAN($AX$196:$AX$206) = 0, "", MEDIAN($AX$196:$AX$206))), "", (IF(MEDIAN($AX$196:$AX$206) = 0, "", MEDIAN($AX$196:$AX$206))))</f>
        <v>5.9499296954999998</v>
      </c>
      <c r="AY195">
        <f ca="1">IF(ISERROR(IF(MEDIAN($AY$196:$AY$206) = 0, "", MEDIAN($AY$196:$AY$206))), "", (IF(MEDIAN($AY$196:$AY$206) = 0, "", MEDIAN($AY$196:$AY$206))))</f>
        <v>6.6247043585000007</v>
      </c>
      <c r="AZ195">
        <f ca="1">IF(ISERROR(IF(MEDIAN($AZ$196:$AZ$206) = 0, "", MEDIAN($AZ$196:$AZ$206))), "", (IF(MEDIAN($AZ$196:$AZ$206) = 0, "", MEDIAN($AZ$196:$AZ$206))))</f>
        <v>6.1048104695000003</v>
      </c>
      <c r="BA195">
        <f ca="1">IF(ISERROR(IF(MEDIAN($BA$196:$BA$206) = 0, "", MEDIAN($BA$196:$BA$206))), "", (IF(MEDIAN($BA$196:$BA$206) = 0, "", MEDIAN($BA$196:$BA$206))))</f>
        <v>5.1788693015000007</v>
      </c>
      <c r="BB195">
        <f ca="1">IF(ISERROR(IF(MEDIAN($BB$196:$BB$206) = 0, "", MEDIAN($BB$196:$BB$206))), "", (IF(MEDIAN($BB$196:$BB$206) = 0, "", MEDIAN($BB$196:$BB$206))))</f>
        <v>5.4126626874999992</v>
      </c>
      <c r="BC195">
        <f ca="1">IF(ISERROR(IF(MEDIAN($BC$196:$BC$206) = 0, "", MEDIAN($BC$196:$BC$206))), "", (IF(MEDIAN($BC$196:$BC$206) = 0, "", MEDIAN($BC$196:$BC$206))))</f>
        <v>5.5549315880000005</v>
      </c>
      <c r="BD195">
        <f ca="1">IF(ISERROR(IF(MEDIAN($BD$196:$BD$206) = 0, "", MEDIAN($BD$196:$BD$206))), "", (IF(MEDIAN($BD$196:$BD$206) = 0, "", MEDIAN($BD$196:$BD$206))))</f>
        <v>5.196737165</v>
      </c>
      <c r="BE195">
        <f ca="1">IF(ISERROR(IF(MEDIAN($BE$196:$BE$206) = 0, "", MEDIAN($BE$196:$BE$206))), "", (IF(MEDIAN($BE$196:$BE$206) = 0, "", MEDIAN($BE$196:$BE$206))))</f>
        <v>5.3434102140000004</v>
      </c>
      <c r="BF195">
        <f ca="1">IF(ISERROR(IF(MEDIAN($BF$196:$BF$206) = 0, "", MEDIAN($BF$196:$BF$206))), "", (IF(MEDIAN($BF$196:$BF$206) = 0, "", MEDIAN($BF$196:$BF$206))))</f>
        <v>4.3046961850000001</v>
      </c>
      <c r="BG195">
        <f ca="1">IF(ISERROR(IF(MEDIAN($BG$196:$BG$206) = 0, "", MEDIAN($BG$196:$BG$206))), "", (IF(MEDIAN($BG$196:$BG$206) = 0, "", MEDIAN($BG$196:$BG$206))))</f>
        <v>4.8413424880000004</v>
      </c>
      <c r="BH195">
        <f ca="1">IF(ISERROR(IF(MEDIAN($BH$196:$BH$206) = 0, "", MEDIAN($BH$196:$BH$206))), "", (IF(MEDIAN($BH$196:$BH$206) = 0, "", MEDIAN($BH$196:$BH$206))))</f>
        <v>4.5295628079999997</v>
      </c>
      <c r="BI195">
        <f ca="1">IF(ISERROR(IF(MEDIAN($BI$196:$BI$206) = 0, "", MEDIAN($BI$196:$BI$206))), "", (IF(MEDIAN($BI$196:$BI$206) = 0, "", MEDIAN($BI$196:$BI$206))))</f>
        <v>4.3408512000000004</v>
      </c>
      <c r="BJ195">
        <f ca="1">IF(ISERROR(IF(MEDIAN($BJ$196:$BJ$206) = 0, "", MEDIAN($BJ$196:$BJ$206))), "", (IF(MEDIAN($BJ$196:$BJ$206) = 0, "", MEDIAN($BJ$196:$BJ$206))))</f>
        <v>4.2257630959999997</v>
      </c>
      <c r="BK195">
        <f ca="1">IF(ISERROR(IF(MEDIAN($BK$196:$BK$206) = 0, "", MEDIAN($BK$196:$BK$206))), "", (IF(MEDIAN($BK$196:$BK$206) = 0, "", MEDIAN($BK$196:$BK$206))))</f>
        <v>4.4659793544999999</v>
      </c>
      <c r="BL195">
        <f ca="1">IF(ISERROR(IF(MEDIAN($BL$196:$BL$206) = 0, "", MEDIAN($BL$196:$BL$206))), "", (IF(MEDIAN($BL$196:$BL$206) = 0, "", MEDIAN($BL$196:$BL$206))))</f>
        <v>4.5696834585000001</v>
      </c>
      <c r="BM195">
        <f ca="1">IF(ISERROR(IF(MEDIAN($BM$196:$BM$206) = 0, "", MEDIAN($BM$196:$BM$206))), "", (IF(MEDIAN($BM$196:$BM$206) = 0, "", MEDIAN($BM$196:$BM$206))))</f>
        <v>4.5397209439999999</v>
      </c>
      <c r="BN195" t="str">
        <f>""</f>
        <v/>
      </c>
      <c r="BO195">
        <f>7.198260843</f>
        <v>7.1982608429999999</v>
      </c>
      <c r="BP195">
        <f>6.880071452</f>
        <v>6.8800714520000001</v>
      </c>
      <c r="BQ195">
        <f>6.024433081</f>
        <v>6.0244330809999997</v>
      </c>
      <c r="BR195">
        <f>5.819962198</f>
        <v>5.8199621979999998</v>
      </c>
      <c r="BS195">
        <f>6.020777739</f>
        <v>6.0207777389999997</v>
      </c>
      <c r="BT195">
        <f>6.156577257</f>
        <v>6.1565772570000004</v>
      </c>
      <c r="BU195">
        <f>6.197148153</f>
        <v>6.1971481529999997</v>
      </c>
      <c r="BV195">
        <f>6.585598852</f>
        <v>6.5855988520000004</v>
      </c>
      <c r="BW195">
        <f>6.653725692</f>
        <v>6.6537256920000001</v>
      </c>
      <c r="BX195">
        <f>6.87873418</f>
        <v>6.8787341800000004</v>
      </c>
      <c r="BY195">
        <f>6.979427928</f>
        <v>6.9794279279999998</v>
      </c>
      <c r="BZ195">
        <f>6.514511933</f>
        <v>6.5145119329999996</v>
      </c>
      <c r="CA195">
        <f>6.376069871</f>
        <v>6.3760698710000003</v>
      </c>
      <c r="CB195">
        <f>6.488953787</f>
        <v>6.4889537869999998</v>
      </c>
      <c r="CC195">
        <f>6.096216668</f>
        <v>6.0962166680000003</v>
      </c>
      <c r="CD195">
        <f>6.178770555</f>
        <v>6.1787705549999998</v>
      </c>
      <c r="CE195">
        <f>6.068240235</f>
        <v>6.0682402350000002</v>
      </c>
      <c r="CF195">
        <f>5.787855217</f>
        <v>5.7878552169999997</v>
      </c>
      <c r="CG195">
        <f>5.547373494</f>
        <v>5.5473734940000003</v>
      </c>
      <c r="CH195">
        <f>5.525458592</f>
        <v>5.5254585919999997</v>
      </c>
      <c r="CI195">
        <f>6.479849119</f>
        <v>6.4798491189999998</v>
      </c>
      <c r="CJ195">
        <f>6.617964482</f>
        <v>6.6179644819999996</v>
      </c>
      <c r="CK195">
        <f>6.483606325</f>
        <v>6.4836063250000002</v>
      </c>
      <c r="CL195">
        <f>6.413379239</f>
        <v>6.4133792390000002</v>
      </c>
      <c r="CM195">
        <f>6.418198385</f>
        <v>6.4181983850000002</v>
      </c>
      <c r="CN195">
        <f>6.267258758</f>
        <v>6.2672587579999997</v>
      </c>
      <c r="CO195">
        <f>7.344771444</f>
        <v>7.344771444</v>
      </c>
      <c r="CP195">
        <f>6.763909146</f>
        <v>6.7639091459999996</v>
      </c>
      <c r="CQ195">
        <f>5.180426222</f>
        <v>5.1804262220000004</v>
      </c>
      <c r="CR195">
        <f>6.17292995</f>
        <v>6.1729299500000003</v>
      </c>
      <c r="CS195">
        <f>6.827869581</f>
        <v>6.8278695809999999</v>
      </c>
      <c r="CT195">
        <f>6.390778663</f>
        <v>6.3907786629999999</v>
      </c>
      <c r="CU195">
        <f>5.568560769</f>
        <v>5.5685607690000003</v>
      </c>
      <c r="CV195">
        <f>5.967461398</f>
        <v>5.9674613980000002</v>
      </c>
      <c r="CW195">
        <f>6.165503866</f>
        <v>6.1655038659999999</v>
      </c>
      <c r="CX195">
        <f>6.020965029</f>
        <v>6.0209650290000001</v>
      </c>
      <c r="CY195">
        <f>6.940956334</f>
        <v>6.940956334</v>
      </c>
      <c r="CZ195">
        <f>6.19698499</f>
        <v>6.1969849899999998</v>
      </c>
      <c r="DA195">
        <f>6.865500569</f>
        <v>6.8655005689999999</v>
      </c>
      <c r="DB195">
        <f>6.148369248</f>
        <v>6.1483692479999998</v>
      </c>
      <c r="DC195">
        <f>6.86787711</f>
        <v>6.8678771100000002</v>
      </c>
      <c r="DD195">
        <f>6.505108952</f>
        <v>6.5051089519999996</v>
      </c>
      <c r="DE195">
        <f>6.574476224</f>
        <v>6.5744762239999996</v>
      </c>
      <c r="DF195">
        <f>5.949929695</f>
        <v>5.9499296949999998</v>
      </c>
      <c r="DG195">
        <f>6.624704358</f>
        <v>6.6247043579999998</v>
      </c>
      <c r="DH195">
        <f>6.104810469</f>
        <v>6.1048104690000002</v>
      </c>
      <c r="DI195">
        <f>5.178869301</f>
        <v>5.1788693009999998</v>
      </c>
      <c r="DJ195">
        <f>5.412662687</f>
        <v>5.4126626870000001</v>
      </c>
      <c r="DK195">
        <f>5.554931588</f>
        <v>5.5549315879999996</v>
      </c>
      <c r="DL195">
        <f>5.196737165</f>
        <v>5.196737165</v>
      </c>
      <c r="DM195">
        <f>5.343410214</f>
        <v>5.3434102140000004</v>
      </c>
      <c r="DN195">
        <f>4.304696185</f>
        <v>4.3046961850000001</v>
      </c>
      <c r="DO195">
        <f>4.841342488</f>
        <v>4.8413424880000004</v>
      </c>
      <c r="DP195">
        <f>4.529562808</f>
        <v>4.5295628079999997</v>
      </c>
      <c r="DQ195">
        <f>4.3408512</f>
        <v>4.3408512000000004</v>
      </c>
      <c r="DR195">
        <f>4.225763096</f>
        <v>4.2257630959999997</v>
      </c>
      <c r="DS195">
        <f>4.465979354</f>
        <v>4.4659793539999999</v>
      </c>
      <c r="DT195">
        <f>4.569683458</f>
        <v>4.5696834580000001</v>
      </c>
      <c r="DU195">
        <f>4.539720944</f>
        <v>4.5397209439999999</v>
      </c>
    </row>
    <row r="196" spans="1:125">
      <c r="A196" t="str">
        <f>"    Alexandria Real Estate Equitie"</f>
        <v xml:space="preserve">    Alexandria Real Estate Equitie</v>
      </c>
      <c r="B196" t="str">
        <f>"ARE US Equity"</f>
        <v>ARE US Equity</v>
      </c>
      <c r="C196" t="str">
        <f t="shared" ref="C196:C206" si="48">"RR052"</f>
        <v>RR052</v>
      </c>
      <c r="D196" t="str">
        <f t="shared" ref="D196:D206" si="49">"TOT_DEBT_TO_EBITDA"</f>
        <v>TOT_DEBT_TO_EBITDA</v>
      </c>
      <c r="E196" t="str">
        <f t="shared" ref="E196:E206" si="50">"动态"</f>
        <v>动态</v>
      </c>
      <c r="F196" t="str">
        <f ca="1">IF(AND(ISNUMBER($F$436),$B$258=1),$F$436,HLOOKUP(INDIRECT(ADDRESS(2,COLUMN())),OFFSET($BN$2,0,0,ROW()-1,60),ROW()-1,FALSE))</f>
        <v/>
      </c>
      <c r="G196">
        <f ca="1">IF(AND(ISNUMBER($G$436),$B$258=1),$G$436,HLOOKUP(INDIRECT(ADDRESS(2,COLUMN())),OFFSET($BN$2,0,0,ROW()-1,60),ROW()-1,FALSE))</f>
        <v>6.5515801429999998</v>
      </c>
      <c r="H196">
        <f ca="1">IF(AND(ISNUMBER($H$436),$B$258=1),$H$436,HLOOKUP(INDIRECT(ADDRESS(2,COLUMN())),OFFSET($BN$2,0,0,ROW()-1,60),ROW()-1,FALSE))</f>
        <v>7.1057848899999998</v>
      </c>
      <c r="I196">
        <f ca="1">IF(AND(ISNUMBER($I$436),$B$258=1),$I$436,HLOOKUP(INDIRECT(ADDRESS(2,COLUMN())),OFFSET($BN$2,0,0,ROW()-1,60),ROW()-1,FALSE))</f>
        <v>7.6035350800000003</v>
      </c>
      <c r="J196">
        <f ca="1">IF(AND(ISNUMBER($J$436),$B$258=1),$J$436,HLOOKUP(INDIRECT(ADDRESS(2,COLUMN())),OFFSET($BN$2,0,0,ROW()-1,60),ROW()-1,FALSE))</f>
        <v>10.10119235</v>
      </c>
      <c r="K196">
        <f ca="1">IF(AND(ISNUMBER($K$436),$B$258=1),$K$436,HLOOKUP(INDIRECT(ADDRESS(2,COLUMN())),OFFSET($BN$2,0,0,ROW()-1,60),ROW()-1,FALSE))</f>
        <v>11.249469810000001</v>
      </c>
      <c r="L196">
        <f ca="1">IF(AND(ISNUMBER($L$436),$B$258=1),$L$436,HLOOKUP(INDIRECT(ADDRESS(2,COLUMN())),OFFSET($BN$2,0,0,ROW()-1,60),ROW()-1,FALSE))</f>
        <v>12.06154626</v>
      </c>
      <c r="M196">
        <f ca="1">IF(AND(ISNUMBER($M$436),$B$258=1),$M$436,HLOOKUP(INDIRECT(ADDRESS(2,COLUMN())),OFFSET($BN$2,0,0,ROW()-1,60),ROW()-1,FALSE))</f>
        <v>11.462558019999999</v>
      </c>
      <c r="N196">
        <f ca="1">IF(AND(ISNUMBER($N$436),$B$258=1),$N$436,HLOOKUP(INDIRECT(ADDRESS(2,COLUMN())),OFFSET($BN$2,0,0,ROW()-1,60),ROW()-1,FALSE))</f>
        <v>8.2023226719999993</v>
      </c>
      <c r="O196">
        <f ca="1">IF(AND(ISNUMBER($O$436),$B$258=1),$O$436,HLOOKUP(INDIRECT(ADDRESS(2,COLUMN())),OFFSET($BN$2,0,0,ROW()-1,60),ROW()-1,FALSE))</f>
        <v>7.8812986739999999</v>
      </c>
      <c r="P196">
        <f ca="1">IF(AND(ISNUMBER($P$436),$B$258=1),$P$436,HLOOKUP(INDIRECT(ADDRESS(2,COLUMN())),OFFSET($BN$2,0,0,ROW()-1,60),ROW()-1,FALSE))</f>
        <v>9.9308331879999994</v>
      </c>
      <c r="Q196">
        <f ca="1">IF(AND(ISNUMBER($Q$436),$B$258=1),$Q$436,HLOOKUP(INDIRECT(ADDRESS(2,COLUMN())),OFFSET($BN$2,0,0,ROW()-1,60),ROW()-1,FALSE))</f>
        <v>9.8533089389999997</v>
      </c>
      <c r="R196">
        <f ca="1">IF(AND(ISNUMBER($R$436),$B$258=1),$R$436,HLOOKUP(INDIRECT(ADDRESS(2,COLUMN())),OFFSET($BN$2,0,0,ROW()-1,60),ROW()-1,FALSE))</f>
        <v>9.7919816599999994</v>
      </c>
      <c r="S196">
        <f ca="1">IF(AND(ISNUMBER($S$436),$B$258=1),$S$436,HLOOKUP(INDIRECT(ADDRESS(2,COLUMN())),OFFSET($BN$2,0,0,ROW()-1,60),ROW()-1,FALSE))</f>
        <v>9.1391450600000006</v>
      </c>
      <c r="T196">
        <f ca="1">IF(AND(ISNUMBER($T$436),$B$258=1),$T$436,HLOOKUP(INDIRECT(ADDRESS(2,COLUMN())),OFFSET($BN$2,0,0,ROW()-1,60),ROW()-1,FALSE))</f>
        <v>7.9130541890000003</v>
      </c>
      <c r="U196">
        <f ca="1">IF(AND(ISNUMBER($U$436),$B$258=1),$U$436,HLOOKUP(INDIRECT(ADDRESS(2,COLUMN())),OFFSET($BN$2,0,0,ROW()-1,60),ROW()-1,FALSE))</f>
        <v>7.8270995570000004</v>
      </c>
      <c r="V196">
        <f ca="1">IF(AND(ISNUMBER($V$436),$B$258=1),$V$436,HLOOKUP(INDIRECT(ADDRESS(2,COLUMN())),OFFSET($BN$2,0,0,ROW()-1,60),ROW()-1,FALSE))</f>
        <v>7.90635493</v>
      </c>
      <c r="W196">
        <f ca="1">IF(AND(ISNUMBER($W$436),$B$258=1),$W$436,HLOOKUP(INDIRECT(ADDRESS(2,COLUMN())),OFFSET($BN$2,0,0,ROW()-1,60),ROW()-1,FALSE))</f>
        <v>7.7446786440000004</v>
      </c>
      <c r="X196">
        <f ca="1">IF(AND(ISNUMBER($X$436),$B$258=1),$X$436,HLOOKUP(INDIRECT(ADDRESS(2,COLUMN())),OFFSET($BN$2,0,0,ROW()-1,60),ROW()-1,FALSE))</f>
        <v>7.5492675150000004</v>
      </c>
      <c r="Y196">
        <f ca="1">IF(AND(ISNUMBER($Y$436),$B$258=1),$Y$436,HLOOKUP(INDIRECT(ADDRESS(2,COLUMN())),OFFSET($BN$2,0,0,ROW()-1,60),ROW()-1,FALSE))</f>
        <v>8.0234677889999997</v>
      </c>
      <c r="Z196">
        <f ca="1">IF(AND(ISNUMBER($Z$436),$B$258=1),$Z$436,HLOOKUP(INDIRECT(ADDRESS(2,COLUMN())),OFFSET($BN$2,0,0,ROW()-1,60),ROW()-1,FALSE))</f>
        <v>8.6956984760000005</v>
      </c>
      <c r="AA196">
        <f ca="1">IF(AND(ISNUMBER($AA$436),$B$258=1),$AA$436,HLOOKUP(INDIRECT(ADDRESS(2,COLUMN())),OFFSET($BN$2,0,0,ROW()-1,60),ROW()-1,FALSE))</f>
        <v>8.8800889699999992</v>
      </c>
      <c r="AB196">
        <f ca="1">IF(AND(ISNUMBER($AB$436),$B$258=1),$AB$436,HLOOKUP(INDIRECT(ADDRESS(2,COLUMN())),OFFSET($BN$2,0,0,ROW()-1,60),ROW()-1,FALSE))</f>
        <v>8.5318296419999999</v>
      </c>
      <c r="AC196">
        <f ca="1">IF(AND(ISNUMBER($AC$436),$B$258=1),$AC$436,HLOOKUP(INDIRECT(ADDRESS(2,COLUMN())),OFFSET($BN$2,0,0,ROW()-1,60),ROW()-1,FALSE))</f>
        <v>8.4288103440000004</v>
      </c>
      <c r="AD196">
        <f ca="1">IF(AND(ISNUMBER($AD$436),$B$258=1),$AD$436,HLOOKUP(INDIRECT(ADDRESS(2,COLUMN())),OFFSET($BN$2,0,0,ROW()-1,60),ROW()-1,FALSE))</f>
        <v>7.8550546289999996</v>
      </c>
      <c r="AE196">
        <f ca="1">IF(AND(ISNUMBER($AE$436),$B$258=1),$AE$436,HLOOKUP(INDIRECT(ADDRESS(2,COLUMN())),OFFSET($BN$2,0,0,ROW()-1,60),ROW()-1,FALSE))</f>
        <v>7.7614211070000003</v>
      </c>
      <c r="AF196">
        <f ca="1">IF(AND(ISNUMBER($AF$436),$B$258=1),$AF$436,HLOOKUP(INDIRECT(ADDRESS(2,COLUMN())),OFFSET($BN$2,0,0,ROW()-1,60),ROW()-1,FALSE))</f>
        <v>7.4613474589999997</v>
      </c>
      <c r="AG196">
        <f ca="1">IF(AND(ISNUMBER($AG$436),$B$258=1),$AG$436,HLOOKUP(INDIRECT(ADDRESS(2,COLUMN())),OFFSET($BN$2,0,0,ROW()-1,60),ROW()-1,FALSE))</f>
        <v>7.344771444</v>
      </c>
      <c r="AH196">
        <f ca="1">IF(AND(ISNUMBER($AH$436),$B$258=1),$AH$436,HLOOKUP(INDIRECT(ADDRESS(2,COLUMN())),OFFSET($BN$2,0,0,ROW()-1,60),ROW()-1,FALSE))</f>
        <v>7.9938731330000001</v>
      </c>
      <c r="AI196">
        <f ca="1">IF(AND(ISNUMBER($AI$436),$B$258=1),$AI$436,HLOOKUP(INDIRECT(ADDRESS(2,COLUMN())),OFFSET($BN$2,0,0,ROW()-1,60),ROW()-1,FALSE))</f>
        <v>8.0769197110000004</v>
      </c>
      <c r="AJ196">
        <f ca="1">IF(AND(ISNUMBER($AJ$436),$B$258=1),$AJ$436,HLOOKUP(INDIRECT(ADDRESS(2,COLUMN())),OFFSET($BN$2,0,0,ROW()-1,60),ROW()-1,FALSE))</f>
        <v>8.114186428</v>
      </c>
      <c r="AK196">
        <f ca="1">IF(AND(ISNUMBER($AK$436),$B$258=1),$AK$436,HLOOKUP(INDIRECT(ADDRESS(2,COLUMN())),OFFSET($BN$2,0,0,ROW()-1,60),ROW()-1,FALSE))</f>
        <v>8.7624766199999993</v>
      </c>
      <c r="AL196">
        <f ca="1">IF(AND(ISNUMBER($AL$436),$B$258=1),$AL$436,HLOOKUP(INDIRECT(ADDRESS(2,COLUMN())),OFFSET($BN$2,0,0,ROW()-1,60),ROW()-1,FALSE))</f>
        <v>8.8798202699999997</v>
      </c>
      <c r="AM196">
        <f ca="1">IF(AND(ISNUMBER($AM$436),$B$258=1),$AM$436,HLOOKUP(INDIRECT(ADDRESS(2,COLUMN())),OFFSET($BN$2,0,0,ROW()-1,60),ROW()-1,FALSE))</f>
        <v>8.4377843240000008</v>
      </c>
      <c r="AN196">
        <f ca="1">IF(AND(ISNUMBER($AN$436),$B$258=1),$AN$436,HLOOKUP(INDIRECT(ADDRESS(2,COLUMN())),OFFSET($BN$2,0,0,ROW()-1,60),ROW()-1,FALSE))</f>
        <v>7.9339358459999998</v>
      </c>
      <c r="AO196">
        <f ca="1">IF(AND(ISNUMBER($AO$436),$B$258=1),$AO$436,HLOOKUP(INDIRECT(ADDRESS(2,COLUMN())),OFFSET($BN$2,0,0,ROW()-1,60),ROW()-1,FALSE))</f>
        <v>8.452400033</v>
      </c>
      <c r="AP196">
        <f ca="1">IF(AND(ISNUMBER($AP$436),$B$258=1),$AP$436,HLOOKUP(INDIRECT(ADDRESS(2,COLUMN())),OFFSET($BN$2,0,0,ROW()-1,60),ROW()-1,FALSE))</f>
        <v>8.6663991399999993</v>
      </c>
      <c r="AQ196">
        <f ca="1">IF(AND(ISNUMBER($AQ$436),$B$258=1),$AQ$436,HLOOKUP(INDIRECT(ADDRESS(2,COLUMN())),OFFSET($BN$2,0,0,ROW()-1,60),ROW()-1,FALSE))</f>
        <v>9.5001697549999999</v>
      </c>
      <c r="AR196">
        <f ca="1">IF(AND(ISNUMBER($AR$436),$B$258=1),$AR$436,HLOOKUP(INDIRECT(ADDRESS(2,COLUMN())),OFFSET($BN$2,0,0,ROW()-1,60),ROW()-1,FALSE))</f>
        <v>9.5186330340000005</v>
      </c>
      <c r="AS196">
        <f ca="1">IF(AND(ISNUMBER($AS$436),$B$258=1),$AS$436,HLOOKUP(INDIRECT(ADDRESS(2,COLUMN())),OFFSET($BN$2,0,0,ROW()-1,60),ROW()-1,FALSE))</f>
        <v>9.275744499</v>
      </c>
      <c r="AT196">
        <f ca="1">IF(AND(ISNUMBER($AT$436),$B$258=1),$AT$436,HLOOKUP(INDIRECT(ADDRESS(2,COLUMN())),OFFSET($BN$2,0,0,ROW()-1,60),ROW()-1,FALSE))</f>
        <v>9.3979463649999992</v>
      </c>
      <c r="AU196">
        <f ca="1">IF(AND(ISNUMBER($AU$436),$B$258=1),$AU$436,HLOOKUP(INDIRECT(ADDRESS(2,COLUMN())),OFFSET($BN$2,0,0,ROW()-1,60),ROW()-1,FALSE))</f>
        <v>10.298603290000001</v>
      </c>
      <c r="AV196">
        <f ca="1">IF(AND(ISNUMBER($AV$436),$B$258=1),$AV$436,HLOOKUP(INDIRECT(ADDRESS(2,COLUMN())),OFFSET($BN$2,0,0,ROW()-1,60),ROW()-1,FALSE))</f>
        <v>9.5668886220000005</v>
      </c>
      <c r="AW196">
        <f ca="1">IF(AND(ISNUMBER($AW$436),$B$258=1),$AW$436,HLOOKUP(INDIRECT(ADDRESS(2,COLUMN())),OFFSET($BN$2,0,0,ROW()-1,60),ROW()-1,FALSE))</f>
        <v>9.0693962030000002</v>
      </c>
      <c r="AX196">
        <f ca="1">IF(AND(ISNUMBER($AX$436),$B$258=1),$AX$436,HLOOKUP(INDIRECT(ADDRESS(2,COLUMN())),OFFSET($BN$2,0,0,ROW()-1,60),ROW()-1,FALSE))</f>
        <v>9.2143443769999998</v>
      </c>
      <c r="AY196">
        <f ca="1">IF(AND(ISNUMBER($AY$436),$B$258=1),$AY$436,HLOOKUP(INDIRECT(ADDRESS(2,COLUMN())),OFFSET($BN$2,0,0,ROW()-1,60),ROW()-1,FALSE))</f>
        <v>9.2492577259999997</v>
      </c>
      <c r="AZ196">
        <f ca="1">IF(AND(ISNUMBER($AZ$436),$B$258=1),$AZ$436,HLOOKUP(INDIRECT(ADDRESS(2,COLUMN())),OFFSET($BN$2,0,0,ROW()-1,60),ROW()-1,FALSE))</f>
        <v>8.6328976799999992</v>
      </c>
      <c r="BA196">
        <f ca="1">IF(AND(ISNUMBER($BA$436),$B$258=1),$BA$436,HLOOKUP(INDIRECT(ADDRESS(2,COLUMN())),OFFSET($BN$2,0,0,ROW()-1,60),ROW()-1,FALSE))</f>
        <v>7.1186400929999998</v>
      </c>
      <c r="BB196">
        <f ca="1">IF(AND(ISNUMBER($BB$436),$B$258=1),$BB$436,HLOOKUP(INDIRECT(ADDRESS(2,COLUMN())),OFFSET($BN$2,0,0,ROW()-1,60),ROW()-1,FALSE))</f>
        <v>8.888345352</v>
      </c>
      <c r="BC196">
        <f ca="1">IF(AND(ISNUMBER($BC$436),$B$258=1),$BC$436,HLOOKUP(INDIRECT(ADDRESS(2,COLUMN())),OFFSET($BN$2,0,0,ROW()-1,60),ROW()-1,FALSE))</f>
        <v>8.5063797880000003</v>
      </c>
      <c r="BD196">
        <f ca="1">IF(AND(ISNUMBER($BD$436),$B$258=1),$BD$436,HLOOKUP(INDIRECT(ADDRESS(2,COLUMN())),OFFSET($BN$2,0,0,ROW()-1,60),ROW()-1,FALSE))</f>
        <v>8.12181788</v>
      </c>
      <c r="BE196">
        <f ca="1">IF(AND(ISNUMBER($BE$436),$B$258=1),$BE$436,HLOOKUP(INDIRECT(ADDRESS(2,COLUMN())),OFFSET($BN$2,0,0,ROW()-1,60),ROW()-1,FALSE))</f>
        <v>8.8691227159999997</v>
      </c>
      <c r="BF196">
        <f ca="1">IF(AND(ISNUMBER($BF$436),$B$258=1),$BF$436,HLOOKUP(INDIRECT(ADDRESS(2,COLUMN())),OFFSET($BN$2,0,0,ROW()-1,60),ROW()-1,FALSE))</f>
        <v>8.8572561000000007</v>
      </c>
      <c r="BG196">
        <f ca="1">IF(AND(ISNUMBER($BG$436),$B$258=1),$BG$436,HLOOKUP(INDIRECT(ADDRESS(2,COLUMN())),OFFSET($BN$2,0,0,ROW()-1,60),ROW()-1,FALSE))</f>
        <v>9.1610079879999997</v>
      </c>
      <c r="BH196">
        <f ca="1">IF(AND(ISNUMBER($BH$436),$B$258=1),$BH$436,HLOOKUP(INDIRECT(ADDRESS(2,COLUMN())),OFFSET($BN$2,0,0,ROW()-1,60),ROW()-1,FALSE))</f>
        <v>6.3355647470000003</v>
      </c>
      <c r="BI196">
        <f ca="1">IF(AND(ISNUMBER($BI$436),$B$258=1),$BI$436,HLOOKUP(INDIRECT(ADDRESS(2,COLUMN())),OFFSET($BN$2,0,0,ROW()-1,60),ROW()-1,FALSE))</f>
        <v>4.6027623860000002</v>
      </c>
      <c r="BJ196">
        <f ca="1">IF(AND(ISNUMBER($BJ$436),$B$258=1),$BJ$436,HLOOKUP(INDIRECT(ADDRESS(2,COLUMN())),OFFSET($BN$2,0,0,ROW()-1,60),ROW()-1,FALSE))</f>
        <v>4.9351474919999996</v>
      </c>
      <c r="BK196">
        <f ca="1">IF(AND(ISNUMBER($BK$436),$B$258=1),$BK$436,HLOOKUP(INDIRECT(ADDRESS(2,COLUMN())),OFFSET($BN$2,0,0,ROW()-1,60),ROW()-1,FALSE))</f>
        <v>4.9488852899999998</v>
      </c>
      <c r="BL196">
        <f ca="1">IF(AND(ISNUMBER($BL$436),$B$258=1),$BL$436,HLOOKUP(INDIRECT(ADDRESS(2,COLUMN())),OFFSET($BN$2,0,0,ROW()-1,60),ROW()-1,FALSE))</f>
        <v>5.0386055560000003</v>
      </c>
      <c r="BM196">
        <f ca="1">IF(AND(ISNUMBER($BM$436),$B$258=1),$BM$436,HLOOKUP(INDIRECT(ADDRESS(2,COLUMN())),OFFSET($BN$2,0,0,ROW()-1,60),ROW()-1,FALSE))</f>
        <v>6.3089849170000001</v>
      </c>
      <c r="BN196" t="str">
        <f>""</f>
        <v/>
      </c>
      <c r="BO196">
        <f>6.551580143</f>
        <v>6.5515801429999998</v>
      </c>
      <c r="BP196">
        <f>7.10578489</f>
        <v>7.1057848899999998</v>
      </c>
      <c r="BQ196">
        <f>7.60353508</f>
        <v>7.6035350800000003</v>
      </c>
      <c r="BR196">
        <f>10.10119235</f>
        <v>10.10119235</v>
      </c>
      <c r="BS196">
        <f>11.24946981</f>
        <v>11.249469810000001</v>
      </c>
      <c r="BT196">
        <f>12.06154626</f>
        <v>12.06154626</v>
      </c>
      <c r="BU196">
        <f>11.46255802</f>
        <v>11.462558019999999</v>
      </c>
      <c r="BV196">
        <f>8.202322672</f>
        <v>8.2023226719999993</v>
      </c>
      <c r="BW196">
        <f>7.881298674</f>
        <v>7.8812986739999999</v>
      </c>
      <c r="BX196">
        <f>9.930833188</f>
        <v>9.9308331879999994</v>
      </c>
      <c r="BY196">
        <f>9.853308939</f>
        <v>9.8533089389999997</v>
      </c>
      <c r="BZ196">
        <f>9.79198166</f>
        <v>9.7919816599999994</v>
      </c>
      <c r="CA196">
        <f>9.13914506</f>
        <v>9.1391450600000006</v>
      </c>
      <c r="CB196">
        <f>7.913054189</f>
        <v>7.9130541890000003</v>
      </c>
      <c r="CC196">
        <f>7.827099557</f>
        <v>7.8270995570000004</v>
      </c>
      <c r="CD196">
        <f>7.90635493</f>
        <v>7.90635493</v>
      </c>
      <c r="CE196">
        <f>7.744678644</f>
        <v>7.7446786440000004</v>
      </c>
      <c r="CF196">
        <f>7.549267515</f>
        <v>7.5492675150000004</v>
      </c>
      <c r="CG196">
        <f>8.023467789</f>
        <v>8.0234677889999997</v>
      </c>
      <c r="CH196">
        <f>8.695698476</f>
        <v>8.6956984760000005</v>
      </c>
      <c r="CI196">
        <f>8.88008897</f>
        <v>8.8800889699999992</v>
      </c>
      <c r="CJ196">
        <f>8.531829642</f>
        <v>8.5318296419999999</v>
      </c>
      <c r="CK196">
        <f>8.428810344</f>
        <v>8.4288103440000004</v>
      </c>
      <c r="CL196">
        <f>7.855054629</f>
        <v>7.8550546289999996</v>
      </c>
      <c r="CM196">
        <f>7.761421107</f>
        <v>7.7614211070000003</v>
      </c>
      <c r="CN196">
        <f>7.461347459</f>
        <v>7.4613474589999997</v>
      </c>
      <c r="CO196">
        <f>7.344771444</f>
        <v>7.344771444</v>
      </c>
      <c r="CP196">
        <f>7.993873133</f>
        <v>7.9938731330000001</v>
      </c>
      <c r="CQ196">
        <f>8.076919711</f>
        <v>8.0769197110000004</v>
      </c>
      <c r="CR196">
        <f>8.114186428</f>
        <v>8.114186428</v>
      </c>
      <c r="CS196">
        <f>8.76247662</f>
        <v>8.7624766199999993</v>
      </c>
      <c r="CT196">
        <f>8.87982027</f>
        <v>8.8798202699999997</v>
      </c>
      <c r="CU196">
        <f>8.437784324</f>
        <v>8.4377843240000008</v>
      </c>
      <c r="CV196">
        <f>7.933935846</f>
        <v>7.9339358459999998</v>
      </c>
      <c r="CW196">
        <f>8.452400033</f>
        <v>8.452400033</v>
      </c>
      <c r="CX196">
        <f>8.66639914</f>
        <v>8.6663991399999993</v>
      </c>
      <c r="CY196">
        <f>9.500169755</f>
        <v>9.5001697549999999</v>
      </c>
      <c r="CZ196">
        <f>9.518633034</f>
        <v>9.5186330340000005</v>
      </c>
      <c r="DA196">
        <f>9.275744499</f>
        <v>9.275744499</v>
      </c>
      <c r="DB196">
        <f>9.397946365</f>
        <v>9.3979463649999992</v>
      </c>
      <c r="DC196">
        <f>10.29860329</f>
        <v>10.298603290000001</v>
      </c>
      <c r="DD196">
        <f>9.566888622</f>
        <v>9.5668886220000005</v>
      </c>
      <c r="DE196">
        <f>9.069396203</f>
        <v>9.0693962030000002</v>
      </c>
      <c r="DF196">
        <f>9.214344377</f>
        <v>9.2143443769999998</v>
      </c>
      <c r="DG196">
        <f>9.249257726</f>
        <v>9.2492577259999997</v>
      </c>
      <c r="DH196">
        <f>8.63289768</f>
        <v>8.6328976799999992</v>
      </c>
      <c r="DI196">
        <f>7.118640093</f>
        <v>7.1186400929999998</v>
      </c>
      <c r="DJ196">
        <f>8.888345352</f>
        <v>8.888345352</v>
      </c>
      <c r="DK196">
        <f>8.506379788</f>
        <v>8.5063797880000003</v>
      </c>
      <c r="DL196">
        <f>8.12181788</f>
        <v>8.12181788</v>
      </c>
      <c r="DM196">
        <f>8.869122716</f>
        <v>8.8691227159999997</v>
      </c>
      <c r="DN196">
        <f>8.8572561</f>
        <v>8.8572561000000007</v>
      </c>
      <c r="DO196">
        <f>9.161007988</f>
        <v>9.1610079879999997</v>
      </c>
      <c r="DP196">
        <f>6.335564747</f>
        <v>6.3355647470000003</v>
      </c>
      <c r="DQ196">
        <f>4.602762386</f>
        <v>4.6027623860000002</v>
      </c>
      <c r="DR196">
        <f>4.935147492</f>
        <v>4.9351474919999996</v>
      </c>
      <c r="DS196">
        <f>4.94888529</f>
        <v>4.9488852899999998</v>
      </c>
      <c r="DT196">
        <f>5.038605556</f>
        <v>5.0386055560000003</v>
      </c>
      <c r="DU196">
        <f>6.308984917</f>
        <v>6.3089849170000001</v>
      </c>
    </row>
    <row r="197" spans="1:125">
      <c r="A197" t="str">
        <f>"    Care Capital Properties Inc"</f>
        <v xml:space="preserve">    Care Capital Properties Inc</v>
      </c>
      <c r="B197" t="str">
        <f>"CCP US Equity"</f>
        <v>CCP US Equity</v>
      </c>
      <c r="C197" t="str">
        <f t="shared" si="48"/>
        <v>RR052</v>
      </c>
      <c r="D197" t="str">
        <f t="shared" si="49"/>
        <v>TOT_DEBT_TO_EBITDA</v>
      </c>
      <c r="E197" t="str">
        <f t="shared" si="50"/>
        <v>动态</v>
      </c>
      <c r="F197" t="str">
        <f ca="1">IF(AND(ISNUMBER($F$437),$B$258=1),$F$437,HLOOKUP(INDIRECT(ADDRESS(2,COLUMN())),OFFSET($BN$2,0,0,ROW()-1,60),ROW()-1,FALSE))</f>
        <v/>
      </c>
      <c r="G197" t="str">
        <f ca="1">IF(AND(ISNUMBER($G$437),$B$258=1),$G$437,HLOOKUP(INDIRECT(ADDRESS(2,COLUMN())),OFFSET($BN$2,0,0,ROW()-1,60),ROW()-1,FALSE))</f>
        <v/>
      </c>
      <c r="H197" t="str">
        <f ca="1">IF(AND(ISNUMBER($H$437),$B$258=1),$H$437,HLOOKUP(INDIRECT(ADDRESS(2,COLUMN())),OFFSET($BN$2,0,0,ROW()-1,60),ROW()-1,FALSE))</f>
        <v/>
      </c>
      <c r="I197">
        <f ca="1">IF(AND(ISNUMBER($I$437),$B$258=1),$I$437,HLOOKUP(INDIRECT(ADDRESS(2,COLUMN())),OFFSET($BN$2,0,0,ROW()-1,60),ROW()-1,FALSE))</f>
        <v>5.5551550609999998</v>
      </c>
      <c r="J197">
        <f ca="1">IF(AND(ISNUMBER($J$437),$B$258=1),$J$437,HLOOKUP(INDIRECT(ADDRESS(2,COLUMN())),OFFSET($BN$2,0,0,ROW()-1,60),ROW()-1,FALSE))</f>
        <v>4.9966724720000002</v>
      </c>
      <c r="K197">
        <f ca="1">IF(AND(ISNUMBER($K$437),$B$258=1),$K$437,HLOOKUP(INDIRECT(ADDRESS(2,COLUMN())),OFFSET($BN$2,0,0,ROW()-1,60),ROW()-1,FALSE))</f>
        <v>4.7511428330000003</v>
      </c>
      <c r="L197">
        <f ca="1">IF(AND(ISNUMBER($L$437),$B$258=1),$L$437,HLOOKUP(INDIRECT(ADDRESS(2,COLUMN())),OFFSET($BN$2,0,0,ROW()-1,60),ROW()-1,FALSE))</f>
        <v>4.8883685549999996</v>
      </c>
      <c r="M197">
        <f ca="1">IF(AND(ISNUMBER($M$437),$B$258=1),$M$437,HLOOKUP(INDIRECT(ADDRESS(2,COLUMN())),OFFSET($BN$2,0,0,ROW()-1,60),ROW()-1,FALSE))</f>
        <v>4.9491171459999999</v>
      </c>
      <c r="N197" t="str">
        <f ca="1">IF(AND(ISNUMBER($N$437),$B$258=1),$N$437,HLOOKUP(INDIRECT(ADDRESS(2,COLUMN())),OFFSET($BN$2,0,0,ROW()-1,60),ROW()-1,FALSE))</f>
        <v/>
      </c>
      <c r="O197" t="str">
        <f ca="1">IF(AND(ISNUMBER($O$437),$B$258=1),$O$437,HLOOKUP(INDIRECT(ADDRESS(2,COLUMN())),OFFSET($BN$2,0,0,ROW()-1,60),ROW()-1,FALSE))</f>
        <v/>
      </c>
      <c r="P197" t="str">
        <f ca="1">IF(AND(ISNUMBER($P$437),$B$258=1),$P$437,HLOOKUP(INDIRECT(ADDRESS(2,COLUMN())),OFFSET($BN$2,0,0,ROW()-1,60),ROW()-1,FALSE))</f>
        <v/>
      </c>
      <c r="Q197" t="str">
        <f ca="1">IF(AND(ISNUMBER($Q$437),$B$258=1),$Q$437,HLOOKUP(INDIRECT(ADDRESS(2,COLUMN())),OFFSET($BN$2,0,0,ROW()-1,60),ROW()-1,FALSE))</f>
        <v/>
      </c>
      <c r="R197" t="str">
        <f ca="1">IF(AND(ISNUMBER($R$437),$B$258=1),$R$437,HLOOKUP(INDIRECT(ADDRESS(2,COLUMN())),OFFSET($BN$2,0,0,ROW()-1,60),ROW()-1,FALSE))</f>
        <v/>
      </c>
      <c r="S197" t="str">
        <f ca="1">IF(AND(ISNUMBER($S$437),$B$258=1),$S$437,HLOOKUP(INDIRECT(ADDRESS(2,COLUMN())),OFFSET($BN$2,0,0,ROW()-1,60),ROW()-1,FALSE))</f>
        <v/>
      </c>
      <c r="T197" t="str">
        <f ca="1">IF(AND(ISNUMBER($T$437),$B$258=1),$T$437,HLOOKUP(INDIRECT(ADDRESS(2,COLUMN())),OFFSET($BN$2,0,0,ROW()-1,60),ROW()-1,FALSE))</f>
        <v/>
      </c>
      <c r="U197" t="str">
        <f ca="1">IF(AND(ISNUMBER($U$437),$B$258=1),$U$437,HLOOKUP(INDIRECT(ADDRESS(2,COLUMN())),OFFSET($BN$2,0,0,ROW()-1,60),ROW()-1,FALSE))</f>
        <v/>
      </c>
      <c r="V197" t="str">
        <f ca="1">IF(AND(ISNUMBER($V$437),$B$258=1),$V$437,HLOOKUP(INDIRECT(ADDRESS(2,COLUMN())),OFFSET($BN$2,0,0,ROW()-1,60),ROW()-1,FALSE))</f>
        <v/>
      </c>
      <c r="W197" t="str">
        <f ca="1">IF(AND(ISNUMBER($W$437),$B$258=1),$W$437,HLOOKUP(INDIRECT(ADDRESS(2,COLUMN())),OFFSET($BN$2,0,0,ROW()-1,60),ROW()-1,FALSE))</f>
        <v/>
      </c>
      <c r="X197" t="str">
        <f ca="1">IF(AND(ISNUMBER($X$437),$B$258=1),$X$437,HLOOKUP(INDIRECT(ADDRESS(2,COLUMN())),OFFSET($BN$2,0,0,ROW()-1,60),ROW()-1,FALSE))</f>
        <v/>
      </c>
      <c r="Y197" t="str">
        <f ca="1">IF(AND(ISNUMBER($Y$437),$B$258=1),$Y$437,HLOOKUP(INDIRECT(ADDRESS(2,COLUMN())),OFFSET($BN$2,0,0,ROW()-1,60),ROW()-1,FALSE))</f>
        <v/>
      </c>
      <c r="Z197" t="str">
        <f ca="1">IF(AND(ISNUMBER($Z$437),$B$258=1),$Z$437,HLOOKUP(INDIRECT(ADDRESS(2,COLUMN())),OFFSET($BN$2,0,0,ROW()-1,60),ROW()-1,FALSE))</f>
        <v/>
      </c>
      <c r="AA197" t="str">
        <f ca="1">IF(AND(ISNUMBER($AA$437),$B$258=1),$AA$437,HLOOKUP(INDIRECT(ADDRESS(2,COLUMN())),OFFSET($BN$2,0,0,ROW()-1,60),ROW()-1,FALSE))</f>
        <v/>
      </c>
      <c r="AB197" t="str">
        <f ca="1">IF(AND(ISNUMBER($AB$437),$B$258=1),$AB$437,HLOOKUP(INDIRECT(ADDRESS(2,COLUMN())),OFFSET($BN$2,0,0,ROW()-1,60),ROW()-1,FALSE))</f>
        <v/>
      </c>
      <c r="AC197" t="str">
        <f ca="1">IF(AND(ISNUMBER($AC$437),$B$258=1),$AC$437,HLOOKUP(INDIRECT(ADDRESS(2,COLUMN())),OFFSET($BN$2,0,0,ROW()-1,60),ROW()-1,FALSE))</f>
        <v/>
      </c>
      <c r="AD197" t="str">
        <f ca="1">IF(AND(ISNUMBER($AD$437),$B$258=1),$AD$437,HLOOKUP(INDIRECT(ADDRESS(2,COLUMN())),OFFSET($BN$2,0,0,ROW()-1,60),ROW()-1,FALSE))</f>
        <v/>
      </c>
      <c r="AE197" t="str">
        <f ca="1">IF(AND(ISNUMBER($AE$437),$B$258=1),$AE$437,HLOOKUP(INDIRECT(ADDRESS(2,COLUMN())),OFFSET($BN$2,0,0,ROW()-1,60),ROW()-1,FALSE))</f>
        <v/>
      </c>
      <c r="AF197" t="str">
        <f ca="1">IF(AND(ISNUMBER($AF$437),$B$258=1),$AF$437,HLOOKUP(INDIRECT(ADDRESS(2,COLUMN())),OFFSET($BN$2,0,0,ROW()-1,60),ROW()-1,FALSE))</f>
        <v/>
      </c>
      <c r="AG197" t="str">
        <f ca="1">IF(AND(ISNUMBER($AG$437),$B$258=1),$AG$437,HLOOKUP(INDIRECT(ADDRESS(2,COLUMN())),OFFSET($BN$2,0,0,ROW()-1,60),ROW()-1,FALSE))</f>
        <v/>
      </c>
      <c r="AH197" t="str">
        <f ca="1">IF(AND(ISNUMBER($AH$437),$B$258=1),$AH$437,HLOOKUP(INDIRECT(ADDRESS(2,COLUMN())),OFFSET($BN$2,0,0,ROW()-1,60),ROW()-1,FALSE))</f>
        <v/>
      </c>
      <c r="AI197" t="str">
        <f ca="1">IF(AND(ISNUMBER($AI$437),$B$258=1),$AI$437,HLOOKUP(INDIRECT(ADDRESS(2,COLUMN())),OFFSET($BN$2,0,0,ROW()-1,60),ROW()-1,FALSE))</f>
        <v/>
      </c>
      <c r="AJ197" t="str">
        <f ca="1">IF(AND(ISNUMBER($AJ$437),$B$258=1),$AJ$437,HLOOKUP(INDIRECT(ADDRESS(2,COLUMN())),OFFSET($BN$2,0,0,ROW()-1,60),ROW()-1,FALSE))</f>
        <v/>
      </c>
      <c r="AK197" t="str">
        <f ca="1">IF(AND(ISNUMBER($AK$437),$B$258=1),$AK$437,HLOOKUP(INDIRECT(ADDRESS(2,COLUMN())),OFFSET($BN$2,0,0,ROW()-1,60),ROW()-1,FALSE))</f>
        <v/>
      </c>
      <c r="AL197" t="str">
        <f ca="1">IF(AND(ISNUMBER($AL$437),$B$258=1),$AL$437,HLOOKUP(INDIRECT(ADDRESS(2,COLUMN())),OFFSET($BN$2,0,0,ROW()-1,60),ROW()-1,FALSE))</f>
        <v/>
      </c>
      <c r="AM197" t="str">
        <f ca="1">IF(AND(ISNUMBER($AM$437),$B$258=1),$AM$437,HLOOKUP(INDIRECT(ADDRESS(2,COLUMN())),OFFSET($BN$2,0,0,ROW()-1,60),ROW()-1,FALSE))</f>
        <v/>
      </c>
      <c r="AN197" t="str">
        <f ca="1">IF(AND(ISNUMBER($AN$437),$B$258=1),$AN$437,HLOOKUP(INDIRECT(ADDRESS(2,COLUMN())),OFFSET($BN$2,0,0,ROW()-1,60),ROW()-1,FALSE))</f>
        <v/>
      </c>
      <c r="AO197" t="str">
        <f ca="1">IF(AND(ISNUMBER($AO$437),$B$258=1),$AO$437,HLOOKUP(INDIRECT(ADDRESS(2,COLUMN())),OFFSET($BN$2,0,0,ROW()-1,60),ROW()-1,FALSE))</f>
        <v/>
      </c>
      <c r="AP197" t="str">
        <f ca="1">IF(AND(ISNUMBER($AP$437),$B$258=1),$AP$437,HLOOKUP(INDIRECT(ADDRESS(2,COLUMN())),OFFSET($BN$2,0,0,ROW()-1,60),ROW()-1,FALSE))</f>
        <v/>
      </c>
      <c r="AQ197" t="str">
        <f ca="1">IF(AND(ISNUMBER($AQ$437),$B$258=1),$AQ$437,HLOOKUP(INDIRECT(ADDRESS(2,COLUMN())),OFFSET($BN$2,0,0,ROW()-1,60),ROW()-1,FALSE))</f>
        <v/>
      </c>
      <c r="AR197" t="str">
        <f ca="1">IF(AND(ISNUMBER($AR$437),$B$258=1),$AR$437,HLOOKUP(INDIRECT(ADDRESS(2,COLUMN())),OFFSET($BN$2,0,0,ROW()-1,60),ROW()-1,FALSE))</f>
        <v/>
      </c>
      <c r="AS197" t="str">
        <f ca="1">IF(AND(ISNUMBER($AS$437),$B$258=1),$AS$437,HLOOKUP(INDIRECT(ADDRESS(2,COLUMN())),OFFSET($BN$2,0,0,ROW()-1,60),ROW()-1,FALSE))</f>
        <v/>
      </c>
      <c r="AT197" t="str">
        <f ca="1">IF(AND(ISNUMBER($AT$437),$B$258=1),$AT$437,HLOOKUP(INDIRECT(ADDRESS(2,COLUMN())),OFFSET($BN$2,0,0,ROW()-1,60),ROW()-1,FALSE))</f>
        <v/>
      </c>
      <c r="AU197" t="str">
        <f ca="1">IF(AND(ISNUMBER($AU$437),$B$258=1),$AU$437,HLOOKUP(INDIRECT(ADDRESS(2,COLUMN())),OFFSET($BN$2,0,0,ROW()-1,60),ROW()-1,FALSE))</f>
        <v/>
      </c>
      <c r="AV197" t="str">
        <f ca="1">IF(AND(ISNUMBER($AV$437),$B$258=1),$AV$437,HLOOKUP(INDIRECT(ADDRESS(2,COLUMN())),OFFSET($BN$2,0,0,ROW()-1,60),ROW()-1,FALSE))</f>
        <v/>
      </c>
      <c r="AW197" t="str">
        <f ca="1">IF(AND(ISNUMBER($AW$437),$B$258=1),$AW$437,HLOOKUP(INDIRECT(ADDRESS(2,COLUMN())),OFFSET($BN$2,0,0,ROW()-1,60),ROW()-1,FALSE))</f>
        <v/>
      </c>
      <c r="AX197" t="str">
        <f ca="1">IF(AND(ISNUMBER($AX$437),$B$258=1),$AX$437,HLOOKUP(INDIRECT(ADDRESS(2,COLUMN())),OFFSET($BN$2,0,0,ROW()-1,60),ROW()-1,FALSE))</f>
        <v/>
      </c>
      <c r="AY197" t="str">
        <f ca="1">IF(AND(ISNUMBER($AY$437),$B$258=1),$AY$437,HLOOKUP(INDIRECT(ADDRESS(2,COLUMN())),OFFSET($BN$2,0,0,ROW()-1,60),ROW()-1,FALSE))</f>
        <v/>
      </c>
      <c r="AZ197" t="str">
        <f ca="1">IF(AND(ISNUMBER($AZ$437),$B$258=1),$AZ$437,HLOOKUP(INDIRECT(ADDRESS(2,COLUMN())),OFFSET($BN$2,0,0,ROW()-1,60),ROW()-1,FALSE))</f>
        <v/>
      </c>
      <c r="BA197" t="str">
        <f ca="1">IF(AND(ISNUMBER($BA$437),$B$258=1),$BA$437,HLOOKUP(INDIRECT(ADDRESS(2,COLUMN())),OFFSET($BN$2,0,0,ROW()-1,60),ROW()-1,FALSE))</f>
        <v/>
      </c>
      <c r="BB197" t="str">
        <f ca="1">IF(AND(ISNUMBER($BB$437),$B$258=1),$BB$437,HLOOKUP(INDIRECT(ADDRESS(2,COLUMN())),OFFSET($BN$2,0,0,ROW()-1,60),ROW()-1,FALSE))</f>
        <v/>
      </c>
      <c r="BC197" t="str">
        <f ca="1">IF(AND(ISNUMBER($BC$437),$B$258=1),$BC$437,HLOOKUP(INDIRECT(ADDRESS(2,COLUMN())),OFFSET($BN$2,0,0,ROW()-1,60),ROW()-1,FALSE))</f>
        <v/>
      </c>
      <c r="BD197" t="str">
        <f ca="1">IF(AND(ISNUMBER($BD$437),$B$258=1),$BD$437,HLOOKUP(INDIRECT(ADDRESS(2,COLUMN())),OFFSET($BN$2,0,0,ROW()-1,60),ROW()-1,FALSE))</f>
        <v/>
      </c>
      <c r="BE197" t="str">
        <f ca="1">IF(AND(ISNUMBER($BE$437),$B$258=1),$BE$437,HLOOKUP(INDIRECT(ADDRESS(2,COLUMN())),OFFSET($BN$2,0,0,ROW()-1,60),ROW()-1,FALSE))</f>
        <v/>
      </c>
      <c r="BF197" t="str">
        <f ca="1">IF(AND(ISNUMBER($BF$437),$B$258=1),$BF$437,HLOOKUP(INDIRECT(ADDRESS(2,COLUMN())),OFFSET($BN$2,0,0,ROW()-1,60),ROW()-1,FALSE))</f>
        <v/>
      </c>
      <c r="BG197" t="str">
        <f ca="1">IF(AND(ISNUMBER($BG$437),$B$258=1),$BG$437,HLOOKUP(INDIRECT(ADDRESS(2,COLUMN())),OFFSET($BN$2,0,0,ROW()-1,60),ROW()-1,FALSE))</f>
        <v/>
      </c>
      <c r="BH197" t="str">
        <f ca="1">IF(AND(ISNUMBER($BH$437),$B$258=1),$BH$437,HLOOKUP(INDIRECT(ADDRESS(2,COLUMN())),OFFSET($BN$2,0,0,ROW()-1,60),ROW()-1,FALSE))</f>
        <v/>
      </c>
      <c r="BI197" t="str">
        <f ca="1">IF(AND(ISNUMBER($BI$437),$B$258=1),$BI$437,HLOOKUP(INDIRECT(ADDRESS(2,COLUMN())),OFFSET($BN$2,0,0,ROW()-1,60),ROW()-1,FALSE))</f>
        <v/>
      </c>
      <c r="BJ197" t="str">
        <f ca="1">IF(AND(ISNUMBER($BJ$437),$B$258=1),$BJ$437,HLOOKUP(INDIRECT(ADDRESS(2,COLUMN())),OFFSET($BN$2,0,0,ROW()-1,60),ROW()-1,FALSE))</f>
        <v/>
      </c>
      <c r="BK197" t="str">
        <f ca="1">IF(AND(ISNUMBER($BK$437),$B$258=1),$BK$437,HLOOKUP(INDIRECT(ADDRESS(2,COLUMN())),OFFSET($BN$2,0,0,ROW()-1,60),ROW()-1,FALSE))</f>
        <v/>
      </c>
      <c r="BL197" t="str">
        <f ca="1">IF(AND(ISNUMBER($BL$437),$B$258=1),$BL$437,HLOOKUP(INDIRECT(ADDRESS(2,COLUMN())),OFFSET($BN$2,0,0,ROW()-1,60),ROW()-1,FALSE))</f>
        <v/>
      </c>
      <c r="BM197" t="str">
        <f ca="1">IF(AND(ISNUMBER($BM$437),$B$258=1),$BM$437,HLOOKUP(INDIRECT(ADDRESS(2,COLUMN())),OFFSET($BN$2,0,0,ROW()-1,60),ROW()-1,FALSE))</f>
        <v/>
      </c>
      <c r="BN197" t="str">
        <f>""</f>
        <v/>
      </c>
      <c r="BO197" t="str">
        <f>""</f>
        <v/>
      </c>
      <c r="BP197" t="str">
        <f>""</f>
        <v/>
      </c>
      <c r="BQ197">
        <f>5.555155061</f>
        <v>5.5551550609999998</v>
      </c>
      <c r="BR197">
        <f>4.996672472</f>
        <v>4.9966724720000002</v>
      </c>
      <c r="BS197">
        <f>4.751142833</f>
        <v>4.7511428330000003</v>
      </c>
      <c r="BT197">
        <f>4.888368555</f>
        <v>4.8883685549999996</v>
      </c>
      <c r="BU197">
        <f>4.949117146</f>
        <v>4.9491171459999999</v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>
      <c r="A198" t="str">
        <f>"    HCP Inc"</f>
        <v xml:space="preserve">    HCP Inc</v>
      </c>
      <c r="B198" t="str">
        <f>"HCP US Equity"</f>
        <v>HCP US Equity</v>
      </c>
      <c r="C198" t="str">
        <f t="shared" si="48"/>
        <v>RR052</v>
      </c>
      <c r="D198" t="str">
        <f t="shared" si="49"/>
        <v>TOT_DEBT_TO_EBITDA</v>
      </c>
      <c r="E198" t="str">
        <f t="shared" si="50"/>
        <v>动态</v>
      </c>
      <c r="F198" t="str">
        <f ca="1">IF(AND(ISNUMBER($F$438),$B$258=1),$F$438,HLOOKUP(INDIRECT(ADDRESS(2,COLUMN())),OFFSET($BN$2,0,0,ROW()-1,60),ROW()-1,FALSE))</f>
        <v/>
      </c>
      <c r="G198">
        <f ca="1">IF(AND(ISNUMBER($G$438),$B$258=1),$G$438,HLOOKUP(INDIRECT(ADDRESS(2,COLUMN())),OFFSET($BN$2,0,0,ROW()-1,60),ROW()-1,FALSE))</f>
        <v>8.4439656000000003</v>
      </c>
      <c r="H198">
        <f ca="1">IF(AND(ISNUMBER($H$438),$B$258=1),$H$438,HLOOKUP(INDIRECT(ADDRESS(2,COLUMN())),OFFSET($BN$2,0,0,ROW()-1,60),ROW()-1,FALSE))</f>
        <v>6.6543580139999996</v>
      </c>
      <c r="I198">
        <f ca="1">IF(AND(ISNUMBER($I$438),$B$258=1),$I$438,HLOOKUP(INDIRECT(ADDRESS(2,COLUMN())),OFFSET($BN$2,0,0,ROW()-1,60),ROW()-1,FALSE))</f>
        <v>6.3056413869999997</v>
      </c>
      <c r="J198">
        <f ca="1">IF(AND(ISNUMBER($J$438),$B$258=1),$J$438,HLOOKUP(INDIRECT(ADDRESS(2,COLUMN())),OFFSET($BN$2,0,0,ROW()-1,60),ROW()-1,FALSE))</f>
        <v>5.8199621979999998</v>
      </c>
      <c r="K198">
        <f ca="1">IF(AND(ISNUMBER($K$438),$B$258=1),$K$438,HLOOKUP(INDIRECT(ADDRESS(2,COLUMN())),OFFSET($BN$2,0,0,ROW()-1,60),ROW()-1,FALSE))</f>
        <v>6.0207777389999997</v>
      </c>
      <c r="L198">
        <f ca="1">IF(AND(ISNUMBER($L$438),$B$258=1),$L$438,HLOOKUP(INDIRECT(ADDRESS(2,COLUMN())),OFFSET($BN$2,0,0,ROW()-1,60),ROW()-1,FALSE))</f>
        <v>7.1037988500000004</v>
      </c>
      <c r="M198">
        <f ca="1">IF(AND(ISNUMBER($M$438),$B$258=1),$M$438,HLOOKUP(INDIRECT(ADDRESS(2,COLUMN())),OFFSET($BN$2,0,0,ROW()-1,60),ROW()-1,FALSE))</f>
        <v>7.1133592639999996</v>
      </c>
      <c r="N198">
        <f ca="1">IF(AND(ISNUMBER($N$438),$B$258=1),$N$438,HLOOKUP(INDIRECT(ADDRESS(2,COLUMN())),OFFSET($BN$2,0,0,ROW()-1,60),ROW()-1,FALSE))</f>
        <v>7.003051363</v>
      </c>
      <c r="O198">
        <f ca="1">IF(AND(ISNUMBER($O$438),$B$258=1),$O$438,HLOOKUP(INDIRECT(ADDRESS(2,COLUMN())),OFFSET($BN$2,0,0,ROW()-1,60),ROW()-1,FALSE))</f>
        <v>10.0738387</v>
      </c>
      <c r="P198">
        <f ca="1">IF(AND(ISNUMBER($P$438),$B$258=1),$P$438,HLOOKUP(INDIRECT(ADDRESS(2,COLUMN())),OFFSET($BN$2,0,0,ROW()-1,60),ROW()-1,FALSE))</f>
        <v>9.1510643920000003</v>
      </c>
      <c r="Q198">
        <f ca="1">IF(AND(ISNUMBER($Q$438),$B$258=1),$Q$438,HLOOKUP(INDIRECT(ADDRESS(2,COLUMN())),OFFSET($BN$2,0,0,ROW()-1,60),ROW()-1,FALSE))</f>
        <v>8.6397960359999999</v>
      </c>
      <c r="R198">
        <f ca="1">IF(AND(ISNUMBER($R$438),$B$258=1),$R$438,HLOOKUP(INDIRECT(ADDRESS(2,COLUMN())),OFFSET($BN$2,0,0,ROW()-1,60),ROW()-1,FALSE))</f>
        <v>7.4328283229999998</v>
      </c>
      <c r="S198">
        <f ca="1">IF(AND(ISNUMBER($S$438),$B$258=1),$S$438,HLOOKUP(INDIRECT(ADDRESS(2,COLUMN())),OFFSET($BN$2,0,0,ROW()-1,60),ROW()-1,FALSE))</f>
        <v>5.3908367740000003</v>
      </c>
      <c r="T198">
        <f ca="1">IF(AND(ISNUMBER($T$438),$B$258=1),$T$438,HLOOKUP(INDIRECT(ADDRESS(2,COLUMN())),OFFSET($BN$2,0,0,ROW()-1,60),ROW()-1,FALSE))</f>
        <v>5.0495671670000002</v>
      </c>
      <c r="U198">
        <f ca="1">IF(AND(ISNUMBER($U$438),$B$258=1),$U$438,HLOOKUP(INDIRECT(ADDRESS(2,COLUMN())),OFFSET($BN$2,0,0,ROW()-1,60),ROW()-1,FALSE))</f>
        <v>4.8988653690000001</v>
      </c>
      <c r="V198">
        <f ca="1">IF(AND(ISNUMBER($V$438),$B$258=1),$V$438,HLOOKUP(INDIRECT(ADDRESS(2,COLUMN())),OFFSET($BN$2,0,0,ROW()-1,60),ROW()-1,FALSE))</f>
        <v>4.8217382420000003</v>
      </c>
      <c r="W198">
        <f ca="1">IF(AND(ISNUMBER($W$438),$B$258=1),$W$438,HLOOKUP(INDIRECT(ADDRESS(2,COLUMN())),OFFSET($BN$2,0,0,ROW()-1,60),ROW()-1,FALSE))</f>
        <v>4.9788822379999997</v>
      </c>
      <c r="X198">
        <f ca="1">IF(AND(ISNUMBER($X$438),$B$258=1),$X$438,HLOOKUP(INDIRECT(ADDRESS(2,COLUMN())),OFFSET($BN$2,0,0,ROW()-1,60),ROW()-1,FALSE))</f>
        <v>5.0539376069999999</v>
      </c>
      <c r="Y198">
        <f ca="1">IF(AND(ISNUMBER($Y$438),$B$258=1),$Y$438,HLOOKUP(INDIRECT(ADDRESS(2,COLUMN())),OFFSET($BN$2,0,0,ROW()-1,60),ROW()-1,FALSE))</f>
        <v>5.3412778149999998</v>
      </c>
      <c r="Z198">
        <f ca="1">IF(AND(ISNUMBER($Z$438),$B$258=1),$Z$438,HLOOKUP(INDIRECT(ADDRESS(2,COLUMN())),OFFSET($BN$2,0,0,ROW()-1,60),ROW()-1,FALSE))</f>
        <v>5.3380878279999999</v>
      </c>
      <c r="AA198">
        <f ca="1">IF(AND(ISNUMBER($AA$438),$B$258=1),$AA$438,HLOOKUP(INDIRECT(ADDRESS(2,COLUMN())),OFFSET($BN$2,0,0,ROW()-1,60),ROW()-1,FALSE))</f>
        <v>5.6117473459999996</v>
      </c>
      <c r="AB198">
        <f ca="1">IF(AND(ISNUMBER($AB$438),$B$258=1),$AB$438,HLOOKUP(INDIRECT(ADDRESS(2,COLUMN())),OFFSET($BN$2,0,0,ROW()-1,60),ROW()-1,FALSE))</f>
        <v>5.7085252799999999</v>
      </c>
      <c r="AC198">
        <f ca="1">IF(AND(ISNUMBER($AC$438),$B$258=1),$AC$438,HLOOKUP(INDIRECT(ADDRESS(2,COLUMN())),OFFSET($BN$2,0,0,ROW()-1,60),ROW()-1,FALSE))</f>
        <v>5.6015906119999999</v>
      </c>
      <c r="AD198">
        <f ca="1">IF(AND(ISNUMBER($AD$438),$B$258=1),$AD$438,HLOOKUP(INDIRECT(ADDRESS(2,COLUMN())),OFFSET($BN$2,0,0,ROW()-1,60),ROW()-1,FALSE))</f>
        <v>5.5279429870000003</v>
      </c>
      <c r="AE198">
        <f ca="1">IF(AND(ISNUMBER($AE$438),$B$258=1),$AE$438,HLOOKUP(INDIRECT(ADDRESS(2,COLUMN())),OFFSET($BN$2,0,0,ROW()-1,60),ROW()-1,FALSE))</f>
        <v>6.0194748149999997</v>
      </c>
      <c r="AF198">
        <f ca="1">IF(AND(ISNUMBER($AF$438),$B$258=1),$AF$438,HLOOKUP(INDIRECT(ADDRESS(2,COLUMN())),OFFSET($BN$2,0,0,ROW()-1,60),ROW()-1,FALSE))</f>
        <v>5.9821273350000004</v>
      </c>
      <c r="AG198">
        <f ca="1">IF(AND(ISNUMBER($AG$438),$B$258=1),$AG$438,HLOOKUP(INDIRECT(ADDRESS(2,COLUMN())),OFFSET($BN$2,0,0,ROW()-1,60),ROW()-1,FALSE))</f>
        <v>6.9193101810000002</v>
      </c>
      <c r="AH198">
        <f ca="1">IF(AND(ISNUMBER($AH$438),$B$258=1),$AH$438,HLOOKUP(INDIRECT(ADDRESS(2,COLUMN())),OFFSET($BN$2,0,0,ROW()-1,60),ROW()-1,FALSE))</f>
        <v>8.3235491939999999</v>
      </c>
      <c r="AI198">
        <f ca="1">IF(AND(ISNUMBER($AI$438),$B$258=1),$AI$438,HLOOKUP(INDIRECT(ADDRESS(2,COLUMN())),OFFSET($BN$2,0,0,ROW()-1,60),ROW()-1,FALSE))</f>
        <v>5.1804262220000004</v>
      </c>
      <c r="AJ198">
        <f ca="1">IF(AND(ISNUMBER($AJ$438),$B$258=1),$AJ$438,HLOOKUP(INDIRECT(ADDRESS(2,COLUMN())),OFFSET($BN$2,0,0,ROW()-1,60),ROW()-1,FALSE))</f>
        <v>6.6982047339999999</v>
      </c>
      <c r="AK198">
        <f ca="1">IF(AND(ISNUMBER($AK$438),$B$258=1),$AK$438,HLOOKUP(INDIRECT(ADDRESS(2,COLUMN())),OFFSET($BN$2,0,0,ROW()-1,60),ROW()-1,FALSE))</f>
        <v>7.1952588039999998</v>
      </c>
      <c r="AL198">
        <f ca="1">IF(AND(ISNUMBER($AL$438),$B$258=1),$AL$438,HLOOKUP(INDIRECT(ADDRESS(2,COLUMN())),OFFSET($BN$2,0,0,ROW()-1,60),ROW()-1,FALSE))</f>
        <v>7.8218716649999998</v>
      </c>
      <c r="AM198">
        <f ca="1">IF(AND(ISNUMBER($AM$438),$B$258=1),$AM$438,HLOOKUP(INDIRECT(ADDRESS(2,COLUMN())),OFFSET($BN$2,0,0,ROW()-1,60),ROW()-1,FALSE))</f>
        <v>8.1086424529999999</v>
      </c>
      <c r="AN198">
        <f ca="1">IF(AND(ISNUMBER($AN$438),$B$258=1),$AN$438,HLOOKUP(INDIRECT(ADDRESS(2,COLUMN())),OFFSET($BN$2,0,0,ROW()-1,60),ROW()-1,FALSE))</f>
        <v>7.60457334</v>
      </c>
      <c r="AO198">
        <f ca="1">IF(AND(ISNUMBER($AO$438),$B$258=1),$AO$438,HLOOKUP(INDIRECT(ADDRESS(2,COLUMN())),OFFSET($BN$2,0,0,ROW()-1,60),ROW()-1,FALSE))</f>
        <v>6.5050583880000001</v>
      </c>
      <c r="AP198">
        <f ca="1">IF(AND(ISNUMBER($AP$438),$B$258=1),$AP$438,HLOOKUP(INDIRECT(ADDRESS(2,COLUMN())),OFFSET($BN$2,0,0,ROW()-1,60),ROW()-1,FALSE))</f>
        <v>7.3213326189999997</v>
      </c>
      <c r="AQ198">
        <f ca="1">IF(AND(ISNUMBER($AQ$438),$B$258=1),$AQ$438,HLOOKUP(INDIRECT(ADDRESS(2,COLUMN())),OFFSET($BN$2,0,0,ROW()-1,60),ROW()-1,FALSE))</f>
        <v>7.5329020570000003</v>
      </c>
      <c r="AR198">
        <f ca="1">IF(AND(ISNUMBER($AR$438),$B$258=1),$AR$438,HLOOKUP(INDIRECT(ADDRESS(2,COLUMN())),OFFSET($BN$2,0,0,ROW()-1,60),ROW()-1,FALSE))</f>
        <v>7.9044217080000001</v>
      </c>
      <c r="AS198">
        <f ca="1">IF(AND(ISNUMBER($AS$438),$B$258=1),$AS$438,HLOOKUP(INDIRECT(ADDRESS(2,COLUMN())),OFFSET($BN$2,0,0,ROW()-1,60),ROW()-1,FALSE))</f>
        <v>9.0058063379999993</v>
      </c>
      <c r="AT198">
        <f ca="1">IF(AND(ISNUMBER($AT$438),$B$258=1),$AT$438,HLOOKUP(INDIRECT(ADDRESS(2,COLUMN())),OFFSET($BN$2,0,0,ROW()-1,60),ROW()-1,FALSE))</f>
        <v>10.721083930000001</v>
      </c>
      <c r="AU198">
        <f ca="1">IF(AND(ISNUMBER($AU$438),$B$258=1),$AU$438,HLOOKUP(INDIRECT(ADDRESS(2,COLUMN())),OFFSET($BN$2,0,0,ROW()-1,60),ROW()-1,FALSE))</f>
        <v>10.81327467</v>
      </c>
      <c r="AV198">
        <f ca="1">IF(AND(ISNUMBER($AV$438),$B$258=1),$AV$438,HLOOKUP(INDIRECT(ADDRESS(2,COLUMN())),OFFSET($BN$2,0,0,ROW()-1,60),ROW()-1,FALSE))</f>
        <v>11.76842561</v>
      </c>
      <c r="AW198">
        <f ca="1">IF(AND(ISNUMBER($AW$438),$B$258=1),$AW$438,HLOOKUP(INDIRECT(ADDRESS(2,COLUMN())),OFFSET($BN$2,0,0,ROW()-1,60),ROW()-1,FALSE))</f>
        <v>8.4610385059999995</v>
      </c>
      <c r="AX198">
        <f ca="1">IF(AND(ISNUMBER($AX$438),$B$258=1),$AX$438,HLOOKUP(INDIRECT(ADDRESS(2,COLUMN())),OFFSET($BN$2,0,0,ROW()-1,60),ROW()-1,FALSE))</f>
        <v>10.59989719</v>
      </c>
      <c r="AY198">
        <f ca="1">IF(AND(ISNUMBER($AY$438),$B$258=1),$AY$438,HLOOKUP(INDIRECT(ADDRESS(2,COLUMN())),OFFSET($BN$2,0,0,ROW()-1,60),ROW()-1,FALSE))</f>
        <v>14.52638542</v>
      </c>
      <c r="AZ198">
        <f ca="1">IF(AND(ISNUMBER($AZ$438),$B$258=1),$AZ$438,HLOOKUP(INDIRECT(ADDRESS(2,COLUMN())),OFFSET($BN$2,0,0,ROW()-1,60),ROW()-1,FALSE))</f>
        <v>8.295436617</v>
      </c>
      <c r="BA198">
        <f ca="1">IF(AND(ISNUMBER($BA$438),$B$258=1),$BA$438,HLOOKUP(INDIRECT(ADDRESS(2,COLUMN())),OFFSET($BN$2,0,0,ROW()-1,60),ROW()-1,FALSE))</f>
        <v>6.214180228</v>
      </c>
      <c r="BB198">
        <f ca="1">IF(AND(ISNUMBER($BB$438),$B$258=1),$BB$438,HLOOKUP(INDIRECT(ADDRESS(2,COLUMN())),OFFSET($BN$2,0,0,ROW()-1,60),ROW()-1,FALSE))</f>
        <v>5.9873664409999998</v>
      </c>
      <c r="BC198">
        <f ca="1">IF(AND(ISNUMBER($BC$438),$B$258=1),$BC$438,HLOOKUP(INDIRECT(ADDRESS(2,COLUMN())),OFFSET($BN$2,0,0,ROW()-1,60),ROW()-1,FALSE))</f>
        <v>5.7067628609999996</v>
      </c>
      <c r="BD198">
        <f ca="1">IF(AND(ISNUMBER($BD$438),$B$258=1),$BD$438,HLOOKUP(INDIRECT(ADDRESS(2,COLUMN())),OFFSET($BN$2,0,0,ROW()-1,60),ROW()-1,FALSE))</f>
        <v>5.1316944639999997</v>
      </c>
      <c r="BE198">
        <f ca="1">IF(AND(ISNUMBER($BE$438),$B$258=1),$BE$438,HLOOKUP(INDIRECT(ADDRESS(2,COLUMN())),OFFSET($BN$2,0,0,ROW()-1,60),ROW()-1,FALSE))</f>
        <v>4.318982782</v>
      </c>
      <c r="BF198">
        <f ca="1">IF(AND(ISNUMBER($BF$438),$B$258=1),$BF$438,HLOOKUP(INDIRECT(ADDRESS(2,COLUMN())),OFFSET($BN$2,0,0,ROW()-1,60),ROW()-1,FALSE))</f>
        <v>3.983659431</v>
      </c>
      <c r="BG198">
        <f ca="1">IF(AND(ISNUMBER($BG$438),$B$258=1),$BG$438,HLOOKUP(INDIRECT(ADDRESS(2,COLUMN())),OFFSET($BN$2,0,0,ROW()-1,60),ROW()-1,FALSE))</f>
        <v>4.2925614970000003</v>
      </c>
      <c r="BH198">
        <f ca="1">IF(AND(ISNUMBER($BH$438),$B$258=1),$BH$438,HLOOKUP(INDIRECT(ADDRESS(2,COLUMN())),OFFSET($BN$2,0,0,ROW()-1,60),ROW()-1,FALSE))</f>
        <v>4.0174940760000002</v>
      </c>
      <c r="BI198">
        <f ca="1">IF(AND(ISNUMBER($BI$438),$B$258=1),$BI$438,HLOOKUP(INDIRECT(ADDRESS(2,COLUMN())),OFFSET($BN$2,0,0,ROW()-1,60),ROW()-1,FALSE))</f>
        <v>3.8719765879999999</v>
      </c>
      <c r="BJ198">
        <f ca="1">IF(AND(ISNUMBER($BJ$438),$B$258=1),$BJ$438,HLOOKUP(INDIRECT(ADDRESS(2,COLUMN())),OFFSET($BN$2,0,0,ROW()-1,60),ROW()-1,FALSE))</f>
        <v>3.7397967489999999</v>
      </c>
      <c r="BK198" t="str">
        <f ca="1">IF(AND(ISNUMBER($BK$438),$B$258=1),$BK$438,HLOOKUP(INDIRECT(ADDRESS(2,COLUMN())),OFFSET($BN$2,0,0,ROW()-1,60),ROW()-1,FALSE))</f>
        <v/>
      </c>
      <c r="BL198">
        <f ca="1">IF(AND(ISNUMBER($BL$438),$B$258=1),$BL$438,HLOOKUP(INDIRECT(ADDRESS(2,COLUMN())),OFFSET($BN$2,0,0,ROW()-1,60),ROW()-1,FALSE))</f>
        <v>4.6924899980000001</v>
      </c>
      <c r="BM198">
        <f ca="1">IF(AND(ISNUMBER($BM$438),$B$258=1),$BM$438,HLOOKUP(INDIRECT(ADDRESS(2,COLUMN())),OFFSET($BN$2,0,0,ROW()-1,60),ROW()-1,FALSE))</f>
        <v>4.5397209439999999</v>
      </c>
      <c r="BN198" t="str">
        <f>""</f>
        <v/>
      </c>
      <c r="BO198">
        <f>8.4439656</f>
        <v>8.4439656000000003</v>
      </c>
      <c r="BP198">
        <f>6.654358014</f>
        <v>6.6543580139999996</v>
      </c>
      <c r="BQ198">
        <f>6.305641387</f>
        <v>6.3056413869999997</v>
      </c>
      <c r="BR198">
        <f>5.819962198</f>
        <v>5.8199621979999998</v>
      </c>
      <c r="BS198">
        <f>6.020777739</f>
        <v>6.0207777389999997</v>
      </c>
      <c r="BT198">
        <f>7.10379885</f>
        <v>7.1037988500000004</v>
      </c>
      <c r="BU198">
        <f>7.113359264</f>
        <v>7.1133592639999996</v>
      </c>
      <c r="BV198">
        <f>7.003051363</f>
        <v>7.003051363</v>
      </c>
      <c r="BW198">
        <f>10.0738387</f>
        <v>10.0738387</v>
      </c>
      <c r="BX198">
        <f>9.151064392</f>
        <v>9.1510643920000003</v>
      </c>
      <c r="BY198">
        <f>8.639796036</f>
        <v>8.6397960359999999</v>
      </c>
      <c r="BZ198">
        <f>7.432828323</f>
        <v>7.4328283229999998</v>
      </c>
      <c r="CA198">
        <f>5.390836774</f>
        <v>5.3908367740000003</v>
      </c>
      <c r="CB198">
        <f>5.049567167</f>
        <v>5.0495671670000002</v>
      </c>
      <c r="CC198">
        <f>4.898865369</f>
        <v>4.8988653690000001</v>
      </c>
      <c r="CD198">
        <f>4.821738242</f>
        <v>4.8217382420000003</v>
      </c>
      <c r="CE198">
        <f>4.978882238</f>
        <v>4.9788822379999997</v>
      </c>
      <c r="CF198">
        <f>5.053937607</f>
        <v>5.0539376069999999</v>
      </c>
      <c r="CG198">
        <f>5.341277815</f>
        <v>5.3412778149999998</v>
      </c>
      <c r="CH198">
        <f>5.338087828</f>
        <v>5.3380878279999999</v>
      </c>
      <c r="CI198">
        <f>5.611747346</f>
        <v>5.6117473459999996</v>
      </c>
      <c r="CJ198">
        <f>5.70852528</f>
        <v>5.7085252799999999</v>
      </c>
      <c r="CK198">
        <f>5.601590612</f>
        <v>5.6015906119999999</v>
      </c>
      <c r="CL198">
        <f>5.527942987</f>
        <v>5.5279429870000003</v>
      </c>
      <c r="CM198">
        <f>6.019474815</f>
        <v>6.0194748149999997</v>
      </c>
      <c r="CN198">
        <f>5.982127335</f>
        <v>5.9821273350000004</v>
      </c>
      <c r="CO198">
        <f>6.919310181</f>
        <v>6.9193101810000002</v>
      </c>
      <c r="CP198">
        <f>8.323549194</f>
        <v>8.3235491939999999</v>
      </c>
      <c r="CQ198">
        <f>5.180426222</f>
        <v>5.1804262220000004</v>
      </c>
      <c r="CR198">
        <f>6.698204734</f>
        <v>6.6982047339999999</v>
      </c>
      <c r="CS198">
        <f>7.195258804</f>
        <v>7.1952588039999998</v>
      </c>
      <c r="CT198">
        <f>7.821871665</f>
        <v>7.8218716649999998</v>
      </c>
      <c r="CU198">
        <f>8.108642453</f>
        <v>8.1086424529999999</v>
      </c>
      <c r="CV198">
        <f>7.60457334</f>
        <v>7.60457334</v>
      </c>
      <c r="CW198">
        <f>6.505058388</f>
        <v>6.5050583880000001</v>
      </c>
      <c r="CX198">
        <f>7.321332619</f>
        <v>7.3213326189999997</v>
      </c>
      <c r="CY198">
        <f>7.532902057</f>
        <v>7.5329020570000003</v>
      </c>
      <c r="CZ198">
        <f>7.904421708</f>
        <v>7.9044217080000001</v>
      </c>
      <c r="DA198">
        <f>9.005806338</f>
        <v>9.0058063379999993</v>
      </c>
      <c r="DB198">
        <f>10.72108393</f>
        <v>10.721083930000001</v>
      </c>
      <c r="DC198">
        <f>10.81327467</f>
        <v>10.81327467</v>
      </c>
      <c r="DD198">
        <f>11.76842561</f>
        <v>11.76842561</v>
      </c>
      <c r="DE198">
        <f>8.461038506</f>
        <v>8.4610385059999995</v>
      </c>
      <c r="DF198">
        <f>10.59989719</f>
        <v>10.59989719</v>
      </c>
      <c r="DG198">
        <f>14.52638542</f>
        <v>14.52638542</v>
      </c>
      <c r="DH198">
        <f>8.295436617</f>
        <v>8.295436617</v>
      </c>
      <c r="DI198">
        <f>6.214180228</f>
        <v>6.214180228</v>
      </c>
      <c r="DJ198">
        <f>5.987366441</f>
        <v>5.9873664409999998</v>
      </c>
      <c r="DK198">
        <f>5.706762861</f>
        <v>5.7067628609999996</v>
      </c>
      <c r="DL198">
        <f>5.131694464</f>
        <v>5.1316944639999997</v>
      </c>
      <c r="DM198">
        <f>4.318982782</f>
        <v>4.318982782</v>
      </c>
      <c r="DN198">
        <f>3.983659431</f>
        <v>3.983659431</v>
      </c>
      <c r="DO198">
        <f>4.292561497</f>
        <v>4.2925614970000003</v>
      </c>
      <c r="DP198">
        <f>4.017494076</f>
        <v>4.0174940760000002</v>
      </c>
      <c r="DQ198">
        <f>3.871976588</f>
        <v>3.8719765879999999</v>
      </c>
      <c r="DR198">
        <f>3.739796749</f>
        <v>3.7397967489999999</v>
      </c>
      <c r="DS198" t="str">
        <f>""</f>
        <v/>
      </c>
      <c r="DT198">
        <f>4.692489998</f>
        <v>4.6924899980000001</v>
      </c>
      <c r="DU198">
        <f>4.539720944</f>
        <v>4.5397209439999999</v>
      </c>
    </row>
    <row r="199" spans="1:125">
      <c r="A199" t="str">
        <f>"    Healthcare Realty Trust Inc"</f>
        <v xml:space="preserve">    Healthcare Realty Trust Inc</v>
      </c>
      <c r="B199" t="str">
        <f>"HR US Equity"</f>
        <v>HR US Equity</v>
      </c>
      <c r="C199" t="str">
        <f t="shared" si="48"/>
        <v>RR052</v>
      </c>
      <c r="D199" t="str">
        <f t="shared" si="49"/>
        <v>TOT_DEBT_TO_EBITDA</v>
      </c>
      <c r="E199" t="str">
        <f t="shared" si="50"/>
        <v>动态</v>
      </c>
      <c r="F199" t="str">
        <f ca="1">IF(AND(ISNUMBER($F$439),$B$258=1),$F$439,HLOOKUP(INDIRECT(ADDRESS(2,COLUMN())),OFFSET($BN$2,0,0,ROW()-1,60),ROW()-1,FALSE))</f>
        <v/>
      </c>
      <c r="G199">
        <f ca="1">IF(AND(ISNUMBER($G$439),$B$258=1),$G$439,HLOOKUP(INDIRECT(ADDRESS(2,COLUMN())),OFFSET($BN$2,0,0,ROW()-1,60),ROW()-1,FALSE))</f>
        <v>5.6673685330000003</v>
      </c>
      <c r="H199">
        <f ca="1">IF(AND(ISNUMBER($H$439),$B$258=1),$H$439,HLOOKUP(INDIRECT(ADDRESS(2,COLUMN())),OFFSET($BN$2,0,0,ROW()-1,60),ROW()-1,FALSE))</f>
        <v>5.1107789810000002</v>
      </c>
      <c r="I199">
        <f ca="1">IF(AND(ISNUMBER($I$439),$B$258=1),$I$439,HLOOKUP(INDIRECT(ADDRESS(2,COLUMN())),OFFSET($BN$2,0,0,ROW()-1,60),ROW()-1,FALSE))</f>
        <v>5.0976874649999999</v>
      </c>
      <c r="J199">
        <f ca="1">IF(AND(ISNUMBER($J$439),$B$258=1),$J$439,HLOOKUP(INDIRECT(ADDRESS(2,COLUMN())),OFFSET($BN$2,0,0,ROW()-1,60),ROW()-1,FALSE))</f>
        <v>5.4197587379999996</v>
      </c>
      <c r="K199">
        <f ca="1">IF(AND(ISNUMBER($K$439),$B$258=1),$K$439,HLOOKUP(INDIRECT(ADDRESS(2,COLUMN())),OFFSET($BN$2,0,0,ROW()-1,60),ROW()-1,FALSE))</f>
        <v>5.4326594620000002</v>
      </c>
      <c r="L199">
        <f ca="1">IF(AND(ISNUMBER($L$439),$B$258=1),$L$439,HLOOKUP(INDIRECT(ADDRESS(2,COLUMN())),OFFSET($BN$2,0,0,ROW()-1,60),ROW()-1,FALSE))</f>
        <v>5.4364615189999999</v>
      </c>
      <c r="M199">
        <f ca="1">IF(AND(ISNUMBER($M$439),$B$258=1),$M$439,HLOOKUP(INDIRECT(ADDRESS(2,COLUMN())),OFFSET($BN$2,0,0,ROW()-1,60),ROW()-1,FALSE))</f>
        <v>6.2798302579999996</v>
      </c>
      <c r="N199">
        <f ca="1">IF(AND(ISNUMBER($N$439),$B$258=1),$N$439,HLOOKUP(INDIRECT(ADDRESS(2,COLUMN())),OFFSET($BN$2,0,0,ROW()-1,60),ROW()-1,FALSE))</f>
        <v>6.5219452530000002</v>
      </c>
      <c r="O199">
        <f ca="1">IF(AND(ISNUMBER($O$439),$B$258=1),$O$439,HLOOKUP(INDIRECT(ADDRESS(2,COLUMN())),OFFSET($BN$2,0,0,ROW()-1,60),ROW()-1,FALSE))</f>
        <v>6.6051051960000002</v>
      </c>
      <c r="P199">
        <f ca="1">IF(AND(ISNUMBER($P$439),$B$258=1),$P$439,HLOOKUP(INDIRECT(ADDRESS(2,COLUMN())),OFFSET($BN$2,0,0,ROW()-1,60),ROW()-1,FALSE))</f>
        <v>6.3577510820000001</v>
      </c>
      <c r="Q199">
        <f ca="1">IF(AND(ISNUMBER($Q$439),$B$258=1),$Q$439,HLOOKUP(INDIRECT(ADDRESS(2,COLUMN())),OFFSET($BN$2,0,0,ROW()-1,60),ROW()-1,FALSE))</f>
        <v>6.3932099620000002</v>
      </c>
      <c r="R199">
        <f ca="1">IF(AND(ISNUMBER($R$439),$B$258=1),$R$439,HLOOKUP(INDIRECT(ADDRESS(2,COLUMN())),OFFSET($BN$2,0,0,ROW()-1,60),ROW()-1,FALSE))</f>
        <v>6.5675024439999996</v>
      </c>
      <c r="S199">
        <f ca="1">IF(AND(ISNUMBER($S$439),$B$258=1),$S$439,HLOOKUP(INDIRECT(ADDRESS(2,COLUMN())),OFFSET($BN$2,0,0,ROW()-1,60),ROW()-1,FALSE))</f>
        <v>6.3860785699999996</v>
      </c>
      <c r="T199">
        <f ca="1">IF(AND(ISNUMBER($T$439),$B$258=1),$T$439,HLOOKUP(INDIRECT(ADDRESS(2,COLUMN())),OFFSET($BN$2,0,0,ROW()-1,60),ROW()-1,FALSE))</f>
        <v>6.492135674</v>
      </c>
      <c r="U199">
        <f ca="1">IF(AND(ISNUMBER($U$439),$B$258=1),$U$439,HLOOKUP(INDIRECT(ADDRESS(2,COLUMN())),OFFSET($BN$2,0,0,ROW()-1,60),ROW()-1,FALSE))</f>
        <v>6.7166374190000004</v>
      </c>
      <c r="V199">
        <f ca="1">IF(AND(ISNUMBER($V$439),$B$258=1),$V$439,HLOOKUP(INDIRECT(ADDRESS(2,COLUMN())),OFFSET($BN$2,0,0,ROW()-1,60),ROW()-1,FALSE))</f>
        <v>6.8822925760000002</v>
      </c>
      <c r="W199">
        <f ca="1">IF(AND(ISNUMBER($W$439),$B$258=1),$W$439,HLOOKUP(INDIRECT(ADDRESS(2,COLUMN())),OFFSET($BN$2,0,0,ROW()-1,60),ROW()-1,FALSE))</f>
        <v>6.9264342550000002</v>
      </c>
      <c r="X199">
        <f ca="1">IF(AND(ISNUMBER($X$439),$B$258=1),$X$439,HLOOKUP(INDIRECT(ADDRESS(2,COLUMN())),OFFSET($BN$2,0,0,ROW()-1,60),ROW()-1,FALSE))</f>
        <v>7.8852584390000002</v>
      </c>
      <c r="Y199">
        <f ca="1">IF(AND(ISNUMBER($Y$439),$B$258=1),$Y$439,HLOOKUP(INDIRECT(ADDRESS(2,COLUMN())),OFFSET($BN$2,0,0,ROW()-1,60),ROW()-1,FALSE))</f>
        <v>8.2476931069999999</v>
      </c>
      <c r="Z199">
        <f ca="1">IF(AND(ISNUMBER($Z$439),$B$258=1),$Z$439,HLOOKUP(INDIRECT(ADDRESS(2,COLUMN())),OFFSET($BN$2,0,0,ROW()-1,60),ROW()-1,FALSE))</f>
        <v>9.0850196449999991</v>
      </c>
      <c r="AA199">
        <f ca="1">IF(AND(ISNUMBER($AA$439),$B$258=1),$AA$439,HLOOKUP(INDIRECT(ADDRESS(2,COLUMN())),OFFSET($BN$2,0,0,ROW()-1,60),ROW()-1,FALSE))</f>
        <v>8.4051222049999996</v>
      </c>
      <c r="AB199">
        <f ca="1">IF(AND(ISNUMBER($AB$439),$B$258=1),$AB$439,HLOOKUP(INDIRECT(ADDRESS(2,COLUMN())),OFFSET($BN$2,0,0,ROW()-1,60),ROW()-1,FALSE))</f>
        <v>6.7570587150000003</v>
      </c>
      <c r="AC199">
        <f ca="1">IF(AND(ISNUMBER($AC$439),$B$258=1),$AC$439,HLOOKUP(INDIRECT(ADDRESS(2,COLUMN())),OFFSET($BN$2,0,0,ROW()-1,60),ROW()-1,FALSE))</f>
        <v>7.9446221809999997</v>
      </c>
      <c r="AD199">
        <f ca="1">IF(AND(ISNUMBER($AD$439),$B$258=1),$AD$439,HLOOKUP(INDIRECT(ADDRESS(2,COLUMN())),OFFSET($BN$2,0,0,ROW()-1,60),ROW()-1,FALSE))</f>
        <v>8.3145052570000004</v>
      </c>
      <c r="AE199">
        <f ca="1">IF(AND(ISNUMBER($AE$439),$B$258=1),$AE$439,HLOOKUP(INDIRECT(ADDRESS(2,COLUMN())),OFFSET($BN$2,0,0,ROW()-1,60),ROW()-1,FALSE))</f>
        <v>8.4012793000000006</v>
      </c>
      <c r="AF199">
        <f ca="1">IF(AND(ISNUMBER($AF$439),$B$258=1),$AF$439,HLOOKUP(INDIRECT(ADDRESS(2,COLUMN())),OFFSET($BN$2,0,0,ROW()-1,60),ROW()-1,FALSE))</f>
        <v>8.53502194</v>
      </c>
      <c r="AG199">
        <f ca="1">IF(AND(ISNUMBER($AG$439),$B$258=1),$AG$439,HLOOKUP(INDIRECT(ADDRESS(2,COLUMN())),OFFSET($BN$2,0,0,ROW()-1,60),ROW()-1,FALSE))</f>
        <v>8.2898121660000008</v>
      </c>
      <c r="AH199">
        <f ca="1">IF(AND(ISNUMBER($AH$439),$B$258=1),$AH$439,HLOOKUP(INDIRECT(ADDRESS(2,COLUMN())),OFFSET($BN$2,0,0,ROW()-1,60),ROW()-1,FALSE))</f>
        <v>8.7246879429999993</v>
      </c>
      <c r="AI199">
        <f ca="1">IF(AND(ISNUMBER($AI$439),$B$258=1),$AI$439,HLOOKUP(INDIRECT(ADDRESS(2,COLUMN())),OFFSET($BN$2,0,0,ROW()-1,60),ROW()-1,FALSE))</f>
        <v>9.7649714929999991</v>
      </c>
      <c r="AJ199">
        <f ca="1">IF(AND(ISNUMBER($AJ$439),$B$258=1),$AJ$439,HLOOKUP(INDIRECT(ADDRESS(2,COLUMN())),OFFSET($BN$2,0,0,ROW()-1,60),ROW()-1,FALSE))</f>
        <v>8.0598790519999994</v>
      </c>
      <c r="AK199">
        <f ca="1">IF(AND(ISNUMBER($AK$439),$B$258=1),$AK$439,HLOOKUP(INDIRECT(ADDRESS(2,COLUMN())),OFFSET($BN$2,0,0,ROW()-1,60),ROW()-1,FALSE))</f>
        <v>7.0737896520000003</v>
      </c>
      <c r="AL199">
        <f ca="1">IF(AND(ISNUMBER($AL$439),$B$258=1),$AL$439,HLOOKUP(INDIRECT(ADDRESS(2,COLUMN())),OFFSET($BN$2,0,0,ROW()-1,60),ROW()-1,FALSE))</f>
        <v>7.3564960910000003</v>
      </c>
      <c r="AM199">
        <f ca="1">IF(AND(ISNUMBER($AM$439),$B$258=1),$AM$439,HLOOKUP(INDIRECT(ADDRESS(2,COLUMN())),OFFSET($BN$2,0,0,ROW()-1,60),ROW()-1,FALSE))</f>
        <v>7.6126671420000003</v>
      </c>
      <c r="AN199">
        <f ca="1">IF(AND(ISNUMBER($AN$439),$B$258=1),$AN$439,HLOOKUP(INDIRECT(ADDRESS(2,COLUMN())),OFFSET($BN$2,0,0,ROW()-1,60),ROW()-1,FALSE))</f>
        <v>7.7761685270000003</v>
      </c>
      <c r="AO199">
        <f ca="1">IF(AND(ISNUMBER($AO$439),$B$258=1),$AO$439,HLOOKUP(INDIRECT(ADDRESS(2,COLUMN())),OFFSET($BN$2,0,0,ROW()-1,60),ROW()-1,FALSE))</f>
        <v>7.9481477810000003</v>
      </c>
      <c r="AP199">
        <f ca="1">IF(AND(ISNUMBER($AP$439),$B$258=1),$AP$439,HLOOKUP(INDIRECT(ADDRESS(2,COLUMN())),OFFSET($BN$2,0,0,ROW()-1,60),ROW()-1,FALSE))</f>
        <v>8.3627128479999993</v>
      </c>
      <c r="AQ199">
        <f ca="1">IF(AND(ISNUMBER($AQ$439),$B$258=1),$AQ$439,HLOOKUP(INDIRECT(ADDRESS(2,COLUMN())),OFFSET($BN$2,0,0,ROW()-1,60),ROW()-1,FALSE))</f>
        <v>8.5369786889999997</v>
      </c>
      <c r="AR199">
        <f ca="1">IF(AND(ISNUMBER($AR$439),$B$258=1),$AR$439,HLOOKUP(INDIRECT(ADDRESS(2,COLUMN())),OFFSET($BN$2,0,0,ROW()-1,60),ROW()-1,FALSE))</f>
        <v>6.0393482629999999</v>
      </c>
      <c r="AS199">
        <f ca="1">IF(AND(ISNUMBER($AS$439),$B$258=1),$AS$439,HLOOKUP(INDIRECT(ADDRESS(2,COLUMN())),OFFSET($BN$2,0,0,ROW()-1,60),ROW()-1,FALSE))</f>
        <v>7.2512622349999996</v>
      </c>
      <c r="AT199">
        <f ca="1">IF(AND(ISNUMBER($AT$439),$B$258=1),$AT$439,HLOOKUP(INDIRECT(ADDRESS(2,COLUMN())),OFFSET($BN$2,0,0,ROW()-1,60),ROW()-1,FALSE))</f>
        <v>7.2042642179999996</v>
      </c>
      <c r="AU199">
        <f ca="1">IF(AND(ISNUMBER($AU$439),$B$258=1),$AU$439,HLOOKUP(INDIRECT(ADDRESS(2,COLUMN())),OFFSET($BN$2,0,0,ROW()-1,60),ROW()-1,FALSE))</f>
        <v>7.0114463259999997</v>
      </c>
      <c r="AV199">
        <f ca="1">IF(AND(ISNUMBER($AV$439),$B$258=1),$AV$439,HLOOKUP(INDIRECT(ADDRESS(2,COLUMN())),OFFSET($BN$2,0,0,ROW()-1,60),ROW()-1,FALSE))</f>
        <v>6.4179163409999997</v>
      </c>
      <c r="AW199">
        <f ca="1">IF(AND(ISNUMBER($AW$439),$B$258=1),$AW$439,HLOOKUP(INDIRECT(ADDRESS(2,COLUMN())),OFFSET($BN$2,0,0,ROW()-1,60),ROW()-1,FALSE))</f>
        <v>6.0662261900000001</v>
      </c>
      <c r="AX199">
        <f ca="1">IF(AND(ISNUMBER($AX$439),$B$258=1),$AX$439,HLOOKUP(INDIRECT(ADDRESS(2,COLUMN())),OFFSET($BN$2,0,0,ROW()-1,60),ROW()-1,FALSE))</f>
        <v>5.5232523609999999</v>
      </c>
      <c r="AY199">
        <f ca="1">IF(AND(ISNUMBER($AY$439),$B$258=1),$AY$439,HLOOKUP(INDIRECT(ADDRESS(2,COLUMN())),OFFSET($BN$2,0,0,ROW()-1,60),ROW()-1,FALSE))</f>
        <v>6.2063773700000002</v>
      </c>
      <c r="AZ199">
        <f ca="1">IF(AND(ISNUMBER($AZ$439),$B$258=1),$AZ$439,HLOOKUP(INDIRECT(ADDRESS(2,COLUMN())),OFFSET($BN$2,0,0,ROW()-1,60),ROW()-1,FALSE))</f>
        <v>5.923692548</v>
      </c>
      <c r="BA199">
        <f ca="1">IF(AND(ISNUMBER($BA$439),$B$258=1),$BA$439,HLOOKUP(INDIRECT(ADDRESS(2,COLUMN())),OFFSET($BN$2,0,0,ROW()-1,60),ROW()-1,FALSE))</f>
        <v>5.8929153870000004</v>
      </c>
      <c r="BB199">
        <f ca="1">IF(AND(ISNUMBER($BB$439),$B$258=1),$BB$439,HLOOKUP(INDIRECT(ADDRESS(2,COLUMN())),OFFSET($BN$2,0,0,ROW()-1,60),ROW()-1,FALSE))</f>
        <v>5.3494831229999997</v>
      </c>
      <c r="BC199">
        <f ca="1">IF(AND(ISNUMBER($BC$439),$B$258=1),$BC$439,HLOOKUP(INDIRECT(ADDRESS(2,COLUMN())),OFFSET($BN$2,0,0,ROW()-1,60),ROW()-1,FALSE))</f>
        <v>5.2663532120000003</v>
      </c>
      <c r="BD199">
        <f ca="1">IF(AND(ISNUMBER($BD$439),$B$258=1),$BD$439,HLOOKUP(INDIRECT(ADDRESS(2,COLUMN())),OFFSET($BN$2,0,0,ROW()-1,60),ROW()-1,FALSE))</f>
        <v>5.196737165</v>
      </c>
      <c r="BE199">
        <f ca="1">IF(AND(ISNUMBER($BE$439),$B$258=1),$BE$439,HLOOKUP(INDIRECT(ADDRESS(2,COLUMN())),OFFSET($BN$2,0,0,ROW()-1,60),ROW()-1,FALSE))</f>
        <v>5.105313497</v>
      </c>
      <c r="BF199">
        <f ca="1">IF(AND(ISNUMBER($BF$439),$B$258=1),$BF$439,HLOOKUP(INDIRECT(ADDRESS(2,COLUMN())),OFFSET($BN$2,0,0,ROW()-1,60),ROW()-1,FALSE))</f>
        <v>4.8997707039999998</v>
      </c>
      <c r="BG199">
        <f ca="1">IF(AND(ISNUMBER($BG$439),$B$258=1),$BG$439,HLOOKUP(INDIRECT(ADDRESS(2,COLUMN())),OFFSET($BN$2,0,0,ROW()-1,60),ROW()-1,FALSE))</f>
        <v>5.1294661320000001</v>
      </c>
      <c r="BH199">
        <f ca="1">IF(AND(ISNUMBER($BH$439),$B$258=1),$BH$439,HLOOKUP(INDIRECT(ADDRESS(2,COLUMN())),OFFSET($BN$2,0,0,ROW()-1,60),ROW()-1,FALSE))</f>
        <v>5.5177811459999999</v>
      </c>
      <c r="BI199">
        <f ca="1">IF(AND(ISNUMBER($BI$439),$B$258=1),$BI$439,HLOOKUP(INDIRECT(ADDRESS(2,COLUMN())),OFFSET($BN$2,0,0,ROW()-1,60),ROW()-1,FALSE))</f>
        <v>5.9700169900000004</v>
      </c>
      <c r="BJ199">
        <f ca="1">IF(AND(ISNUMBER($BJ$439),$B$258=1),$BJ$439,HLOOKUP(INDIRECT(ADDRESS(2,COLUMN())),OFFSET($BN$2,0,0,ROW()-1,60),ROW()-1,FALSE))</f>
        <v>5.6592775099999999</v>
      </c>
      <c r="BK199">
        <f ca="1">IF(AND(ISNUMBER($BK$439),$B$258=1),$BK$439,HLOOKUP(INDIRECT(ADDRESS(2,COLUMN())),OFFSET($BN$2,0,0,ROW()-1,60),ROW()-1,FALSE))</f>
        <v>4.4830333449999999</v>
      </c>
      <c r="BL199">
        <f ca="1">IF(AND(ISNUMBER($BL$439),$B$258=1),$BL$439,HLOOKUP(INDIRECT(ADDRESS(2,COLUMN())),OFFSET($BN$2,0,0,ROW()-1,60),ROW()-1,FALSE))</f>
        <v>4.4468769190000002</v>
      </c>
      <c r="BM199">
        <f ca="1">IF(AND(ISNUMBER($BM$439),$B$258=1),$BM$439,HLOOKUP(INDIRECT(ADDRESS(2,COLUMN())),OFFSET($BN$2,0,0,ROW()-1,60),ROW()-1,FALSE))</f>
        <v>4.2153953059999996</v>
      </c>
      <c r="BN199" t="str">
        <f>""</f>
        <v/>
      </c>
      <c r="BO199">
        <f>5.667368533</f>
        <v>5.6673685330000003</v>
      </c>
      <c r="BP199">
        <f>5.110778981</f>
        <v>5.1107789810000002</v>
      </c>
      <c r="BQ199">
        <f>5.097687465</f>
        <v>5.0976874649999999</v>
      </c>
      <c r="BR199">
        <f>5.419758738</f>
        <v>5.4197587379999996</v>
      </c>
      <c r="BS199">
        <f>5.432659462</f>
        <v>5.4326594620000002</v>
      </c>
      <c r="BT199">
        <f>5.436461519</f>
        <v>5.4364615189999999</v>
      </c>
      <c r="BU199">
        <f>6.279830258</f>
        <v>6.2798302579999996</v>
      </c>
      <c r="BV199">
        <f>6.521945253</f>
        <v>6.5219452530000002</v>
      </c>
      <c r="BW199">
        <f>6.605105196</f>
        <v>6.6051051960000002</v>
      </c>
      <c r="BX199">
        <f>6.357751082</f>
        <v>6.3577510820000001</v>
      </c>
      <c r="BY199">
        <f>6.393209962</f>
        <v>6.3932099620000002</v>
      </c>
      <c r="BZ199">
        <f>6.567502444</f>
        <v>6.5675024439999996</v>
      </c>
      <c r="CA199">
        <f>6.38607857</f>
        <v>6.3860785699999996</v>
      </c>
      <c r="CB199">
        <f>6.492135674</f>
        <v>6.492135674</v>
      </c>
      <c r="CC199">
        <f>6.716637419</f>
        <v>6.7166374190000004</v>
      </c>
      <c r="CD199">
        <f>6.882292576</f>
        <v>6.8822925760000002</v>
      </c>
      <c r="CE199">
        <f>6.926434255</f>
        <v>6.9264342550000002</v>
      </c>
      <c r="CF199">
        <f>7.885258439</f>
        <v>7.8852584390000002</v>
      </c>
      <c r="CG199">
        <f>8.247693107</f>
        <v>8.2476931069999999</v>
      </c>
      <c r="CH199">
        <f>9.085019645</f>
        <v>9.0850196449999991</v>
      </c>
      <c r="CI199">
        <f>8.405122205</f>
        <v>8.4051222049999996</v>
      </c>
      <c r="CJ199">
        <f>6.757058715</f>
        <v>6.7570587150000003</v>
      </c>
      <c r="CK199">
        <f>7.944622181</f>
        <v>7.9446221809999997</v>
      </c>
      <c r="CL199">
        <f>8.314505257</f>
        <v>8.3145052570000004</v>
      </c>
      <c r="CM199">
        <f>8.4012793</f>
        <v>8.4012793000000006</v>
      </c>
      <c r="CN199">
        <f>8.53502194</f>
        <v>8.53502194</v>
      </c>
      <c r="CO199">
        <f>8.289812166</f>
        <v>8.2898121660000008</v>
      </c>
      <c r="CP199">
        <f>8.724687943</f>
        <v>8.7246879429999993</v>
      </c>
      <c r="CQ199">
        <f>9.764971493</f>
        <v>9.7649714929999991</v>
      </c>
      <c r="CR199">
        <f>8.059879052</f>
        <v>8.0598790519999994</v>
      </c>
      <c r="CS199">
        <f>7.073789652</f>
        <v>7.0737896520000003</v>
      </c>
      <c r="CT199">
        <f>7.356496091</f>
        <v>7.3564960910000003</v>
      </c>
      <c r="CU199">
        <f>7.612667142</f>
        <v>7.6126671420000003</v>
      </c>
      <c r="CV199">
        <f>7.776168527</f>
        <v>7.7761685270000003</v>
      </c>
      <c r="CW199">
        <f>7.948147781</f>
        <v>7.9481477810000003</v>
      </c>
      <c r="CX199">
        <f>8.362712848</f>
        <v>8.3627128479999993</v>
      </c>
      <c r="CY199">
        <f>8.536978689</f>
        <v>8.5369786889999997</v>
      </c>
      <c r="CZ199">
        <f>6.039348263</f>
        <v>6.0393482629999999</v>
      </c>
      <c r="DA199">
        <f>7.251262235</f>
        <v>7.2512622349999996</v>
      </c>
      <c r="DB199">
        <f>7.204264218</f>
        <v>7.2042642179999996</v>
      </c>
      <c r="DC199">
        <f>7.011446326</f>
        <v>7.0114463259999997</v>
      </c>
      <c r="DD199">
        <f>6.417916341</f>
        <v>6.4179163409999997</v>
      </c>
      <c r="DE199">
        <f>6.06622619</f>
        <v>6.0662261900000001</v>
      </c>
      <c r="DF199">
        <f>5.523252361</f>
        <v>5.5232523609999999</v>
      </c>
      <c r="DG199">
        <f>6.20637737</f>
        <v>6.2063773700000002</v>
      </c>
      <c r="DH199">
        <f>5.923692548</f>
        <v>5.923692548</v>
      </c>
      <c r="DI199">
        <f>5.892915387</f>
        <v>5.8929153870000004</v>
      </c>
      <c r="DJ199">
        <f>5.349483123</f>
        <v>5.3494831229999997</v>
      </c>
      <c r="DK199">
        <f>5.266353212</f>
        <v>5.2663532120000003</v>
      </c>
      <c r="DL199">
        <f>5.196737165</f>
        <v>5.196737165</v>
      </c>
      <c r="DM199">
        <f>5.105313497</f>
        <v>5.105313497</v>
      </c>
      <c r="DN199">
        <f>4.899770704</f>
        <v>4.8997707039999998</v>
      </c>
      <c r="DO199">
        <f>5.129466132</f>
        <v>5.1294661320000001</v>
      </c>
      <c r="DP199">
        <f>5.517781146</f>
        <v>5.5177811459999999</v>
      </c>
      <c r="DQ199">
        <f>5.97001699</f>
        <v>5.9700169900000004</v>
      </c>
      <c r="DR199">
        <f>5.65927751</f>
        <v>5.6592775099999999</v>
      </c>
      <c r="DS199">
        <f>4.483033345</f>
        <v>4.4830333449999999</v>
      </c>
      <c r="DT199">
        <f>4.446876919</f>
        <v>4.4468769190000002</v>
      </c>
      <c r="DU199">
        <f>4.215395306</f>
        <v>4.2153953059999996</v>
      </c>
    </row>
    <row r="200" spans="1:125">
      <c r="A200" t="str">
        <f>"    Healthcare Trust of America In"</f>
        <v xml:space="preserve">    Healthcare Trust of America In</v>
      </c>
      <c r="B200" t="str">
        <f>"HTA US Equity"</f>
        <v>HTA US Equity</v>
      </c>
      <c r="C200" t="str">
        <f t="shared" si="48"/>
        <v>RR052</v>
      </c>
      <c r="D200" t="str">
        <f t="shared" si="49"/>
        <v>TOT_DEBT_TO_EBITDA</v>
      </c>
      <c r="E200" t="str">
        <f t="shared" si="50"/>
        <v>动态</v>
      </c>
      <c r="F200" t="str">
        <f ca="1">IF(AND(ISNUMBER($F$440),$B$258=1),$F$440,HLOOKUP(INDIRECT(ADDRESS(2,COLUMN())),OFFSET($BN$2,0,0,ROW()-1,60),ROW()-1,FALSE))</f>
        <v/>
      </c>
      <c r="G200">
        <f ca="1">IF(AND(ISNUMBER($G$440),$B$258=1),$G$440,HLOOKUP(INDIRECT(ADDRESS(2,COLUMN())),OFFSET($BN$2,0,0,ROW()-1,60),ROW()-1,FALSE))</f>
        <v>7.6677695339999996</v>
      </c>
      <c r="H200">
        <f ca="1">IF(AND(ISNUMBER($H$440),$B$258=1),$H$440,HLOOKUP(INDIRECT(ADDRESS(2,COLUMN())),OFFSET($BN$2,0,0,ROW()-1,60),ROW()-1,FALSE))</f>
        <v>8.5838278639999999</v>
      </c>
      <c r="I200">
        <f ca="1">IF(AND(ISNUMBER($I$440),$B$258=1),$I$440,HLOOKUP(INDIRECT(ADDRESS(2,COLUMN())),OFFSET($BN$2,0,0,ROW()-1,60),ROW()-1,FALSE))</f>
        <v>9.3996016210000004</v>
      </c>
      <c r="J200">
        <f ca="1">IF(AND(ISNUMBER($J$440),$B$258=1),$J$440,HLOOKUP(INDIRECT(ADDRESS(2,COLUMN())),OFFSET($BN$2,0,0,ROW()-1,60),ROW()-1,FALSE))</f>
        <v>6.2814356509999998</v>
      </c>
      <c r="K200">
        <f ca="1">IF(AND(ISNUMBER($K$440),$B$258=1),$K$440,HLOOKUP(INDIRECT(ADDRESS(2,COLUMN())),OFFSET($BN$2,0,0,ROW()-1,60),ROW()-1,FALSE))</f>
        <v>6.3812160679999996</v>
      </c>
      <c r="L200">
        <f ca="1">IF(AND(ISNUMBER($L$440),$B$258=1),$L$440,HLOOKUP(INDIRECT(ADDRESS(2,COLUMN())),OFFSET($BN$2,0,0,ROW()-1,60),ROW()-1,FALSE))</f>
        <v>6.3663223159999998</v>
      </c>
      <c r="M200">
        <f ca="1">IF(AND(ISNUMBER($M$440),$B$258=1),$M$440,HLOOKUP(INDIRECT(ADDRESS(2,COLUMN())),OFFSET($BN$2,0,0,ROW()-1,60),ROW()-1,FALSE))</f>
        <v>6.3122055010000002</v>
      </c>
      <c r="N200">
        <f ca="1">IF(AND(ISNUMBER($N$440),$B$258=1),$N$440,HLOOKUP(INDIRECT(ADDRESS(2,COLUMN())),OFFSET($BN$2,0,0,ROW()-1,60),ROW()-1,FALSE))</f>
        <v>6.6492524519999998</v>
      </c>
      <c r="O200">
        <f ca="1">IF(AND(ISNUMBER($O$440),$B$258=1),$O$440,HLOOKUP(INDIRECT(ADDRESS(2,COLUMN())),OFFSET($BN$2,0,0,ROW()-1,60),ROW()-1,FALSE))</f>
        <v>6.4873938610000002</v>
      </c>
      <c r="P200">
        <f ca="1">IF(AND(ISNUMBER($P$440),$B$258=1),$P$440,HLOOKUP(INDIRECT(ADDRESS(2,COLUMN())),OFFSET($BN$2,0,0,ROW()-1,60),ROW()-1,FALSE))</f>
        <v>6.5367242650000001</v>
      </c>
      <c r="Q200">
        <f ca="1">IF(AND(ISNUMBER($Q$440),$B$258=1),$Q$440,HLOOKUP(INDIRECT(ADDRESS(2,COLUMN())),OFFSET($BN$2,0,0,ROW()-1,60),ROW()-1,FALSE))</f>
        <v>6.9532280100000001</v>
      </c>
      <c r="R200">
        <f ca="1">IF(AND(ISNUMBER($R$440),$B$258=1),$R$440,HLOOKUP(INDIRECT(ADDRESS(2,COLUMN())),OFFSET($BN$2,0,0,ROW()-1,60),ROW()-1,FALSE))</f>
        <v>6.4615214229999998</v>
      </c>
      <c r="S200">
        <f ca="1">IF(AND(ISNUMBER($S$440),$B$258=1),$S$440,HLOOKUP(INDIRECT(ADDRESS(2,COLUMN())),OFFSET($BN$2,0,0,ROW()-1,60),ROW()-1,FALSE))</f>
        <v>6.3660611730000003</v>
      </c>
      <c r="T200">
        <f ca="1">IF(AND(ISNUMBER($T$440),$B$258=1),$T$440,HLOOKUP(INDIRECT(ADDRESS(2,COLUMN())),OFFSET($BN$2,0,0,ROW()-1,60),ROW()-1,FALSE))</f>
        <v>7.0860615579999999</v>
      </c>
      <c r="U200">
        <f ca="1">IF(AND(ISNUMBER($U$440),$B$258=1),$U$440,HLOOKUP(INDIRECT(ADDRESS(2,COLUMN())),OFFSET($BN$2,0,0,ROW()-1,60),ROW()-1,FALSE))</f>
        <v>7.4710336489999998</v>
      </c>
      <c r="V200">
        <f ca="1">IF(AND(ISNUMBER($V$440),$B$258=1),$V$440,HLOOKUP(INDIRECT(ADDRESS(2,COLUMN())),OFFSET($BN$2,0,0,ROW()-1,60),ROW()-1,FALSE))</f>
        <v>6.1629507380000002</v>
      </c>
      <c r="W200">
        <f ca="1">IF(AND(ISNUMBER($W$440),$B$258=1),$W$440,HLOOKUP(INDIRECT(ADDRESS(2,COLUMN())),OFFSET($BN$2,0,0,ROW()-1,60),ROW()-1,FALSE))</f>
        <v>6.4808601709999998</v>
      </c>
      <c r="X200">
        <f ca="1">IF(AND(ISNUMBER($X$440),$B$258=1),$X$440,HLOOKUP(INDIRECT(ADDRESS(2,COLUMN())),OFFSET($BN$2,0,0,ROW()-1,60),ROW()-1,FALSE))</f>
        <v>6.4020381119999996</v>
      </c>
      <c r="Y200">
        <f ca="1">IF(AND(ISNUMBER($Y$440),$B$258=1),$Y$440,HLOOKUP(INDIRECT(ADDRESS(2,COLUMN())),OFFSET($BN$2,0,0,ROW()-1,60),ROW()-1,FALSE))</f>
        <v>6.6759577710000002</v>
      </c>
      <c r="Z200">
        <f ca="1">IF(AND(ISNUMBER($Z$440),$B$258=1),$Z$440,HLOOKUP(INDIRECT(ADDRESS(2,COLUMN())),OFFSET($BN$2,0,0,ROW()-1,60),ROW()-1,FALSE))</f>
        <v>7.6857011379999998</v>
      </c>
      <c r="AA200">
        <f ca="1">IF(AND(ISNUMBER($AA$440),$B$258=1),$AA$440,HLOOKUP(INDIRECT(ADDRESS(2,COLUMN())),OFFSET($BN$2,0,0,ROW()-1,60),ROW()-1,FALSE))</f>
        <v>7.2081367470000002</v>
      </c>
      <c r="AB200">
        <f ca="1">IF(AND(ISNUMBER($AB$440),$B$258=1),$AB$440,HLOOKUP(INDIRECT(ADDRESS(2,COLUMN())),OFFSET($BN$2,0,0,ROW()-1,60),ROW()-1,FALSE))</f>
        <v>7.4043738899999996</v>
      </c>
      <c r="AC200">
        <f ca="1">IF(AND(ISNUMBER($AC$440),$B$258=1),$AC$440,HLOOKUP(INDIRECT(ADDRESS(2,COLUMN())),OFFSET($BN$2,0,0,ROW()-1,60),ROW()-1,FALSE))</f>
        <v>6.6029767709999998</v>
      </c>
      <c r="AD200">
        <f ca="1">IF(AND(ISNUMBER($AD$440),$B$258=1),$AD$440,HLOOKUP(INDIRECT(ADDRESS(2,COLUMN())),OFFSET($BN$2,0,0,ROW()-1,60),ROW()-1,FALSE))</f>
        <v>5.8916428950000004</v>
      </c>
      <c r="AE200">
        <f ca="1">IF(AND(ISNUMBER($AE$440),$B$258=1),$AE$440,HLOOKUP(INDIRECT(ADDRESS(2,COLUMN())),OFFSET($BN$2,0,0,ROW()-1,60),ROW()-1,FALSE))</f>
        <v>4.5419266350000003</v>
      </c>
      <c r="AF200">
        <f ca="1">IF(AND(ISNUMBER($AF$440),$B$258=1),$AF$440,HLOOKUP(INDIRECT(ADDRESS(2,COLUMN())),OFFSET($BN$2,0,0,ROW()-1,60),ROW()-1,FALSE))</f>
        <v>4.7672581950000001</v>
      </c>
      <c r="AG200">
        <f ca="1">IF(AND(ISNUMBER($AG$440),$B$258=1),$AG$440,HLOOKUP(INDIRECT(ADDRESS(2,COLUMN())),OFFSET($BN$2,0,0,ROW()-1,60),ROW()-1,FALSE))</f>
        <v>5.1880003109999997</v>
      </c>
      <c r="AH200">
        <f ca="1">IF(AND(ISNUMBER($AH$440),$B$258=1),$AH$440,HLOOKUP(INDIRECT(ADDRESS(2,COLUMN())),OFFSET($BN$2,0,0,ROW()-1,60),ROW()-1,FALSE))</f>
        <v>6.7639091459999996</v>
      </c>
      <c r="AI200">
        <f ca="1">IF(AND(ISNUMBER($AI$440),$B$258=1),$AI$440,HLOOKUP(INDIRECT(ADDRESS(2,COLUMN())),OFFSET($BN$2,0,0,ROW()-1,60),ROW()-1,FALSE))</f>
        <v>7.1990911039999999</v>
      </c>
      <c r="AJ200" t="str">
        <f ca="1">IF(AND(ISNUMBER($AJ$440),$B$258=1),$AJ$440,HLOOKUP(INDIRECT(ADDRESS(2,COLUMN())),OFFSET($BN$2,0,0,ROW()-1,60),ROW()-1,FALSE))</f>
        <v/>
      </c>
      <c r="AK200" t="str">
        <f ca="1">IF(AND(ISNUMBER($AK$440),$B$258=1),$AK$440,HLOOKUP(INDIRECT(ADDRESS(2,COLUMN())),OFFSET($BN$2,0,0,ROW()-1,60),ROW()-1,FALSE))</f>
        <v/>
      </c>
      <c r="AL200" t="str">
        <f ca="1">IF(AND(ISNUMBER($AL$440),$B$258=1),$AL$440,HLOOKUP(INDIRECT(ADDRESS(2,COLUMN())),OFFSET($BN$2,0,0,ROW()-1,60),ROW()-1,FALSE))</f>
        <v/>
      </c>
      <c r="AM200" t="str">
        <f ca="1">IF(AND(ISNUMBER($AM$440),$B$258=1),$AM$440,HLOOKUP(INDIRECT(ADDRESS(2,COLUMN())),OFFSET($BN$2,0,0,ROW()-1,60),ROW()-1,FALSE))</f>
        <v/>
      </c>
      <c r="AN200" t="str">
        <f ca="1">IF(AND(ISNUMBER($AN$440),$B$258=1),$AN$440,HLOOKUP(INDIRECT(ADDRESS(2,COLUMN())),OFFSET($BN$2,0,0,ROW()-1,60),ROW()-1,FALSE))</f>
        <v/>
      </c>
      <c r="AO200" t="str">
        <f ca="1">IF(AND(ISNUMBER($AO$440),$B$258=1),$AO$440,HLOOKUP(INDIRECT(ADDRESS(2,COLUMN())),OFFSET($BN$2,0,0,ROW()-1,60),ROW()-1,FALSE))</f>
        <v/>
      </c>
      <c r="AP200" t="str">
        <f ca="1">IF(AND(ISNUMBER($AP$440),$B$258=1),$AP$440,HLOOKUP(INDIRECT(ADDRESS(2,COLUMN())),OFFSET($BN$2,0,0,ROW()-1,60),ROW()-1,FALSE))</f>
        <v/>
      </c>
      <c r="AQ200" t="str">
        <f ca="1">IF(AND(ISNUMBER($AQ$440),$B$258=1),$AQ$440,HLOOKUP(INDIRECT(ADDRESS(2,COLUMN())),OFFSET($BN$2,0,0,ROW()-1,60),ROW()-1,FALSE))</f>
        <v/>
      </c>
      <c r="AR200" t="str">
        <f ca="1">IF(AND(ISNUMBER($AR$440),$B$258=1),$AR$440,HLOOKUP(INDIRECT(ADDRESS(2,COLUMN())),OFFSET($BN$2,0,0,ROW()-1,60),ROW()-1,FALSE))</f>
        <v/>
      </c>
      <c r="AS200" t="str">
        <f ca="1">IF(AND(ISNUMBER($AS$440),$B$258=1),$AS$440,HLOOKUP(INDIRECT(ADDRESS(2,COLUMN())),OFFSET($BN$2,0,0,ROW()-1,60),ROW()-1,FALSE))</f>
        <v/>
      </c>
      <c r="AT200" t="str">
        <f ca="1">IF(AND(ISNUMBER($AT$440),$B$258=1),$AT$440,HLOOKUP(INDIRECT(ADDRESS(2,COLUMN())),OFFSET($BN$2,0,0,ROW()-1,60),ROW()-1,FALSE))</f>
        <v/>
      </c>
      <c r="AU200" t="str">
        <f ca="1">IF(AND(ISNUMBER($AU$440),$B$258=1),$AU$440,HLOOKUP(INDIRECT(ADDRESS(2,COLUMN())),OFFSET($BN$2,0,0,ROW()-1,60),ROW()-1,FALSE))</f>
        <v/>
      </c>
      <c r="AV200" t="str">
        <f ca="1">IF(AND(ISNUMBER($AV$440),$B$258=1),$AV$440,HLOOKUP(INDIRECT(ADDRESS(2,COLUMN())),OFFSET($BN$2,0,0,ROW()-1,60),ROW()-1,FALSE))</f>
        <v/>
      </c>
      <c r="AW200" t="str">
        <f ca="1">IF(AND(ISNUMBER($AW$440),$B$258=1),$AW$440,HLOOKUP(INDIRECT(ADDRESS(2,COLUMN())),OFFSET($BN$2,0,0,ROW()-1,60),ROW()-1,FALSE))</f>
        <v/>
      </c>
      <c r="AX200" t="str">
        <f ca="1">IF(AND(ISNUMBER($AX$440),$B$258=1),$AX$440,HLOOKUP(INDIRECT(ADDRESS(2,COLUMN())),OFFSET($BN$2,0,0,ROW()-1,60),ROW()-1,FALSE))</f>
        <v/>
      </c>
      <c r="AY200" t="str">
        <f ca="1">IF(AND(ISNUMBER($AY$440),$B$258=1),$AY$440,HLOOKUP(INDIRECT(ADDRESS(2,COLUMN())),OFFSET($BN$2,0,0,ROW()-1,60),ROW()-1,FALSE))</f>
        <v/>
      </c>
      <c r="AZ200" t="str">
        <f ca="1">IF(AND(ISNUMBER($AZ$440),$B$258=1),$AZ$440,HLOOKUP(INDIRECT(ADDRESS(2,COLUMN())),OFFSET($BN$2,0,0,ROW()-1,60),ROW()-1,FALSE))</f>
        <v/>
      </c>
      <c r="BA200" t="str">
        <f ca="1">IF(AND(ISNUMBER($BA$440),$B$258=1),$BA$440,HLOOKUP(INDIRECT(ADDRESS(2,COLUMN())),OFFSET($BN$2,0,0,ROW()-1,60),ROW()-1,FALSE))</f>
        <v/>
      </c>
      <c r="BB200" t="str">
        <f ca="1">IF(AND(ISNUMBER($BB$440),$B$258=1),$BB$440,HLOOKUP(INDIRECT(ADDRESS(2,COLUMN())),OFFSET($BN$2,0,0,ROW()-1,60),ROW()-1,FALSE))</f>
        <v/>
      </c>
      <c r="BC200" t="str">
        <f ca="1">IF(AND(ISNUMBER($BC$440),$B$258=1),$BC$440,HLOOKUP(INDIRECT(ADDRESS(2,COLUMN())),OFFSET($BN$2,0,0,ROW()-1,60),ROW()-1,FALSE))</f>
        <v/>
      </c>
      <c r="BD200" t="str">
        <f ca="1">IF(AND(ISNUMBER($BD$440),$B$258=1),$BD$440,HLOOKUP(INDIRECT(ADDRESS(2,COLUMN())),OFFSET($BN$2,0,0,ROW()-1,60),ROW()-1,FALSE))</f>
        <v/>
      </c>
      <c r="BE200" t="str">
        <f ca="1">IF(AND(ISNUMBER($BE$440),$B$258=1),$BE$440,HLOOKUP(INDIRECT(ADDRESS(2,COLUMN())),OFFSET($BN$2,0,0,ROW()-1,60),ROW()-1,FALSE))</f>
        <v/>
      </c>
      <c r="BF200" t="str">
        <f ca="1">IF(AND(ISNUMBER($BF$440),$B$258=1),$BF$440,HLOOKUP(INDIRECT(ADDRESS(2,COLUMN())),OFFSET($BN$2,0,0,ROW()-1,60),ROW()-1,FALSE))</f>
        <v/>
      </c>
      <c r="BG200" t="str">
        <f ca="1">IF(AND(ISNUMBER($BG$440),$B$258=1),$BG$440,HLOOKUP(INDIRECT(ADDRESS(2,COLUMN())),OFFSET($BN$2,0,0,ROW()-1,60),ROW()-1,FALSE))</f>
        <v/>
      </c>
      <c r="BH200" t="str">
        <f ca="1">IF(AND(ISNUMBER($BH$440),$B$258=1),$BH$440,HLOOKUP(INDIRECT(ADDRESS(2,COLUMN())),OFFSET($BN$2,0,0,ROW()-1,60),ROW()-1,FALSE))</f>
        <v/>
      </c>
      <c r="BI200" t="str">
        <f ca="1">IF(AND(ISNUMBER($BI$440),$B$258=1),$BI$440,HLOOKUP(INDIRECT(ADDRESS(2,COLUMN())),OFFSET($BN$2,0,0,ROW()-1,60),ROW()-1,FALSE))</f>
        <v/>
      </c>
      <c r="BJ200" t="str">
        <f ca="1">IF(AND(ISNUMBER($BJ$440),$B$258=1),$BJ$440,HLOOKUP(INDIRECT(ADDRESS(2,COLUMN())),OFFSET($BN$2,0,0,ROW()-1,60),ROW()-1,FALSE))</f>
        <v/>
      </c>
      <c r="BK200" t="str">
        <f ca="1">IF(AND(ISNUMBER($BK$440),$B$258=1),$BK$440,HLOOKUP(INDIRECT(ADDRESS(2,COLUMN())),OFFSET($BN$2,0,0,ROW()-1,60),ROW()-1,FALSE))</f>
        <v/>
      </c>
      <c r="BL200" t="str">
        <f ca="1">IF(AND(ISNUMBER($BL$440),$B$258=1),$BL$440,HLOOKUP(INDIRECT(ADDRESS(2,COLUMN())),OFFSET($BN$2,0,0,ROW()-1,60),ROW()-1,FALSE))</f>
        <v/>
      </c>
      <c r="BM200" t="str">
        <f ca="1">IF(AND(ISNUMBER($BM$440),$B$258=1),$BM$440,HLOOKUP(INDIRECT(ADDRESS(2,COLUMN())),OFFSET($BN$2,0,0,ROW()-1,60),ROW()-1,FALSE))</f>
        <v/>
      </c>
      <c r="BN200" t="str">
        <f>""</f>
        <v/>
      </c>
      <c r="BO200">
        <f>7.667769534</f>
        <v>7.6677695339999996</v>
      </c>
      <c r="BP200">
        <f>8.583827864</f>
        <v>8.5838278639999999</v>
      </c>
      <c r="BQ200">
        <f>9.399601621</f>
        <v>9.3996016210000004</v>
      </c>
      <c r="BR200">
        <f>6.281435651</f>
        <v>6.2814356509999998</v>
      </c>
      <c r="BS200">
        <f>6.381216068</f>
        <v>6.3812160679999996</v>
      </c>
      <c r="BT200">
        <f>6.366322316</f>
        <v>6.3663223159999998</v>
      </c>
      <c r="BU200">
        <f>6.312205501</f>
        <v>6.3122055010000002</v>
      </c>
      <c r="BV200">
        <f>6.649252452</f>
        <v>6.6492524519999998</v>
      </c>
      <c r="BW200">
        <f>6.487393861</f>
        <v>6.4873938610000002</v>
      </c>
      <c r="BX200">
        <f>6.536724265</f>
        <v>6.5367242650000001</v>
      </c>
      <c r="BY200">
        <f>6.95322801</f>
        <v>6.9532280100000001</v>
      </c>
      <c r="BZ200">
        <f>6.461521423</f>
        <v>6.4615214229999998</v>
      </c>
      <c r="CA200">
        <f>6.366061173</f>
        <v>6.3660611730000003</v>
      </c>
      <c r="CB200">
        <f>7.086061558</f>
        <v>7.0860615579999999</v>
      </c>
      <c r="CC200">
        <f>7.471033649</f>
        <v>7.4710336489999998</v>
      </c>
      <c r="CD200">
        <f>6.162950738</f>
        <v>6.1629507380000002</v>
      </c>
      <c r="CE200">
        <f>6.480860171</f>
        <v>6.4808601709999998</v>
      </c>
      <c r="CF200">
        <f>6.402038112</f>
        <v>6.4020381119999996</v>
      </c>
      <c r="CG200">
        <f>6.675957771</f>
        <v>6.6759577710000002</v>
      </c>
      <c r="CH200">
        <f>7.685701138</f>
        <v>7.6857011379999998</v>
      </c>
      <c r="CI200">
        <f>7.208136747</f>
        <v>7.2081367470000002</v>
      </c>
      <c r="CJ200">
        <f>7.40437389</f>
        <v>7.4043738899999996</v>
      </c>
      <c r="CK200">
        <f>6.602976771</f>
        <v>6.6029767709999998</v>
      </c>
      <c r="CL200">
        <f>5.891642895</f>
        <v>5.8916428950000004</v>
      </c>
      <c r="CM200">
        <f>4.541926635</f>
        <v>4.5419266350000003</v>
      </c>
      <c r="CN200">
        <f>4.767258195</f>
        <v>4.7672581950000001</v>
      </c>
      <c r="CO200">
        <f>5.188000311</f>
        <v>5.1880003109999997</v>
      </c>
      <c r="CP200">
        <f>6.763909146</f>
        <v>6.7639091459999996</v>
      </c>
      <c r="CQ200">
        <f>7.199091104</f>
        <v>7.1990911039999999</v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1:125">
      <c r="A201" t="str">
        <f>"    Medical Properties Trust Inc"</f>
        <v xml:space="preserve">    Medical Properties Trust Inc</v>
      </c>
      <c r="B201" t="str">
        <f>"MPW US Equity"</f>
        <v>MPW US Equity</v>
      </c>
      <c r="C201" t="str">
        <f t="shared" si="48"/>
        <v>RR052</v>
      </c>
      <c r="D201" t="str">
        <f t="shared" si="49"/>
        <v>TOT_DEBT_TO_EBITDA</v>
      </c>
      <c r="E201" t="str">
        <f t="shared" si="50"/>
        <v>动态</v>
      </c>
      <c r="F201" t="str">
        <f ca="1">IF(AND(ISNUMBER($F$441),$B$258=1),$F$441,HLOOKUP(INDIRECT(ADDRESS(2,COLUMN())),OFFSET($BN$2,0,0,ROW()-1,60),ROW()-1,FALSE))</f>
        <v/>
      </c>
      <c r="G201">
        <f ca="1">IF(AND(ISNUMBER($G$441),$B$258=1),$G$441,HLOOKUP(INDIRECT(ADDRESS(2,COLUMN())),OFFSET($BN$2,0,0,ROW()-1,60),ROW()-1,FALSE))</f>
        <v>7.9322546850000002</v>
      </c>
      <c r="H201">
        <f ca="1">IF(AND(ISNUMBER($H$441),$B$258=1),$H$441,HLOOKUP(INDIRECT(ADDRESS(2,COLUMN())),OFFSET($BN$2,0,0,ROW()-1,60),ROW()-1,FALSE))</f>
        <v>9.0000707749999993</v>
      </c>
      <c r="I201">
        <f ca="1">IF(AND(ISNUMBER($I$441),$B$258=1),$I$441,HLOOKUP(INDIRECT(ADDRESS(2,COLUMN())),OFFSET($BN$2,0,0,ROW()-1,60),ROW()-1,FALSE))</f>
        <v>6.5117445969999999</v>
      </c>
      <c r="J201">
        <f ca="1">IF(AND(ISNUMBER($J$441),$B$258=1),$J$441,HLOOKUP(INDIRECT(ADDRESS(2,COLUMN())),OFFSET($BN$2,0,0,ROW()-1,60),ROW()-1,FALSE))</f>
        <v>7.1967884360000003</v>
      </c>
      <c r="K201">
        <f ca="1">IF(AND(ISNUMBER($K$441),$B$258=1),$K$441,HLOOKUP(INDIRECT(ADDRESS(2,COLUMN())),OFFSET($BN$2,0,0,ROW()-1,60),ROW()-1,FALSE))</f>
        <v>6.6235944440000001</v>
      </c>
      <c r="L201">
        <f ca="1">IF(AND(ISNUMBER($L$441),$B$258=1),$L$441,HLOOKUP(INDIRECT(ADDRESS(2,COLUMN())),OFFSET($BN$2,0,0,ROW()-1,60),ROW()-1,FALSE))</f>
        <v>6.0116352849999997</v>
      </c>
      <c r="M201">
        <f ca="1">IF(AND(ISNUMBER($M$441),$B$258=1),$M$441,HLOOKUP(INDIRECT(ADDRESS(2,COLUMN())),OFFSET($BN$2,0,0,ROW()-1,60),ROW()-1,FALSE))</f>
        <v>6.5816081860000004</v>
      </c>
      <c r="N201">
        <f ca="1">IF(AND(ISNUMBER($N$441),$B$258=1),$N$441,HLOOKUP(INDIRECT(ADDRESS(2,COLUMN())),OFFSET($BN$2,0,0,ROW()-1,60),ROW()-1,FALSE))</f>
        <v>8.9261229249999996</v>
      </c>
      <c r="O201">
        <f ca="1">IF(AND(ISNUMBER($O$441),$B$258=1),$O$441,HLOOKUP(INDIRECT(ADDRESS(2,COLUMN())),OFFSET($BN$2,0,0,ROW()-1,60),ROW()-1,FALSE))</f>
        <v>9.9161384090000002</v>
      </c>
      <c r="P201">
        <f ca="1">IF(AND(ISNUMBER($P$441),$B$258=1),$P$441,HLOOKUP(INDIRECT(ADDRESS(2,COLUMN())),OFFSET($BN$2,0,0,ROW()-1,60),ROW()-1,FALSE))</f>
        <v>12.37302699</v>
      </c>
      <c r="Q201">
        <f ca="1">IF(AND(ISNUMBER($Q$441),$B$258=1),$Q$441,HLOOKUP(INDIRECT(ADDRESS(2,COLUMN())),OFFSET($BN$2,0,0,ROW()-1,60),ROW()-1,FALSE))</f>
        <v>8.6679944950000003</v>
      </c>
      <c r="R201">
        <f ca="1">IF(AND(ISNUMBER($R$441),$B$258=1),$R$441,HLOOKUP(INDIRECT(ADDRESS(2,COLUMN())),OFFSET($BN$2,0,0,ROW()-1,60),ROW()-1,FALSE))</f>
        <v>8.0361188709999993</v>
      </c>
      <c r="S201">
        <f ca="1">IF(AND(ISNUMBER($S$441),$B$258=1),$S$441,HLOOKUP(INDIRECT(ADDRESS(2,COLUMN())),OFFSET($BN$2,0,0,ROW()-1,60),ROW()-1,FALSE))</f>
        <v>10.979502419999999</v>
      </c>
      <c r="T201">
        <f ca="1">IF(AND(ISNUMBER($T$441),$B$258=1),$T$441,HLOOKUP(INDIRECT(ADDRESS(2,COLUMN())),OFFSET($BN$2,0,0,ROW()-1,60),ROW()-1,FALSE))</f>
        <v>8.4555395979999997</v>
      </c>
      <c r="U201">
        <f ca="1">IF(AND(ISNUMBER($U$441),$B$258=1),$U$441,HLOOKUP(INDIRECT(ADDRESS(2,COLUMN())),OFFSET($BN$2,0,0,ROW()-1,60),ROW()-1,FALSE))</f>
        <v>9.4186627230000006</v>
      </c>
      <c r="V201">
        <f ca="1">IF(AND(ISNUMBER($V$441),$B$258=1),$V$441,HLOOKUP(INDIRECT(ADDRESS(2,COLUMN())),OFFSET($BN$2,0,0,ROW()-1,60),ROW()-1,FALSE))</f>
        <v>7.9456672450000001</v>
      </c>
      <c r="W201">
        <f ca="1">IF(AND(ISNUMBER($W$441),$B$258=1),$W$441,HLOOKUP(INDIRECT(ADDRESS(2,COLUMN())),OFFSET($BN$2,0,0,ROW()-1,60),ROW()-1,FALSE))</f>
        <v>7.3995837250000003</v>
      </c>
      <c r="X201">
        <f ca="1">IF(AND(ISNUMBER($X$441),$B$258=1),$X$441,HLOOKUP(INDIRECT(ADDRESS(2,COLUMN())),OFFSET($BN$2,0,0,ROW()-1,60),ROW()-1,FALSE))</f>
        <v>5.5837181600000001</v>
      </c>
      <c r="Y201">
        <f ca="1">IF(AND(ISNUMBER($Y$441),$B$258=1),$Y$441,HLOOKUP(INDIRECT(ADDRESS(2,COLUMN())),OFFSET($BN$2,0,0,ROW()-1,60),ROW()-1,FALSE))</f>
        <v>4.8653746010000001</v>
      </c>
      <c r="Z201">
        <f ca="1">IF(AND(ISNUMBER($Z$441),$B$258=1),$Z$441,HLOOKUP(INDIRECT(ADDRESS(2,COLUMN())),OFFSET($BN$2,0,0,ROW()-1,60),ROW()-1,FALSE))</f>
        <v>4.8558114239999997</v>
      </c>
      <c r="AA201">
        <f ca="1">IF(AND(ISNUMBER($AA$441),$B$258=1),$AA$441,HLOOKUP(INDIRECT(ADDRESS(2,COLUMN())),OFFSET($BN$2,0,0,ROW()-1,60),ROW()-1,FALSE))</f>
        <v>6.1560332860000004</v>
      </c>
      <c r="AB201">
        <f ca="1">IF(AND(ISNUMBER($AB$441),$B$258=1),$AB$441,HLOOKUP(INDIRECT(ADDRESS(2,COLUMN())),OFFSET($BN$2,0,0,ROW()-1,60),ROW()-1,FALSE))</f>
        <v>7.0050549220000002</v>
      </c>
      <c r="AC201">
        <f ca="1">IF(AND(ISNUMBER($AC$441),$B$258=1),$AC$441,HLOOKUP(INDIRECT(ADDRESS(2,COLUMN())),OFFSET($BN$2,0,0,ROW()-1,60),ROW()-1,FALSE))</f>
        <v>6.9488049570000001</v>
      </c>
      <c r="AD201">
        <f ca="1">IF(AND(ISNUMBER($AD$441),$B$258=1),$AD$441,HLOOKUP(INDIRECT(ADDRESS(2,COLUMN())),OFFSET($BN$2,0,0,ROW()-1,60),ROW()-1,FALSE))</f>
        <v>7.9052377119999999</v>
      </c>
      <c r="AE201">
        <f ca="1">IF(AND(ISNUMBER($AE$441),$B$258=1),$AE$441,HLOOKUP(INDIRECT(ADDRESS(2,COLUMN())),OFFSET($BN$2,0,0,ROW()-1,60),ROW()-1,FALSE))</f>
        <v>6.321522667</v>
      </c>
      <c r="AF201">
        <f ca="1">IF(AND(ISNUMBER($AF$441),$B$258=1),$AF$441,HLOOKUP(INDIRECT(ADDRESS(2,COLUMN())),OFFSET($BN$2,0,0,ROW()-1,60),ROW()-1,FALSE))</f>
        <v>6.2672587579999997</v>
      </c>
      <c r="AG201">
        <f ca="1">IF(AND(ISNUMBER($AG$441),$B$258=1),$AG$441,HLOOKUP(INDIRECT(ADDRESS(2,COLUMN())),OFFSET($BN$2,0,0,ROW()-1,60),ROW()-1,FALSE))</f>
        <v>7.4359787129999999</v>
      </c>
      <c r="AH201">
        <f ca="1">IF(AND(ISNUMBER($AH$441),$B$258=1),$AH$441,HLOOKUP(INDIRECT(ADDRESS(2,COLUMN())),OFFSET($BN$2,0,0,ROW()-1,60),ROW()-1,FALSE))</f>
        <v>5.2458936239999998</v>
      </c>
      <c r="AI201">
        <f ca="1">IF(AND(ISNUMBER($AI$441),$B$258=1),$AI$441,HLOOKUP(INDIRECT(ADDRESS(2,COLUMN())),OFFSET($BN$2,0,0,ROW()-1,60),ROW()-1,FALSE))</f>
        <v>4.7438060100000001</v>
      </c>
      <c r="AJ201">
        <f ca="1">IF(AND(ISNUMBER($AJ$441),$B$258=1),$AJ$441,HLOOKUP(INDIRECT(ADDRESS(2,COLUMN())),OFFSET($BN$2,0,0,ROW()-1,60),ROW()-1,FALSE))</f>
        <v>4.566633725</v>
      </c>
      <c r="AK201">
        <f ca="1">IF(AND(ISNUMBER($AK$441),$B$258=1),$AK$441,HLOOKUP(INDIRECT(ADDRESS(2,COLUMN())),OFFSET($BN$2,0,0,ROW()-1,60),ROW()-1,FALSE))</f>
        <v>4.4967009410000003</v>
      </c>
      <c r="AL201">
        <f ca="1">IF(AND(ISNUMBER($AL$441),$B$258=1),$AL$441,HLOOKUP(INDIRECT(ADDRESS(2,COLUMN())),OFFSET($BN$2,0,0,ROW()-1,60),ROW()-1,FALSE))</f>
        <v>6.4539025399999996</v>
      </c>
      <c r="AM201">
        <f ca="1">IF(AND(ISNUMBER($AM$441),$B$258=1),$AM$441,HLOOKUP(INDIRECT(ADDRESS(2,COLUMN())),OFFSET($BN$2,0,0,ROW()-1,60),ROW()-1,FALSE))</f>
        <v>5.7642823940000003</v>
      </c>
      <c r="AN201">
        <f ca="1">IF(AND(ISNUMBER($AN$441),$B$258=1),$AN$441,HLOOKUP(INDIRECT(ADDRESS(2,COLUMN())),OFFSET($BN$2,0,0,ROW()-1,60),ROW()-1,FALSE))</f>
        <v>6.033080913</v>
      </c>
      <c r="AO201">
        <f ca="1">IF(AND(ISNUMBER($AO$441),$B$258=1),$AO$441,HLOOKUP(INDIRECT(ADDRESS(2,COLUMN())),OFFSET($BN$2,0,0,ROW()-1,60),ROW()-1,FALSE))</f>
        <v>5.8259493439999996</v>
      </c>
      <c r="AP201">
        <f ca="1">IF(AND(ISNUMBER($AP$441),$B$258=1),$AP$441,HLOOKUP(INDIRECT(ADDRESS(2,COLUMN())),OFFSET($BN$2,0,0,ROW()-1,60),ROW()-1,FALSE))</f>
        <v>5.6237595489999999</v>
      </c>
      <c r="AQ201">
        <f ca="1">IF(AND(ISNUMBER($AQ$441),$B$258=1),$AQ$441,HLOOKUP(INDIRECT(ADDRESS(2,COLUMN())),OFFSET($BN$2,0,0,ROW()-1,60),ROW()-1,FALSE))</f>
        <v>6.7091420709999996</v>
      </c>
      <c r="AR201">
        <f ca="1">IF(AND(ISNUMBER($AR$441),$B$258=1),$AR$441,HLOOKUP(INDIRECT(ADDRESS(2,COLUMN())),OFFSET($BN$2,0,0,ROW()-1,60),ROW()-1,FALSE))</f>
        <v>6.3546217159999996</v>
      </c>
      <c r="AS201">
        <f ca="1">IF(AND(ISNUMBER($AS$441),$B$258=1),$AS$441,HLOOKUP(INDIRECT(ADDRESS(2,COLUMN())),OFFSET($BN$2,0,0,ROW()-1,60),ROW()-1,FALSE))</f>
        <v>6.6518018369999998</v>
      </c>
      <c r="AT201">
        <f ca="1">IF(AND(ISNUMBER($AT$441),$B$258=1),$AT$441,HLOOKUP(INDIRECT(ADDRESS(2,COLUMN())),OFFSET($BN$2,0,0,ROW()-1,60),ROW()-1,FALSE))</f>
        <v>5.3453397120000004</v>
      </c>
      <c r="AU201">
        <f ca="1">IF(AND(ISNUMBER($AU$441),$B$258=1),$AU$441,HLOOKUP(INDIRECT(ADDRESS(2,COLUMN())),OFFSET($BN$2,0,0,ROW()-1,60),ROW()-1,FALSE))</f>
        <v>6.9346719480000001</v>
      </c>
      <c r="AV201">
        <f ca="1">IF(AND(ISNUMBER($AV$441),$B$258=1),$AV$441,HLOOKUP(INDIRECT(ADDRESS(2,COLUMN())),OFFSET($BN$2,0,0,ROW()-1,60),ROW()-1,FALSE))</f>
        <v>6.03743286</v>
      </c>
      <c r="AW201">
        <f ca="1">IF(AND(ISNUMBER($AW$441),$B$258=1),$AW$441,HLOOKUP(INDIRECT(ADDRESS(2,COLUMN())),OFFSET($BN$2,0,0,ROW()-1,60),ROW()-1,FALSE))</f>
        <v>5.021775045</v>
      </c>
      <c r="AX201">
        <f ca="1">IF(AND(ISNUMBER($AX$441),$B$258=1),$AX$441,HLOOKUP(INDIRECT(ADDRESS(2,COLUMN())),OFFSET($BN$2,0,0,ROW()-1,60),ROW()-1,FALSE))</f>
        <v>6.0329561490000003</v>
      </c>
      <c r="AY201">
        <f ca="1">IF(AND(ISNUMBER($AY$441),$B$258=1),$AY$441,HLOOKUP(INDIRECT(ADDRESS(2,COLUMN())),OFFSET($BN$2,0,0,ROW()-1,60),ROW()-1,FALSE))</f>
        <v>7.0430313470000003</v>
      </c>
      <c r="AZ201">
        <f ca="1">IF(AND(ISNUMBER($AZ$441),$B$258=1),$AZ$441,HLOOKUP(INDIRECT(ADDRESS(2,COLUMN())),OFFSET($BN$2,0,0,ROW()-1,60),ROW()-1,FALSE))</f>
        <v>6.4059128689999998</v>
      </c>
      <c r="BA201">
        <f ca="1">IF(AND(ISNUMBER($BA$441),$B$258=1),$BA$441,HLOOKUP(INDIRECT(ADDRESS(2,COLUMN())),OFFSET($BN$2,0,0,ROW()-1,60),ROW()-1,FALSE))</f>
        <v>3.2482837330000001</v>
      </c>
      <c r="BB201">
        <f ca="1">IF(AND(ISNUMBER($BB$441),$B$258=1),$BB$441,HLOOKUP(INDIRECT(ADDRESS(2,COLUMN())),OFFSET($BN$2,0,0,ROW()-1,60),ROW()-1,FALSE))</f>
        <v>2.6347782909999999</v>
      </c>
      <c r="BC201">
        <f ca="1">IF(AND(ISNUMBER($BC$441),$B$258=1),$BC$441,HLOOKUP(INDIRECT(ADDRESS(2,COLUMN())),OFFSET($BN$2,0,0,ROW()-1,60),ROW()-1,FALSE))</f>
        <v>2.6052344399999998</v>
      </c>
      <c r="BD201" t="str">
        <f ca="1">IF(AND(ISNUMBER($BD$441),$B$258=1),$BD$441,HLOOKUP(INDIRECT(ADDRESS(2,COLUMN())),OFFSET($BN$2,0,0,ROW()-1,60),ROW()-1,FALSE))</f>
        <v/>
      </c>
      <c r="BE201" t="str">
        <f ca="1">IF(AND(ISNUMBER($BE$441),$B$258=1),$BE$441,HLOOKUP(INDIRECT(ADDRESS(2,COLUMN())),OFFSET($BN$2,0,0,ROW()-1,60),ROW()-1,FALSE))</f>
        <v/>
      </c>
      <c r="BF201" t="str">
        <f ca="1">IF(AND(ISNUMBER($BF$441),$B$258=1),$BF$441,HLOOKUP(INDIRECT(ADDRESS(2,COLUMN())),OFFSET($BN$2,0,0,ROW()-1,60),ROW()-1,FALSE))</f>
        <v/>
      </c>
      <c r="BG201" t="str">
        <f ca="1">IF(AND(ISNUMBER($BG$441),$B$258=1),$BG$441,HLOOKUP(INDIRECT(ADDRESS(2,COLUMN())),OFFSET($BN$2,0,0,ROW()-1,60),ROW()-1,FALSE))</f>
        <v/>
      </c>
      <c r="BH201" t="str">
        <f ca="1">IF(AND(ISNUMBER($BH$441),$B$258=1),$BH$441,HLOOKUP(INDIRECT(ADDRESS(2,COLUMN())),OFFSET($BN$2,0,0,ROW()-1,60),ROW()-1,FALSE))</f>
        <v/>
      </c>
      <c r="BI201" t="str">
        <f ca="1">IF(AND(ISNUMBER($BI$441),$B$258=1),$BI$441,HLOOKUP(INDIRECT(ADDRESS(2,COLUMN())),OFFSET($BN$2,0,0,ROW()-1,60),ROW()-1,FALSE))</f>
        <v/>
      </c>
      <c r="BJ201" t="str">
        <f ca="1">IF(AND(ISNUMBER($BJ$441),$B$258=1),$BJ$441,HLOOKUP(INDIRECT(ADDRESS(2,COLUMN())),OFFSET($BN$2,0,0,ROW()-1,60),ROW()-1,FALSE))</f>
        <v/>
      </c>
      <c r="BK201" t="str">
        <f ca="1">IF(AND(ISNUMBER($BK$441),$B$258=1),$BK$441,HLOOKUP(INDIRECT(ADDRESS(2,COLUMN())),OFFSET($BN$2,0,0,ROW()-1,60),ROW()-1,FALSE))</f>
        <v/>
      </c>
      <c r="BL201" t="str">
        <f ca="1">IF(AND(ISNUMBER($BL$441),$B$258=1),$BL$441,HLOOKUP(INDIRECT(ADDRESS(2,COLUMN())),OFFSET($BN$2,0,0,ROW()-1,60),ROW()-1,FALSE))</f>
        <v/>
      </c>
      <c r="BM201" t="str">
        <f ca="1">IF(AND(ISNUMBER($BM$441),$B$258=1),$BM$441,HLOOKUP(INDIRECT(ADDRESS(2,COLUMN())),OFFSET($BN$2,0,0,ROW()-1,60),ROW()-1,FALSE))</f>
        <v/>
      </c>
      <c r="BN201" t="str">
        <f>""</f>
        <v/>
      </c>
      <c r="BO201">
        <f>7.932254685</f>
        <v>7.9322546850000002</v>
      </c>
      <c r="BP201">
        <f>9.000070775</f>
        <v>9.0000707749999993</v>
      </c>
      <c r="BQ201">
        <f>6.511744597</f>
        <v>6.5117445969999999</v>
      </c>
      <c r="BR201">
        <f>7.196788436</f>
        <v>7.1967884360000003</v>
      </c>
      <c r="BS201">
        <f>6.623594444</f>
        <v>6.6235944440000001</v>
      </c>
      <c r="BT201">
        <f>6.011635285</f>
        <v>6.0116352849999997</v>
      </c>
      <c r="BU201">
        <f>6.581608186</f>
        <v>6.5816081860000004</v>
      </c>
      <c r="BV201">
        <f>8.926122925</f>
        <v>8.9261229249999996</v>
      </c>
      <c r="BW201">
        <f>9.916138409</f>
        <v>9.9161384090000002</v>
      </c>
      <c r="BX201">
        <f>12.37302699</f>
        <v>12.37302699</v>
      </c>
      <c r="BY201">
        <f>8.667994495</f>
        <v>8.6679944950000003</v>
      </c>
      <c r="BZ201">
        <f>8.036118871</f>
        <v>8.0361188709999993</v>
      </c>
      <c r="CA201">
        <f>10.97950242</f>
        <v>10.979502419999999</v>
      </c>
      <c r="CB201">
        <f>8.455539598</f>
        <v>8.4555395979999997</v>
      </c>
      <c r="CC201">
        <f>9.418662723</f>
        <v>9.4186627230000006</v>
      </c>
      <c r="CD201">
        <f>7.945667245</f>
        <v>7.9456672450000001</v>
      </c>
      <c r="CE201">
        <f>7.399583725</f>
        <v>7.3995837250000003</v>
      </c>
      <c r="CF201">
        <f>5.58371816</f>
        <v>5.5837181600000001</v>
      </c>
      <c r="CG201">
        <f>4.865374601</f>
        <v>4.8653746010000001</v>
      </c>
      <c r="CH201">
        <f>4.855811424</f>
        <v>4.8558114239999997</v>
      </c>
      <c r="CI201">
        <f>6.156033286</f>
        <v>6.1560332860000004</v>
      </c>
      <c r="CJ201">
        <f>7.005054922</f>
        <v>7.0050549220000002</v>
      </c>
      <c r="CK201">
        <f>6.948804957</f>
        <v>6.9488049570000001</v>
      </c>
      <c r="CL201">
        <f>7.905237712</f>
        <v>7.9052377119999999</v>
      </c>
      <c r="CM201">
        <f>6.321522667</f>
        <v>6.321522667</v>
      </c>
      <c r="CN201">
        <f>6.267258758</f>
        <v>6.2672587579999997</v>
      </c>
      <c r="CO201">
        <f>7.435978713</f>
        <v>7.4359787129999999</v>
      </c>
      <c r="CP201">
        <f>5.245893624</f>
        <v>5.2458936239999998</v>
      </c>
      <c r="CQ201">
        <f>4.74380601</f>
        <v>4.7438060100000001</v>
      </c>
      <c r="CR201">
        <f>4.566633725</f>
        <v>4.566633725</v>
      </c>
      <c r="CS201">
        <f>4.496700941</f>
        <v>4.4967009410000003</v>
      </c>
      <c r="CT201">
        <f>6.45390254</f>
        <v>6.4539025399999996</v>
      </c>
      <c r="CU201">
        <f>5.764282394</f>
        <v>5.7642823940000003</v>
      </c>
      <c r="CV201">
        <f>6.033080913</f>
        <v>6.033080913</v>
      </c>
      <c r="CW201">
        <f>5.825949344</f>
        <v>5.8259493439999996</v>
      </c>
      <c r="CX201">
        <f>5.623759549</f>
        <v>5.6237595489999999</v>
      </c>
      <c r="CY201">
        <f>6.709142071</f>
        <v>6.7091420709999996</v>
      </c>
      <c r="CZ201">
        <f>6.354621716</f>
        <v>6.3546217159999996</v>
      </c>
      <c r="DA201">
        <f>6.651801837</f>
        <v>6.6518018369999998</v>
      </c>
      <c r="DB201">
        <f>5.345339712</f>
        <v>5.3453397120000004</v>
      </c>
      <c r="DC201">
        <f>6.934671948</f>
        <v>6.9346719480000001</v>
      </c>
      <c r="DD201">
        <f>6.03743286</f>
        <v>6.03743286</v>
      </c>
      <c r="DE201">
        <f>5.021775045</f>
        <v>5.021775045</v>
      </c>
      <c r="DF201">
        <f>6.032956149</f>
        <v>6.0329561490000003</v>
      </c>
      <c r="DG201">
        <f>7.043031347</f>
        <v>7.0430313470000003</v>
      </c>
      <c r="DH201">
        <f>6.405912869</f>
        <v>6.4059128689999998</v>
      </c>
      <c r="DI201">
        <f>3.248283733</f>
        <v>3.2482837330000001</v>
      </c>
      <c r="DJ201">
        <f>2.634778291</f>
        <v>2.6347782909999999</v>
      </c>
      <c r="DK201">
        <f>2.60523444</f>
        <v>2.6052344399999998</v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1:125">
      <c r="A202" t="str">
        <f>"    Omega Healthcare Investors Inc"</f>
        <v xml:space="preserve">    Omega Healthcare Investors Inc</v>
      </c>
      <c r="B202" t="str">
        <f>"OHI US Equity"</f>
        <v>OHI US Equity</v>
      </c>
      <c r="C202" t="str">
        <f t="shared" si="48"/>
        <v>RR052</v>
      </c>
      <c r="D202" t="str">
        <f t="shared" si="49"/>
        <v>TOT_DEBT_TO_EBITDA</v>
      </c>
      <c r="E202" t="str">
        <f t="shared" si="50"/>
        <v>动态</v>
      </c>
      <c r="F202" t="str">
        <f ca="1">IF(AND(ISNUMBER($F$442),$B$258=1),$F$442,HLOOKUP(INDIRECT(ADDRESS(2,COLUMN())),OFFSET($BN$2,0,0,ROW()-1,60),ROW()-1,FALSE))</f>
        <v/>
      </c>
      <c r="G202">
        <f ca="1">IF(AND(ISNUMBER($G$442),$B$258=1),$G$442,HLOOKUP(INDIRECT(ADDRESS(2,COLUMN())),OFFSET($BN$2,0,0,ROW()-1,60),ROW()-1,FALSE))</f>
        <v>8.3303871889999996</v>
      </c>
      <c r="H202">
        <f ca="1">IF(AND(ISNUMBER($H$442),$B$258=1),$H$442,HLOOKUP(INDIRECT(ADDRESS(2,COLUMN())),OFFSET($BN$2,0,0,ROW()-1,60),ROW()-1,FALSE))</f>
        <v>7.4696207230000002</v>
      </c>
      <c r="I202">
        <f ca="1">IF(AND(ISNUMBER($I$442),$B$258=1),$I$442,HLOOKUP(INDIRECT(ADDRESS(2,COLUMN())),OFFSET($BN$2,0,0,ROW()-1,60),ROW()-1,FALSE))</f>
        <v>5.3324911070000001</v>
      </c>
      <c r="J202">
        <f ca="1">IF(AND(ISNUMBER($J$442),$B$258=1),$J$442,HLOOKUP(INDIRECT(ADDRESS(2,COLUMN())),OFFSET($BN$2,0,0,ROW()-1,60),ROW()-1,FALSE))</f>
        <v>5.2002164310000003</v>
      </c>
      <c r="K202">
        <f ca="1">IF(AND(ISNUMBER($K$442),$B$258=1),$K$442,HLOOKUP(INDIRECT(ADDRESS(2,COLUMN())),OFFSET($BN$2,0,0,ROW()-1,60),ROW()-1,FALSE))</f>
        <v>5.6215430599999996</v>
      </c>
      <c r="L202">
        <f ca="1">IF(AND(ISNUMBER($L$442),$B$258=1),$L$442,HLOOKUP(INDIRECT(ADDRESS(2,COLUMN())),OFFSET($BN$2,0,0,ROW()-1,60),ROW()-1,FALSE))</f>
        <v>5.9500911240000001</v>
      </c>
      <c r="M202">
        <f ca="1">IF(AND(ISNUMBER($M$442),$B$258=1),$M$442,HLOOKUP(INDIRECT(ADDRESS(2,COLUMN())),OFFSET($BN$2,0,0,ROW()-1,60),ROW()-1,FALSE))</f>
        <v>5.6344412799999999</v>
      </c>
      <c r="N202">
        <f ca="1">IF(AND(ISNUMBER($N$442),$B$258=1),$N$442,HLOOKUP(INDIRECT(ADDRESS(2,COLUMN())),OFFSET($BN$2,0,0,ROW()-1,60),ROW()-1,FALSE))</f>
        <v>6.3505226639999997</v>
      </c>
      <c r="O202">
        <f ca="1">IF(AND(ISNUMBER($O$442),$B$258=1),$O$442,HLOOKUP(INDIRECT(ADDRESS(2,COLUMN())),OFFSET($BN$2,0,0,ROW()-1,60),ROW()-1,FALSE))</f>
        <v>5.6915954419999997</v>
      </c>
      <c r="P202">
        <f ca="1">IF(AND(ISNUMBER($P$442),$B$258=1),$P$442,HLOOKUP(INDIRECT(ADDRESS(2,COLUMN())),OFFSET($BN$2,0,0,ROW()-1,60),ROW()-1,FALSE))</f>
        <v>7.6230203550000004</v>
      </c>
      <c r="Q202">
        <f ca="1">IF(AND(ISNUMBER($Q$442),$B$258=1),$Q$442,HLOOKUP(INDIRECT(ADDRESS(2,COLUMN())),OFFSET($BN$2,0,0,ROW()-1,60),ROW()-1,FALSE))</f>
        <v>6.9941578829999997</v>
      </c>
      <c r="R202">
        <f ca="1">IF(AND(ISNUMBER($R$442),$B$258=1),$R$442,HLOOKUP(INDIRECT(ADDRESS(2,COLUMN())),OFFSET($BN$2,0,0,ROW()-1,60),ROW()-1,FALSE))</f>
        <v>5.5818364520000001</v>
      </c>
      <c r="S202">
        <f ca="1">IF(AND(ISNUMBER($S$442),$B$258=1),$S$442,HLOOKUP(INDIRECT(ADDRESS(2,COLUMN())),OFFSET($BN$2,0,0,ROW()-1,60),ROW()-1,FALSE))</f>
        <v>5.0761106180000004</v>
      </c>
      <c r="T202">
        <f ca="1">IF(AND(ISNUMBER($T$442),$B$258=1),$T$442,HLOOKUP(INDIRECT(ADDRESS(2,COLUMN())),OFFSET($BN$2,0,0,ROW()-1,60),ROW()-1,FALSE))</f>
        <v>5.0768796350000001</v>
      </c>
      <c r="U202">
        <f ca="1">IF(AND(ISNUMBER($U$442),$B$258=1),$U$442,HLOOKUP(INDIRECT(ADDRESS(2,COLUMN())),OFFSET($BN$2,0,0,ROW()-1,60),ROW()-1,FALSE))</f>
        <v>5.5324911309999996</v>
      </c>
      <c r="V202">
        <f ca="1">IF(AND(ISNUMBER($V$442),$B$258=1),$V$442,HLOOKUP(INDIRECT(ADDRESS(2,COLUMN())),OFFSET($BN$2,0,0,ROW()-1,60),ROW()-1,FALSE))</f>
        <v>5.0715997279999998</v>
      </c>
      <c r="W202">
        <f ca="1">IF(AND(ISNUMBER($W$442),$B$258=1),$W$442,HLOOKUP(INDIRECT(ADDRESS(2,COLUMN())),OFFSET($BN$2,0,0,ROW()-1,60),ROW()-1,FALSE))</f>
        <v>5.1338819500000001</v>
      </c>
      <c r="X202">
        <f ca="1">IF(AND(ISNUMBER($X$442),$B$258=1),$X$442,HLOOKUP(INDIRECT(ADDRESS(2,COLUMN())),OFFSET($BN$2,0,0,ROW()-1,60),ROW()-1,FALSE))</f>
        <v>4.4971576100000004</v>
      </c>
      <c r="Y202">
        <f ca="1">IF(AND(ISNUMBER($Y$442),$B$258=1),$Y$442,HLOOKUP(INDIRECT(ADDRESS(2,COLUMN())),OFFSET($BN$2,0,0,ROW()-1,60),ROW()-1,FALSE))</f>
        <v>4.6892584739999998</v>
      </c>
      <c r="Z202">
        <f ca="1">IF(AND(ISNUMBER($Z$442),$B$258=1),$Z$442,HLOOKUP(INDIRECT(ADDRESS(2,COLUMN())),OFFSET($BN$2,0,0,ROW()-1,60),ROW()-1,FALSE))</f>
        <v>5.1066006880000003</v>
      </c>
      <c r="AA202">
        <f ca="1">IF(AND(ISNUMBER($AA$442),$B$258=1),$AA$442,HLOOKUP(INDIRECT(ADDRESS(2,COLUMN())),OFFSET($BN$2,0,0,ROW()-1,60),ROW()-1,FALSE))</f>
        <v>5.5646823129999996</v>
      </c>
      <c r="AB202">
        <f ca="1">IF(AND(ISNUMBER($AB$442),$B$258=1),$AB$442,HLOOKUP(INDIRECT(ADDRESS(2,COLUMN())),OFFSET($BN$2,0,0,ROW()-1,60),ROW()-1,FALSE))</f>
        <v>5.2019117420000001</v>
      </c>
      <c r="AC202">
        <f ca="1">IF(AND(ISNUMBER($AC$442),$B$258=1),$AC$442,HLOOKUP(INDIRECT(ADDRESS(2,COLUMN())),OFFSET($BN$2,0,0,ROW()-1,60),ROW()-1,FALSE))</f>
        <v>5.0991988389999996</v>
      </c>
      <c r="AD202">
        <f ca="1">IF(AND(ISNUMBER($AD$442),$B$258=1),$AD$442,HLOOKUP(INDIRECT(ADDRESS(2,COLUMN())),OFFSET($BN$2,0,0,ROW()-1,60),ROW()-1,FALSE))</f>
        <v>5.5286695090000002</v>
      </c>
      <c r="AE202">
        <f ca="1">IF(AND(ISNUMBER($AE$442),$B$258=1),$AE$442,HLOOKUP(INDIRECT(ADDRESS(2,COLUMN())),OFFSET($BN$2,0,0,ROW()-1,60),ROW()-1,FALSE))</f>
        <v>6.5148741030000004</v>
      </c>
      <c r="AF202">
        <f ca="1">IF(AND(ISNUMBER($AF$442),$B$258=1),$AF$442,HLOOKUP(INDIRECT(ADDRESS(2,COLUMN())),OFFSET($BN$2,0,0,ROW()-1,60),ROW()-1,FALSE))</f>
        <v>5.0958201990000003</v>
      </c>
      <c r="AG202">
        <f ca="1">IF(AND(ISNUMBER($AG$442),$B$258=1),$AG$442,HLOOKUP(INDIRECT(ADDRESS(2,COLUMN())),OFFSET($BN$2,0,0,ROW()-1,60),ROW()-1,FALSE))</f>
        <v>5.2094768589999996</v>
      </c>
      <c r="AH202">
        <f ca="1">IF(AND(ISNUMBER($AH$442),$B$258=1),$AH$442,HLOOKUP(INDIRECT(ADDRESS(2,COLUMN())),OFFSET($BN$2,0,0,ROW()-1,60),ROW()-1,FALSE))</f>
        <v>5.5730433149999996</v>
      </c>
      <c r="AI202">
        <f ca="1">IF(AND(ISNUMBER($AI$442),$B$258=1),$AI$442,HLOOKUP(INDIRECT(ADDRESS(2,COLUMN())),OFFSET($BN$2,0,0,ROW()-1,60),ROW()-1,FALSE))</f>
        <v>5.0392404519999996</v>
      </c>
      <c r="AJ202">
        <f ca="1">IF(AND(ISNUMBER($AJ$442),$B$258=1),$AJ$442,HLOOKUP(INDIRECT(ADDRESS(2,COLUMN())),OFFSET($BN$2,0,0,ROW()-1,60),ROW()-1,FALSE))</f>
        <v>5.6476551659999998</v>
      </c>
      <c r="AK202">
        <f ca="1">IF(AND(ISNUMBER($AK$442),$B$258=1),$AK$442,HLOOKUP(INDIRECT(ADDRESS(2,COLUMN())),OFFSET($BN$2,0,0,ROW()-1,60),ROW()-1,FALSE))</f>
        <v>6.7941726930000002</v>
      </c>
      <c r="AL202">
        <f ca="1">IF(AND(ISNUMBER($AL$442),$B$258=1),$AL$442,HLOOKUP(INDIRECT(ADDRESS(2,COLUMN())),OFFSET($BN$2,0,0,ROW()-1,60),ROW()-1,FALSE))</f>
        <v>4.59112571</v>
      </c>
      <c r="AM202">
        <f ca="1">IF(AND(ISNUMBER($AM$442),$B$258=1),$AM$442,HLOOKUP(INDIRECT(ADDRESS(2,COLUMN())),OFFSET($BN$2,0,0,ROW()-1,60),ROW()-1,FALSE))</f>
        <v>4.5967965919999996</v>
      </c>
      <c r="AN202">
        <f ca="1">IF(AND(ISNUMBER($AN$442),$B$258=1),$AN$442,HLOOKUP(INDIRECT(ADDRESS(2,COLUMN())),OFFSET($BN$2,0,0,ROW()-1,60),ROW()-1,FALSE))</f>
        <v>3.0298762109999999</v>
      </c>
      <c r="AO202">
        <f ca="1">IF(AND(ISNUMBER($AO$442),$B$258=1),$AO$442,HLOOKUP(INDIRECT(ADDRESS(2,COLUMN())),OFFSET($BN$2,0,0,ROW()-1,60),ROW()-1,FALSE))</f>
        <v>3.378248138</v>
      </c>
      <c r="AP202">
        <f ca="1">IF(AND(ISNUMBER($AP$442),$B$258=1),$AP$442,HLOOKUP(INDIRECT(ADDRESS(2,COLUMN())),OFFSET($BN$2,0,0,ROW()-1,60),ROW()-1,FALSE))</f>
        <v>3.526990289</v>
      </c>
      <c r="AQ202">
        <f ca="1">IF(AND(ISNUMBER($AQ$442),$B$258=1),$AQ$442,HLOOKUP(INDIRECT(ADDRESS(2,COLUMN())),OFFSET($BN$2,0,0,ROW()-1,60),ROW()-1,FALSE))</f>
        <v>3.647910193</v>
      </c>
      <c r="AR202">
        <f ca="1">IF(AND(ISNUMBER($AR$442),$B$258=1),$AR$442,HLOOKUP(INDIRECT(ADDRESS(2,COLUMN())),OFFSET($BN$2,0,0,ROW()-1,60),ROW()-1,FALSE))</f>
        <v>3.4985004370000001</v>
      </c>
      <c r="AS202">
        <f ca="1">IF(AND(ISNUMBER($AS$442),$B$258=1),$AS$442,HLOOKUP(INDIRECT(ADDRESS(2,COLUMN())),OFFSET($BN$2,0,0,ROW()-1,60),ROW()-1,FALSE))</f>
        <v>3.95117253</v>
      </c>
      <c r="AT202">
        <f ca="1">IF(AND(ISNUMBER($AT$442),$B$258=1),$AT$442,HLOOKUP(INDIRECT(ADDRESS(2,COLUMN())),OFFSET($BN$2,0,0,ROW()-1,60),ROW()-1,FALSE))</f>
        <v>3.8462396860000001</v>
      </c>
      <c r="AU202">
        <f ca="1">IF(AND(ISNUMBER($AU$442),$B$258=1),$AU$442,HLOOKUP(INDIRECT(ADDRESS(2,COLUMN())),OFFSET($BN$2,0,0,ROW()-1,60),ROW()-1,FALSE))</f>
        <v>3.8215675039999999</v>
      </c>
      <c r="AV202">
        <f ca="1">IF(AND(ISNUMBER($AV$442),$B$258=1),$AV$442,HLOOKUP(INDIRECT(ADDRESS(2,COLUMN())),OFFSET($BN$2,0,0,ROW()-1,60),ROW()-1,FALSE))</f>
        <v>3.6516272980000002</v>
      </c>
      <c r="AW202">
        <f ca="1">IF(AND(ISNUMBER($AW$442),$B$258=1),$AW$442,HLOOKUP(INDIRECT(ADDRESS(2,COLUMN())),OFFSET($BN$2,0,0,ROW()-1,60),ROW()-1,FALSE))</f>
        <v>3.925877818</v>
      </c>
      <c r="AX202">
        <f ca="1">IF(AND(ISNUMBER($AX$442),$B$258=1),$AX$442,HLOOKUP(INDIRECT(ADDRESS(2,COLUMN())),OFFSET($BN$2,0,0,ROW()-1,60),ROW()-1,FALSE))</f>
        <v>4.9351232070000002</v>
      </c>
      <c r="AY202">
        <f ca="1">IF(AND(ISNUMBER($AY$442),$B$258=1),$AY$442,HLOOKUP(INDIRECT(ADDRESS(2,COLUMN())),OFFSET($BN$2,0,0,ROW()-1,60),ROW()-1,FALSE))</f>
        <v>5.3590105330000002</v>
      </c>
      <c r="AZ202">
        <f ca="1">IF(AND(ISNUMBER($AZ$442),$B$258=1),$AZ$442,HLOOKUP(INDIRECT(ADDRESS(2,COLUMN())),OFFSET($BN$2,0,0,ROW()-1,60),ROW()-1,FALSE))</f>
        <v>6.2859283909999997</v>
      </c>
      <c r="BA202">
        <f ca="1">IF(AND(ISNUMBER($BA$442),$B$258=1),$BA$442,HLOOKUP(INDIRECT(ADDRESS(2,COLUMN())),OFFSET($BN$2,0,0,ROW()-1,60),ROW()-1,FALSE))</f>
        <v>4.6230617939999998</v>
      </c>
      <c r="BB202">
        <f ca="1">IF(AND(ISNUMBER($BB$442),$B$258=1),$BB$442,HLOOKUP(INDIRECT(ADDRESS(2,COLUMN())),OFFSET($BN$2,0,0,ROW()-1,60),ROW()-1,FALSE))</f>
        <v>4.9663605420000003</v>
      </c>
      <c r="BC202">
        <f ca="1">IF(AND(ISNUMBER($BC$442),$B$258=1),$BC$442,HLOOKUP(INDIRECT(ADDRESS(2,COLUMN())),OFFSET($BN$2,0,0,ROW()-1,60),ROW()-1,FALSE))</f>
        <v>5.5153070670000002</v>
      </c>
      <c r="BD202">
        <f ca="1">IF(AND(ISNUMBER($BD$442),$B$258=1),$BD$442,HLOOKUP(INDIRECT(ADDRESS(2,COLUMN())),OFFSET($BN$2,0,0,ROW()-1,60),ROW()-1,FALSE))</f>
        <v>4.8512506679999996</v>
      </c>
      <c r="BE202">
        <f ca="1">IF(AND(ISNUMBER($BE$442),$B$258=1),$BE$442,HLOOKUP(INDIRECT(ADDRESS(2,COLUMN())),OFFSET($BN$2,0,0,ROW()-1,60),ROW()-1,FALSE))</f>
        <v>5.3434102140000004</v>
      </c>
      <c r="BF202">
        <f ca="1">IF(AND(ISNUMBER($BF$442),$B$258=1),$BF$442,HLOOKUP(INDIRECT(ADDRESS(2,COLUMN())),OFFSET($BN$2,0,0,ROW()-1,60),ROW()-1,FALSE))</f>
        <v>4.3046961850000001</v>
      </c>
      <c r="BG202">
        <f ca="1">IF(AND(ISNUMBER($BG$442),$B$258=1),$BG$442,HLOOKUP(INDIRECT(ADDRESS(2,COLUMN())),OFFSET($BN$2,0,0,ROW()-1,60),ROW()-1,FALSE))</f>
        <v>4.8413424880000004</v>
      </c>
      <c r="BH202">
        <f ca="1">IF(AND(ISNUMBER($BH$442),$B$258=1),$BH$442,HLOOKUP(INDIRECT(ADDRESS(2,COLUMN())),OFFSET($BN$2,0,0,ROW()-1,60),ROW()-1,FALSE))</f>
        <v>4.2682910889999999</v>
      </c>
      <c r="BI202">
        <f ca="1">IF(AND(ISNUMBER($BI$442),$B$258=1),$BI$442,HLOOKUP(INDIRECT(ADDRESS(2,COLUMN())),OFFSET($BN$2,0,0,ROW()-1,60),ROW()-1,FALSE))</f>
        <v>4.0185185450000001</v>
      </c>
      <c r="BJ202">
        <f ca="1">IF(AND(ISNUMBER($BJ$442),$B$258=1),$BJ$442,HLOOKUP(INDIRECT(ADDRESS(2,COLUMN())),OFFSET($BN$2,0,0,ROW()-1,60),ROW()-1,FALSE))</f>
        <v>3.813508836</v>
      </c>
      <c r="BK202">
        <f ca="1">IF(AND(ISNUMBER($BK$442),$B$258=1),$BK$442,HLOOKUP(INDIRECT(ADDRESS(2,COLUMN())),OFFSET($BN$2,0,0,ROW()-1,60),ROW()-1,FALSE))</f>
        <v>3.5515530000000002</v>
      </c>
      <c r="BL202">
        <f ca="1">IF(AND(ISNUMBER($BL$442),$B$258=1),$BL$442,HLOOKUP(INDIRECT(ADDRESS(2,COLUMN())),OFFSET($BN$2,0,0,ROW()-1,60),ROW()-1,FALSE))</f>
        <v>3.8845943959999998</v>
      </c>
      <c r="BM202">
        <f ca="1">IF(AND(ISNUMBER($BM$442),$B$258=1),$BM$442,HLOOKUP(INDIRECT(ADDRESS(2,COLUMN())),OFFSET($BN$2,0,0,ROW()-1,60),ROW()-1,FALSE))</f>
        <v>5.6236612480000003</v>
      </c>
      <c r="BN202" t="str">
        <f>""</f>
        <v/>
      </c>
      <c r="BO202">
        <f>8.330387189</f>
        <v>8.3303871889999996</v>
      </c>
      <c r="BP202">
        <f>7.469620723</f>
        <v>7.4696207230000002</v>
      </c>
      <c r="BQ202">
        <f>5.332491107</f>
        <v>5.3324911070000001</v>
      </c>
      <c r="BR202">
        <f>5.200216431</f>
        <v>5.2002164310000003</v>
      </c>
      <c r="BS202">
        <f>5.62154306</f>
        <v>5.6215430599999996</v>
      </c>
      <c r="BT202">
        <f>5.950091124</f>
        <v>5.9500911240000001</v>
      </c>
      <c r="BU202">
        <f>5.63444128</f>
        <v>5.6344412799999999</v>
      </c>
      <c r="BV202">
        <f>6.350522664</f>
        <v>6.3505226639999997</v>
      </c>
      <c r="BW202">
        <f>5.691595442</f>
        <v>5.6915954419999997</v>
      </c>
      <c r="BX202">
        <f>7.623020355</f>
        <v>7.6230203550000004</v>
      </c>
      <c r="BY202">
        <f>6.994157883</f>
        <v>6.9941578829999997</v>
      </c>
      <c r="BZ202">
        <f>5.581836452</f>
        <v>5.5818364520000001</v>
      </c>
      <c r="CA202">
        <f>5.076110618</f>
        <v>5.0761106180000004</v>
      </c>
      <c r="CB202">
        <f>5.076879635</f>
        <v>5.0768796350000001</v>
      </c>
      <c r="CC202">
        <f>5.532491131</f>
        <v>5.5324911309999996</v>
      </c>
      <c r="CD202">
        <f>5.071599728</f>
        <v>5.0715997279999998</v>
      </c>
      <c r="CE202">
        <f>5.13388195</f>
        <v>5.1338819500000001</v>
      </c>
      <c r="CF202">
        <f>4.49715761</f>
        <v>4.4971576100000004</v>
      </c>
      <c r="CG202">
        <f>4.689258474</f>
        <v>4.6892584739999998</v>
      </c>
      <c r="CH202">
        <f>5.106600688</f>
        <v>5.1066006880000003</v>
      </c>
      <c r="CI202">
        <f>5.564682313</f>
        <v>5.5646823129999996</v>
      </c>
      <c r="CJ202">
        <f>5.201911742</f>
        <v>5.2019117420000001</v>
      </c>
      <c r="CK202">
        <f>5.099198839</f>
        <v>5.0991988389999996</v>
      </c>
      <c r="CL202">
        <f>5.528669509</f>
        <v>5.5286695090000002</v>
      </c>
      <c r="CM202">
        <f>6.514874103</f>
        <v>6.5148741030000004</v>
      </c>
      <c r="CN202">
        <f>5.095820199</f>
        <v>5.0958201990000003</v>
      </c>
      <c r="CO202">
        <f>5.209476859</f>
        <v>5.2094768589999996</v>
      </c>
      <c r="CP202">
        <f>5.573043315</f>
        <v>5.5730433149999996</v>
      </c>
      <c r="CQ202">
        <f>5.039240452</f>
        <v>5.0392404519999996</v>
      </c>
      <c r="CR202">
        <f>5.647655166</f>
        <v>5.6476551659999998</v>
      </c>
      <c r="CS202">
        <f>6.794172693</f>
        <v>6.7941726930000002</v>
      </c>
      <c r="CT202">
        <f>4.59112571</f>
        <v>4.59112571</v>
      </c>
      <c r="CU202">
        <f>4.596796592</f>
        <v>4.5967965919999996</v>
      </c>
      <c r="CV202">
        <f>3.029876211</f>
        <v>3.0298762109999999</v>
      </c>
      <c r="CW202">
        <f>3.378248138</f>
        <v>3.378248138</v>
      </c>
      <c r="CX202">
        <f>3.526990289</f>
        <v>3.526990289</v>
      </c>
      <c r="CY202">
        <f>3.647910193</f>
        <v>3.647910193</v>
      </c>
      <c r="CZ202">
        <f>3.498500437</f>
        <v>3.4985004370000001</v>
      </c>
      <c r="DA202">
        <f>3.95117253</f>
        <v>3.95117253</v>
      </c>
      <c r="DB202">
        <f>3.846239686</f>
        <v>3.8462396860000001</v>
      </c>
      <c r="DC202">
        <f>3.821567504</f>
        <v>3.8215675039999999</v>
      </c>
      <c r="DD202">
        <f>3.651627298</f>
        <v>3.6516272980000002</v>
      </c>
      <c r="DE202">
        <f>3.925877818</f>
        <v>3.925877818</v>
      </c>
      <c r="DF202">
        <f>4.935123207</f>
        <v>4.9351232070000002</v>
      </c>
      <c r="DG202">
        <f>5.359010533</f>
        <v>5.3590105330000002</v>
      </c>
      <c r="DH202">
        <f>6.285928391</f>
        <v>6.2859283909999997</v>
      </c>
      <c r="DI202">
        <f>4.623061794</f>
        <v>4.6230617939999998</v>
      </c>
      <c r="DJ202">
        <f>4.966360542</f>
        <v>4.9663605420000003</v>
      </c>
      <c r="DK202">
        <f>5.515307067</f>
        <v>5.5153070670000002</v>
      </c>
      <c r="DL202">
        <f>4.851250668</f>
        <v>4.8512506679999996</v>
      </c>
      <c r="DM202">
        <f>5.343410214</f>
        <v>5.3434102140000004</v>
      </c>
      <c r="DN202">
        <f>4.304696185</f>
        <v>4.3046961850000001</v>
      </c>
      <c r="DO202">
        <f>4.841342488</f>
        <v>4.8413424880000004</v>
      </c>
      <c r="DP202">
        <f>4.268291089</f>
        <v>4.2682910889999999</v>
      </c>
      <c r="DQ202">
        <f>4.018518545</f>
        <v>4.0185185450000001</v>
      </c>
      <c r="DR202">
        <f>3.813508836</f>
        <v>3.813508836</v>
      </c>
      <c r="DS202">
        <f>3.551553</f>
        <v>3.5515530000000002</v>
      </c>
      <c r="DT202">
        <f>3.884594396</f>
        <v>3.8845943959999998</v>
      </c>
      <c r="DU202">
        <f>5.623661248</f>
        <v>5.6236612480000003</v>
      </c>
    </row>
    <row r="203" spans="1:125">
      <c r="A203" t="str">
        <f>"    Sabra Health Care REIT Inc"</f>
        <v xml:space="preserve">    Sabra Health Care REIT Inc</v>
      </c>
      <c r="B203" t="str">
        <f>"SBRA US Equity"</f>
        <v>SBRA US Equity</v>
      </c>
      <c r="C203" t="str">
        <f t="shared" si="48"/>
        <v>RR052</v>
      </c>
      <c r="D203" t="str">
        <f t="shared" si="49"/>
        <v>TOT_DEBT_TO_EBITDA</v>
      </c>
      <c r="E203" t="str">
        <f t="shared" si="50"/>
        <v>动态</v>
      </c>
      <c r="F203" t="str">
        <f ca="1">IF(AND(ISNUMBER($F$443),$B$258=1),$F$443,HLOOKUP(INDIRECT(ADDRESS(2,COLUMN())),OFFSET($BN$2,0,0,ROW()-1,60),ROW()-1,FALSE))</f>
        <v/>
      </c>
      <c r="G203">
        <f ca="1">IF(AND(ISNUMBER($G$443),$B$258=1),$G$443,HLOOKUP(INDIRECT(ADDRESS(2,COLUMN())),OFFSET($BN$2,0,0,ROW()-1,60),ROW()-1,FALSE))</f>
        <v>11.08093727</v>
      </c>
      <c r="H203">
        <f ca="1">IF(AND(ISNUMBER($H$443),$B$258=1),$H$443,HLOOKUP(INDIRECT(ADDRESS(2,COLUMN())),OFFSET($BN$2,0,0,ROW()-1,60),ROW()-1,FALSE))</f>
        <v>13.7099495</v>
      </c>
      <c r="I203">
        <f ca="1">IF(AND(ISNUMBER($I$443),$B$258=1),$I$443,HLOOKUP(INDIRECT(ADDRESS(2,COLUMN())),OFFSET($BN$2,0,0,ROW()-1,60),ROW()-1,FALSE))</f>
        <v>5.8734824339999996</v>
      </c>
      <c r="J203">
        <f ca="1">IF(AND(ISNUMBER($J$443),$B$258=1),$J$443,HLOOKUP(INDIRECT(ADDRESS(2,COLUMN())),OFFSET($BN$2,0,0,ROW()-1,60),ROW()-1,FALSE))</f>
        <v>5.2959007040000001</v>
      </c>
      <c r="K203">
        <f ca="1">IF(AND(ISNUMBER($K$443),$B$258=1),$K$443,HLOOKUP(INDIRECT(ADDRESS(2,COLUMN())),OFFSET($BN$2,0,0,ROW()-1,60),ROW()-1,FALSE))</f>
        <v>6.0669753599999998</v>
      </c>
      <c r="L203">
        <f ca="1">IF(AND(ISNUMBER($L$443),$B$258=1),$L$443,HLOOKUP(INDIRECT(ADDRESS(2,COLUMN())),OFFSET($BN$2,0,0,ROW()-1,60),ROW()-1,FALSE))</f>
        <v>5.9171562839999998</v>
      </c>
      <c r="M203">
        <f ca="1">IF(AND(ISNUMBER($M$443),$B$258=1),$M$443,HLOOKUP(INDIRECT(ADDRESS(2,COLUMN())),OFFSET($BN$2,0,0,ROW()-1,60),ROW()-1,FALSE))</f>
        <v>5.9901502180000001</v>
      </c>
      <c r="N203">
        <f ca="1">IF(AND(ISNUMBER($N$443),$B$258=1),$N$443,HLOOKUP(INDIRECT(ADDRESS(2,COLUMN())),OFFSET($BN$2,0,0,ROW()-1,60),ROW()-1,FALSE))</f>
        <v>7.938232138</v>
      </c>
      <c r="O203">
        <f ca="1">IF(AND(ISNUMBER($O$443),$B$258=1),$O$443,HLOOKUP(INDIRECT(ADDRESS(2,COLUMN())),OFFSET($BN$2,0,0,ROW()-1,60),ROW()-1,FALSE))</f>
        <v>6.913378528</v>
      </c>
      <c r="P203">
        <f ca="1">IF(AND(ISNUMBER($P$443),$B$258=1),$P$443,HLOOKUP(INDIRECT(ADDRESS(2,COLUMN())),OFFSET($BN$2,0,0,ROW()-1,60),ROW()-1,FALSE))</f>
        <v>7.0052628270000001</v>
      </c>
      <c r="Q203">
        <f ca="1">IF(AND(ISNUMBER($Q$443),$B$258=1),$Q$443,HLOOKUP(INDIRECT(ADDRESS(2,COLUMN())),OFFSET($BN$2,0,0,ROW()-1,60),ROW()-1,FALSE))</f>
        <v>7.0469006470000002</v>
      </c>
      <c r="R203">
        <f ca="1">IF(AND(ISNUMBER($R$443),$B$258=1),$R$443,HLOOKUP(INDIRECT(ADDRESS(2,COLUMN())),OFFSET($BN$2,0,0,ROW()-1,60),ROW()-1,FALSE))</f>
        <v>6.288555991</v>
      </c>
      <c r="S203">
        <f ca="1">IF(AND(ISNUMBER($S$443),$B$258=1),$S$443,HLOOKUP(INDIRECT(ADDRESS(2,COLUMN())),OFFSET($BN$2,0,0,ROW()-1,60),ROW()-1,FALSE))</f>
        <v>7.0780975359999996</v>
      </c>
      <c r="T203">
        <f ca="1">IF(AND(ISNUMBER($T$443),$B$258=1),$T$443,HLOOKUP(INDIRECT(ADDRESS(2,COLUMN())),OFFSET($BN$2,0,0,ROW()-1,60),ROW()-1,FALSE))</f>
        <v>9.1964290809999998</v>
      </c>
      <c r="U203">
        <f ca="1">IF(AND(ISNUMBER($U$443),$B$258=1),$U$443,HLOOKUP(INDIRECT(ADDRESS(2,COLUMN())),OFFSET($BN$2,0,0,ROW()-1,60),ROW()-1,FALSE))</f>
        <v>5.107264657</v>
      </c>
      <c r="V203">
        <f ca="1">IF(AND(ISNUMBER($V$443),$B$258=1),$V$443,HLOOKUP(INDIRECT(ADDRESS(2,COLUMN())),OFFSET($BN$2,0,0,ROW()-1,60),ROW()-1,FALSE))</f>
        <v>6.6807828699999998</v>
      </c>
      <c r="W203">
        <f ca="1">IF(AND(ISNUMBER($W$443),$B$258=1),$W$443,HLOOKUP(INDIRECT(ADDRESS(2,COLUMN())),OFFSET($BN$2,0,0,ROW()-1,60),ROW()-1,FALSE))</f>
        <v>5.8402122390000004</v>
      </c>
      <c r="X203">
        <f ca="1">IF(AND(ISNUMBER($X$443),$B$258=1),$X$443,HLOOKUP(INDIRECT(ADDRESS(2,COLUMN())),OFFSET($BN$2,0,0,ROW()-1,60),ROW()-1,FALSE))</f>
        <v>5.1881231479999999</v>
      </c>
      <c r="Y203">
        <f ca="1">IF(AND(ISNUMBER($Y$443),$B$258=1),$Y$443,HLOOKUP(INDIRECT(ADDRESS(2,COLUMN())),OFFSET($BN$2,0,0,ROW()-1,60),ROW()-1,FALSE))</f>
        <v>5.5942893820000004</v>
      </c>
      <c r="Z203">
        <f ca="1">IF(AND(ISNUMBER($Z$443),$B$258=1),$Z$443,HLOOKUP(INDIRECT(ADDRESS(2,COLUMN())),OFFSET($BN$2,0,0,ROW()-1,60),ROW()-1,FALSE))</f>
        <v>5.2095497599999998</v>
      </c>
      <c r="AA203">
        <f ca="1">IF(AND(ISNUMBER($AA$443),$B$258=1),$AA$443,HLOOKUP(INDIRECT(ADDRESS(2,COLUMN())),OFFSET($BN$2,0,0,ROW()-1,60),ROW()-1,FALSE))</f>
        <v>6.8036649520000001</v>
      </c>
      <c r="AB203">
        <f ca="1">IF(AND(ISNUMBER($AB$443),$B$258=1),$AB$443,HLOOKUP(INDIRECT(ADDRESS(2,COLUMN())),OFFSET($BN$2,0,0,ROW()-1,60),ROW()-1,FALSE))</f>
        <v>5.7177947150000001</v>
      </c>
      <c r="AC203">
        <f ca="1">IF(AND(ISNUMBER($AC$443),$B$258=1),$AC$443,HLOOKUP(INDIRECT(ADDRESS(2,COLUMN())),OFFSET($BN$2,0,0,ROW()-1,60),ROW()-1,FALSE))</f>
        <v>5.3190781659999997</v>
      </c>
      <c r="AD203">
        <f ca="1">IF(AND(ISNUMBER($AD$443),$B$258=1),$AD$443,HLOOKUP(INDIRECT(ADDRESS(2,COLUMN())),OFFSET($BN$2,0,0,ROW()-1,60),ROW()-1,FALSE))</f>
        <v>5.15456848</v>
      </c>
      <c r="AE203">
        <f ca="1">IF(AND(ISNUMBER($AE$443),$B$258=1),$AE$443,HLOOKUP(INDIRECT(ADDRESS(2,COLUMN())),OFFSET($BN$2,0,0,ROW()-1,60),ROW()-1,FALSE))</f>
        <v>5.4966667139999998</v>
      </c>
      <c r="AF203" t="str">
        <f ca="1">IF(AND(ISNUMBER($AF$443),$B$258=1),$AF$443,HLOOKUP(INDIRECT(ADDRESS(2,COLUMN())),OFFSET($BN$2,0,0,ROW()-1,60),ROW()-1,FALSE))</f>
        <v/>
      </c>
      <c r="AG203" t="str">
        <f ca="1">IF(AND(ISNUMBER($AG$443),$B$258=1),$AG$443,HLOOKUP(INDIRECT(ADDRESS(2,COLUMN())),OFFSET($BN$2,0,0,ROW()-1,60),ROW()-1,FALSE))</f>
        <v/>
      </c>
      <c r="AH203" t="str">
        <f ca="1">IF(AND(ISNUMBER($AH$443),$B$258=1),$AH$443,HLOOKUP(INDIRECT(ADDRESS(2,COLUMN())),OFFSET($BN$2,0,0,ROW()-1,60),ROW()-1,FALSE))</f>
        <v/>
      </c>
      <c r="AI203" t="str">
        <f ca="1">IF(AND(ISNUMBER($AI$443),$B$258=1),$AI$443,HLOOKUP(INDIRECT(ADDRESS(2,COLUMN())),OFFSET($BN$2,0,0,ROW()-1,60),ROW()-1,FALSE))</f>
        <v/>
      </c>
      <c r="AJ203" t="str">
        <f ca="1">IF(AND(ISNUMBER($AJ$443),$B$258=1),$AJ$443,HLOOKUP(INDIRECT(ADDRESS(2,COLUMN())),OFFSET($BN$2,0,0,ROW()-1,60),ROW()-1,FALSE))</f>
        <v/>
      </c>
      <c r="AK203" t="str">
        <f ca="1">IF(AND(ISNUMBER($AK$443),$B$258=1),$AK$443,HLOOKUP(INDIRECT(ADDRESS(2,COLUMN())),OFFSET($BN$2,0,0,ROW()-1,60),ROW()-1,FALSE))</f>
        <v/>
      </c>
      <c r="AL203" t="str">
        <f ca="1">IF(AND(ISNUMBER($AL$443),$B$258=1),$AL$443,HLOOKUP(INDIRECT(ADDRESS(2,COLUMN())),OFFSET($BN$2,0,0,ROW()-1,60),ROW()-1,FALSE))</f>
        <v/>
      </c>
      <c r="AM203" t="str">
        <f ca="1">IF(AND(ISNUMBER($AM$443),$B$258=1),$AM$443,HLOOKUP(INDIRECT(ADDRESS(2,COLUMN())),OFFSET($BN$2,0,0,ROW()-1,60),ROW()-1,FALSE))</f>
        <v/>
      </c>
      <c r="AN203" t="str">
        <f ca="1">IF(AND(ISNUMBER($AN$443),$B$258=1),$AN$443,HLOOKUP(INDIRECT(ADDRESS(2,COLUMN())),OFFSET($BN$2,0,0,ROW()-1,60),ROW()-1,FALSE))</f>
        <v/>
      </c>
      <c r="AO203" t="str">
        <f ca="1">IF(AND(ISNUMBER($AO$443),$B$258=1),$AO$443,HLOOKUP(INDIRECT(ADDRESS(2,COLUMN())),OFFSET($BN$2,0,0,ROW()-1,60),ROW()-1,FALSE))</f>
        <v/>
      </c>
      <c r="AP203" t="str">
        <f ca="1">IF(AND(ISNUMBER($AP$443),$B$258=1),$AP$443,HLOOKUP(INDIRECT(ADDRESS(2,COLUMN())),OFFSET($BN$2,0,0,ROW()-1,60),ROW()-1,FALSE))</f>
        <v/>
      </c>
      <c r="AQ203" t="str">
        <f ca="1">IF(AND(ISNUMBER($AQ$443),$B$258=1),$AQ$443,HLOOKUP(INDIRECT(ADDRESS(2,COLUMN())),OFFSET($BN$2,0,0,ROW()-1,60),ROW()-1,FALSE))</f>
        <v/>
      </c>
      <c r="AR203" t="str">
        <f ca="1">IF(AND(ISNUMBER($AR$443),$B$258=1),$AR$443,HLOOKUP(INDIRECT(ADDRESS(2,COLUMN())),OFFSET($BN$2,0,0,ROW()-1,60),ROW()-1,FALSE))</f>
        <v/>
      </c>
      <c r="AS203" t="str">
        <f ca="1">IF(AND(ISNUMBER($AS$443),$B$258=1),$AS$443,HLOOKUP(INDIRECT(ADDRESS(2,COLUMN())),OFFSET($BN$2,0,0,ROW()-1,60),ROW()-1,FALSE))</f>
        <v/>
      </c>
      <c r="AT203" t="str">
        <f ca="1">IF(AND(ISNUMBER($AT$443),$B$258=1),$AT$443,HLOOKUP(INDIRECT(ADDRESS(2,COLUMN())),OFFSET($BN$2,0,0,ROW()-1,60),ROW()-1,FALSE))</f>
        <v/>
      </c>
      <c r="AU203" t="str">
        <f ca="1">IF(AND(ISNUMBER($AU$443),$B$258=1),$AU$443,HLOOKUP(INDIRECT(ADDRESS(2,COLUMN())),OFFSET($BN$2,0,0,ROW()-1,60),ROW()-1,FALSE))</f>
        <v/>
      </c>
      <c r="AV203" t="str">
        <f ca="1">IF(AND(ISNUMBER($AV$443),$B$258=1),$AV$443,HLOOKUP(INDIRECT(ADDRESS(2,COLUMN())),OFFSET($BN$2,0,0,ROW()-1,60),ROW()-1,FALSE))</f>
        <v/>
      </c>
      <c r="AW203" t="str">
        <f ca="1">IF(AND(ISNUMBER($AW$443),$B$258=1),$AW$443,HLOOKUP(INDIRECT(ADDRESS(2,COLUMN())),OFFSET($BN$2,0,0,ROW()-1,60),ROW()-1,FALSE))</f>
        <v/>
      </c>
      <c r="AX203" t="str">
        <f ca="1">IF(AND(ISNUMBER($AX$443),$B$258=1),$AX$443,HLOOKUP(INDIRECT(ADDRESS(2,COLUMN())),OFFSET($BN$2,0,0,ROW()-1,60),ROW()-1,FALSE))</f>
        <v/>
      </c>
      <c r="AY203" t="str">
        <f ca="1">IF(AND(ISNUMBER($AY$443),$B$258=1),$AY$443,HLOOKUP(INDIRECT(ADDRESS(2,COLUMN())),OFFSET($BN$2,0,0,ROW()-1,60),ROW()-1,FALSE))</f>
        <v/>
      </c>
      <c r="AZ203" t="str">
        <f ca="1">IF(AND(ISNUMBER($AZ$443),$B$258=1),$AZ$443,HLOOKUP(INDIRECT(ADDRESS(2,COLUMN())),OFFSET($BN$2,0,0,ROW()-1,60),ROW()-1,FALSE))</f>
        <v/>
      </c>
      <c r="BA203" t="str">
        <f ca="1">IF(AND(ISNUMBER($BA$443),$B$258=1),$BA$443,HLOOKUP(INDIRECT(ADDRESS(2,COLUMN())),OFFSET($BN$2,0,0,ROW()-1,60),ROW()-1,FALSE))</f>
        <v/>
      </c>
      <c r="BB203" t="str">
        <f ca="1">IF(AND(ISNUMBER($BB$443),$B$258=1),$BB$443,HLOOKUP(INDIRECT(ADDRESS(2,COLUMN())),OFFSET($BN$2,0,0,ROW()-1,60),ROW()-1,FALSE))</f>
        <v/>
      </c>
      <c r="BC203" t="str">
        <f ca="1">IF(AND(ISNUMBER($BC$443),$B$258=1),$BC$443,HLOOKUP(INDIRECT(ADDRESS(2,COLUMN())),OFFSET($BN$2,0,0,ROW()-1,60),ROW()-1,FALSE))</f>
        <v/>
      </c>
      <c r="BD203" t="str">
        <f ca="1">IF(AND(ISNUMBER($BD$443),$B$258=1),$BD$443,HLOOKUP(INDIRECT(ADDRESS(2,COLUMN())),OFFSET($BN$2,0,0,ROW()-1,60),ROW()-1,FALSE))</f>
        <v/>
      </c>
      <c r="BE203" t="str">
        <f ca="1">IF(AND(ISNUMBER($BE$443),$B$258=1),$BE$443,HLOOKUP(INDIRECT(ADDRESS(2,COLUMN())),OFFSET($BN$2,0,0,ROW()-1,60),ROW()-1,FALSE))</f>
        <v/>
      </c>
      <c r="BF203" t="str">
        <f ca="1">IF(AND(ISNUMBER($BF$443),$B$258=1),$BF$443,HLOOKUP(INDIRECT(ADDRESS(2,COLUMN())),OFFSET($BN$2,0,0,ROW()-1,60),ROW()-1,FALSE))</f>
        <v/>
      </c>
      <c r="BG203" t="str">
        <f ca="1">IF(AND(ISNUMBER($BG$443),$B$258=1),$BG$443,HLOOKUP(INDIRECT(ADDRESS(2,COLUMN())),OFFSET($BN$2,0,0,ROW()-1,60),ROW()-1,FALSE))</f>
        <v/>
      </c>
      <c r="BH203" t="str">
        <f ca="1">IF(AND(ISNUMBER($BH$443),$B$258=1),$BH$443,HLOOKUP(INDIRECT(ADDRESS(2,COLUMN())),OFFSET($BN$2,0,0,ROW()-1,60),ROW()-1,FALSE))</f>
        <v/>
      </c>
      <c r="BI203" t="str">
        <f ca="1">IF(AND(ISNUMBER($BI$443),$B$258=1),$BI$443,HLOOKUP(INDIRECT(ADDRESS(2,COLUMN())),OFFSET($BN$2,0,0,ROW()-1,60),ROW()-1,FALSE))</f>
        <v/>
      </c>
      <c r="BJ203" t="str">
        <f ca="1">IF(AND(ISNUMBER($BJ$443),$B$258=1),$BJ$443,HLOOKUP(INDIRECT(ADDRESS(2,COLUMN())),OFFSET($BN$2,0,0,ROW()-1,60),ROW()-1,FALSE))</f>
        <v/>
      </c>
      <c r="BK203" t="str">
        <f ca="1">IF(AND(ISNUMBER($BK$443),$B$258=1),$BK$443,HLOOKUP(INDIRECT(ADDRESS(2,COLUMN())),OFFSET($BN$2,0,0,ROW()-1,60),ROW()-1,FALSE))</f>
        <v/>
      </c>
      <c r="BL203" t="str">
        <f ca="1">IF(AND(ISNUMBER($BL$443),$B$258=1),$BL$443,HLOOKUP(INDIRECT(ADDRESS(2,COLUMN())),OFFSET($BN$2,0,0,ROW()-1,60),ROW()-1,FALSE))</f>
        <v/>
      </c>
      <c r="BM203" t="str">
        <f ca="1">IF(AND(ISNUMBER($BM$443),$B$258=1),$BM$443,HLOOKUP(INDIRECT(ADDRESS(2,COLUMN())),OFFSET($BN$2,0,0,ROW()-1,60),ROW()-1,FALSE))</f>
        <v/>
      </c>
      <c r="BN203" t="str">
        <f>""</f>
        <v/>
      </c>
      <c r="BO203">
        <f>11.08093727</f>
        <v>11.08093727</v>
      </c>
      <c r="BP203">
        <f>13.7099495</f>
        <v>13.7099495</v>
      </c>
      <c r="BQ203">
        <f>5.873482434</f>
        <v>5.8734824339999996</v>
      </c>
      <c r="BR203">
        <f>5.295900704</f>
        <v>5.2959007040000001</v>
      </c>
      <c r="BS203">
        <f>6.06697536</f>
        <v>6.0669753599999998</v>
      </c>
      <c r="BT203">
        <f>5.917156284</f>
        <v>5.9171562839999998</v>
      </c>
      <c r="BU203">
        <f>5.990150218</f>
        <v>5.9901502180000001</v>
      </c>
      <c r="BV203">
        <f>7.938232138</f>
        <v>7.938232138</v>
      </c>
      <c r="BW203">
        <f>6.913378528</f>
        <v>6.913378528</v>
      </c>
      <c r="BX203">
        <f>7.005262827</f>
        <v>7.0052628270000001</v>
      </c>
      <c r="BY203">
        <f>7.046900647</f>
        <v>7.0469006470000002</v>
      </c>
      <c r="BZ203">
        <f>6.288555991</f>
        <v>6.288555991</v>
      </c>
      <c r="CA203">
        <f>7.078097536</f>
        <v>7.0780975359999996</v>
      </c>
      <c r="CB203">
        <f>9.196429081</f>
        <v>9.1964290809999998</v>
      </c>
      <c r="CC203">
        <f>5.107264657</f>
        <v>5.107264657</v>
      </c>
      <c r="CD203">
        <f>6.68078287</f>
        <v>6.6807828699999998</v>
      </c>
      <c r="CE203">
        <f>5.840212239</f>
        <v>5.8402122390000004</v>
      </c>
      <c r="CF203">
        <f>5.188123148</f>
        <v>5.1881231479999999</v>
      </c>
      <c r="CG203">
        <f>5.594289382</f>
        <v>5.5942893820000004</v>
      </c>
      <c r="CH203">
        <f>5.20954976</f>
        <v>5.2095497599999998</v>
      </c>
      <c r="CI203">
        <f>6.803664952</f>
        <v>6.8036649520000001</v>
      </c>
      <c r="CJ203">
        <f>5.717794715</f>
        <v>5.7177947150000001</v>
      </c>
      <c r="CK203">
        <f>5.319078166</f>
        <v>5.3190781659999997</v>
      </c>
      <c r="CL203">
        <f>5.15456848</f>
        <v>5.15456848</v>
      </c>
      <c r="CM203">
        <f>5.496666714</f>
        <v>5.4966667139999998</v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1:125">
      <c r="A204" t="str">
        <f>"    Senior Housing Properties Trus"</f>
        <v xml:space="preserve">    Senior Housing Properties Trus</v>
      </c>
      <c r="B204" t="str">
        <f>"SNH US Equity"</f>
        <v>SNH US Equity</v>
      </c>
      <c r="C204" t="str">
        <f t="shared" si="48"/>
        <v>RR052</v>
      </c>
      <c r="D204" t="str">
        <f t="shared" si="49"/>
        <v>TOT_DEBT_TO_EBITDA</v>
      </c>
      <c r="E204" t="str">
        <f t="shared" si="50"/>
        <v>动态</v>
      </c>
      <c r="F204" t="str">
        <f ca="1">IF(AND(ISNUMBER($F$444),$B$258=1),$F$444,HLOOKUP(INDIRECT(ADDRESS(2,COLUMN())),OFFSET($BN$2,0,0,ROW()-1,60),ROW()-1,FALSE))</f>
        <v/>
      </c>
      <c r="G204">
        <f ca="1">IF(AND(ISNUMBER($G$444),$B$258=1),$G$444,HLOOKUP(INDIRECT(ADDRESS(2,COLUMN())),OFFSET($BN$2,0,0,ROW()-1,60),ROW()-1,FALSE))</f>
        <v>6.6560506320000004</v>
      </c>
      <c r="H204">
        <f ca="1">IF(AND(ISNUMBER($H$444),$B$258=1),$H$444,HLOOKUP(INDIRECT(ADDRESS(2,COLUMN())),OFFSET($BN$2,0,0,ROW()-1,60),ROW()-1,FALSE))</f>
        <v>6.0968296799999999</v>
      </c>
      <c r="I204">
        <f ca="1">IF(AND(ISNUMBER($I$444),$B$258=1),$I$444,HLOOKUP(INDIRECT(ADDRESS(2,COLUMN())),OFFSET($BN$2,0,0,ROW()-1,60),ROW()-1,FALSE))</f>
        <v>6.0244330809999997</v>
      </c>
      <c r="J204">
        <f ca="1">IF(AND(ISNUMBER($J$444),$B$258=1),$J$444,HLOOKUP(INDIRECT(ADDRESS(2,COLUMN())),OFFSET($BN$2,0,0,ROW()-1,60),ROW()-1,FALSE))</f>
        <v>5.8303298779999997</v>
      </c>
      <c r="K204">
        <f ca="1">IF(AND(ISNUMBER($K$444),$B$258=1),$K$444,HLOOKUP(INDIRECT(ADDRESS(2,COLUMN())),OFFSET($BN$2,0,0,ROW()-1,60),ROW()-1,FALSE))</f>
        <v>6.285933558</v>
      </c>
      <c r="L204">
        <f ca="1">IF(AND(ISNUMBER($L$444),$B$258=1),$L$444,HLOOKUP(INDIRECT(ADDRESS(2,COLUMN())),OFFSET($BN$2,0,0,ROW()-1,60),ROW()-1,FALSE))</f>
        <v>6.2226522769999999</v>
      </c>
      <c r="M204">
        <f ca="1">IF(AND(ISNUMBER($M$444),$B$258=1),$M$444,HLOOKUP(INDIRECT(ADDRESS(2,COLUMN())),OFFSET($BN$2,0,0,ROW()-1,60),ROW()-1,FALSE))</f>
        <v>6.1971481529999997</v>
      </c>
      <c r="N204">
        <f ca="1">IF(AND(ISNUMBER($N$444),$B$258=1),$N$444,HLOOKUP(INDIRECT(ADDRESS(2,COLUMN())),OFFSET($BN$2,0,0,ROW()-1,60),ROW()-1,FALSE))</f>
        <v>6.0094965800000004</v>
      </c>
      <c r="O204">
        <f ca="1">IF(AND(ISNUMBER($O$444),$B$258=1),$O$444,HLOOKUP(INDIRECT(ADDRESS(2,COLUMN())),OFFSET($BN$2,0,0,ROW()-1,60),ROW()-1,FALSE))</f>
        <v>6.0896876679999998</v>
      </c>
      <c r="P204">
        <f ca="1">IF(AND(ISNUMBER($P$444),$B$258=1),$P$444,HLOOKUP(INDIRECT(ADDRESS(2,COLUMN())),OFFSET($BN$2,0,0,ROW()-1,60),ROW()-1,FALSE))</f>
        <v>6.3797284540000003</v>
      </c>
      <c r="Q204">
        <f ca="1">IF(AND(ISNUMBER($Q$444),$B$258=1),$Q$444,HLOOKUP(INDIRECT(ADDRESS(2,COLUMN())),OFFSET($BN$2,0,0,ROW()-1,60),ROW()-1,FALSE))</f>
        <v>6.5485589390000003</v>
      </c>
      <c r="R204">
        <f ca="1">IF(AND(ISNUMBER($R$444),$B$258=1),$R$444,HLOOKUP(INDIRECT(ADDRESS(2,COLUMN())),OFFSET($BN$2,0,0,ROW()-1,60),ROW()-1,FALSE))</f>
        <v>5.4106122350000003</v>
      </c>
      <c r="S204">
        <f ca="1">IF(AND(ISNUMBER($S$444),$B$258=1),$S$444,HLOOKUP(INDIRECT(ADDRESS(2,COLUMN())),OFFSET($BN$2,0,0,ROW()-1,60),ROW()-1,FALSE))</f>
        <v>5.8741568510000004</v>
      </c>
      <c r="T204">
        <f ca="1">IF(AND(ISNUMBER($T$444),$B$258=1),$T$444,HLOOKUP(INDIRECT(ADDRESS(2,COLUMN())),OFFSET($BN$2,0,0,ROW()-1,60),ROW()-1,FALSE))</f>
        <v>6.056469366</v>
      </c>
      <c r="U204">
        <f ca="1">IF(AND(ISNUMBER($U$444),$B$258=1),$U$444,HLOOKUP(INDIRECT(ADDRESS(2,COLUMN())),OFFSET($BN$2,0,0,ROW()-1,60),ROW()-1,FALSE))</f>
        <v>6.3335829529999996</v>
      </c>
      <c r="V204">
        <f ca="1">IF(AND(ISNUMBER($V$444),$B$258=1),$V$444,HLOOKUP(INDIRECT(ADDRESS(2,COLUMN())),OFFSET($BN$2,0,0,ROW()-1,60),ROW()-1,FALSE))</f>
        <v>4.5875701119999999</v>
      </c>
      <c r="W204">
        <f ca="1">IF(AND(ISNUMBER($W$444),$B$258=1),$W$444,HLOOKUP(INDIRECT(ADDRESS(2,COLUMN())),OFFSET($BN$2,0,0,ROW()-1,60),ROW()-1,FALSE))</f>
        <v>4.5245174319999997</v>
      </c>
      <c r="X204">
        <f ca="1">IF(AND(ISNUMBER($X$444),$B$258=1),$X$444,HLOOKUP(INDIRECT(ADDRESS(2,COLUMN())),OFFSET($BN$2,0,0,ROW()-1,60),ROW()-1,FALSE))</f>
        <v>4.6078202800000003</v>
      </c>
      <c r="Y204">
        <f ca="1">IF(AND(ISNUMBER($Y$444),$B$258=1),$Y$444,HLOOKUP(INDIRECT(ADDRESS(2,COLUMN())),OFFSET($BN$2,0,0,ROW()-1,60),ROW()-1,FALSE))</f>
        <v>4.4968169649999998</v>
      </c>
      <c r="Z204">
        <f ca="1">IF(AND(ISNUMBER($Z$444),$B$258=1),$Z$444,HLOOKUP(INDIRECT(ADDRESS(2,COLUMN())),OFFSET($BN$2,0,0,ROW()-1,60),ROW()-1,FALSE))</f>
        <v>4.5067875649999998</v>
      </c>
      <c r="AA204">
        <f ca="1">IF(AND(ISNUMBER($AA$444),$B$258=1),$AA$444,HLOOKUP(INDIRECT(ADDRESS(2,COLUMN())),OFFSET($BN$2,0,0,ROW()-1,60),ROW()-1,FALSE))</f>
        <v>5.0463254050000002</v>
      </c>
      <c r="AB204">
        <f ca="1">IF(AND(ISNUMBER($AB$444),$B$258=1),$AB$444,HLOOKUP(INDIRECT(ADDRESS(2,COLUMN())),OFFSET($BN$2,0,0,ROW()-1,60),ROW()-1,FALSE))</f>
        <v>4.8737064520000004</v>
      </c>
      <c r="AC204">
        <f ca="1">IF(AND(ISNUMBER($AC$444),$B$258=1),$AC$444,HLOOKUP(INDIRECT(ADDRESS(2,COLUMN())),OFFSET($BN$2,0,0,ROW()-1,60),ROW()-1,FALSE))</f>
        <v>5.3189252400000004</v>
      </c>
      <c r="AD204">
        <f ca="1">IF(AND(ISNUMBER($AD$444),$B$258=1),$AD$444,HLOOKUP(INDIRECT(ADDRESS(2,COLUMN())),OFFSET($BN$2,0,0,ROW()-1,60),ROW()-1,FALSE))</f>
        <v>5.225299175</v>
      </c>
      <c r="AE204">
        <f ca="1">IF(AND(ISNUMBER($AE$444),$B$258=1),$AE$444,HLOOKUP(INDIRECT(ADDRESS(2,COLUMN())),OFFSET($BN$2,0,0,ROW()-1,60),ROW()-1,FALSE))</f>
        <v>5.3623598799999996</v>
      </c>
      <c r="AF204">
        <f ca="1">IF(AND(ISNUMBER($AF$444),$B$258=1),$AF$444,HLOOKUP(INDIRECT(ADDRESS(2,COLUMN())),OFFSET($BN$2,0,0,ROW()-1,60),ROW()-1,FALSE))</f>
        <v>4.9817527650000004</v>
      </c>
      <c r="AG204">
        <f ca="1">IF(AND(ISNUMBER($AG$444),$B$258=1),$AG$444,HLOOKUP(INDIRECT(ADDRESS(2,COLUMN())),OFFSET($BN$2,0,0,ROW()-1,60),ROW()-1,FALSE))</f>
        <v>5.0178645900000003</v>
      </c>
      <c r="AH204">
        <f ca="1">IF(AND(ISNUMBER($AH$444),$B$258=1),$AH$444,HLOOKUP(INDIRECT(ADDRESS(2,COLUMN())),OFFSET($BN$2,0,0,ROW()-1,60),ROW()-1,FALSE))</f>
        <v>4.4920501000000002</v>
      </c>
      <c r="AI204">
        <f ca="1">IF(AND(ISNUMBER($AI$444),$B$258=1),$AI$444,HLOOKUP(INDIRECT(ADDRESS(2,COLUMN())),OFFSET($BN$2,0,0,ROW()-1,60),ROW()-1,FALSE))</f>
        <v>4.1586649639999997</v>
      </c>
      <c r="AJ204">
        <f ca="1">IF(AND(ISNUMBER($AJ$444),$B$258=1),$AJ$444,HLOOKUP(INDIRECT(ADDRESS(2,COLUMN())),OFFSET($BN$2,0,0,ROW()-1,60),ROW()-1,FALSE))</f>
        <v>3.8203015580000002</v>
      </c>
      <c r="AK204">
        <f ca="1">IF(AND(ISNUMBER($AK$444),$B$258=1),$AK$444,HLOOKUP(INDIRECT(ADDRESS(2,COLUMN())),OFFSET($BN$2,0,0,ROW()-1,60),ROW()-1,FALSE))</f>
        <v>4.0575073760000002</v>
      </c>
      <c r="AL204">
        <f ca="1">IF(AND(ISNUMBER($AL$444),$B$258=1),$AL$444,HLOOKUP(INDIRECT(ADDRESS(2,COLUMN())),OFFSET($BN$2,0,0,ROW()-1,60),ROW()-1,FALSE))</f>
        <v>4.0460159879999997</v>
      </c>
      <c r="AM204">
        <f ca="1">IF(AND(ISNUMBER($AM$444),$B$258=1),$AM$444,HLOOKUP(INDIRECT(ADDRESS(2,COLUMN())),OFFSET($BN$2,0,0,ROW()-1,60),ROW()-1,FALSE))</f>
        <v>4.2258574619999996</v>
      </c>
      <c r="AN204">
        <f ca="1">IF(AND(ISNUMBER($AN$444),$B$258=1),$AN$444,HLOOKUP(INDIRECT(ADDRESS(2,COLUMN())),OFFSET($BN$2,0,0,ROW()-1,60),ROW()-1,FALSE))</f>
        <v>4.1089096510000003</v>
      </c>
      <c r="AO204">
        <f ca="1">IF(AND(ISNUMBER($AO$444),$B$258=1),$AO$444,HLOOKUP(INDIRECT(ADDRESS(2,COLUMN())),OFFSET($BN$2,0,0,ROW()-1,60),ROW()-1,FALSE))</f>
        <v>2.914380639</v>
      </c>
      <c r="AP204">
        <f ca="1">IF(AND(ISNUMBER($AP$444),$B$258=1),$AP$444,HLOOKUP(INDIRECT(ADDRESS(2,COLUMN())),OFFSET($BN$2,0,0,ROW()-1,60),ROW()-1,FALSE))</f>
        <v>2.8369360029999999</v>
      </c>
      <c r="AQ204">
        <f ca="1">IF(AND(ISNUMBER($AQ$444),$B$258=1),$AQ$444,HLOOKUP(INDIRECT(ADDRESS(2,COLUMN())),OFFSET($BN$2,0,0,ROW()-1,60),ROW()-1,FALSE))</f>
        <v>3.3865573100000002</v>
      </c>
      <c r="AR204">
        <f ca="1">IF(AND(ISNUMBER($AR$444),$B$258=1),$AR$444,HLOOKUP(INDIRECT(ADDRESS(2,COLUMN())),OFFSET($BN$2,0,0,ROW()-1,60),ROW()-1,FALSE))</f>
        <v>2.8536427039999999</v>
      </c>
      <c r="AS204">
        <f ca="1">IF(AND(ISNUMBER($AS$444),$B$258=1),$AS$444,HLOOKUP(INDIRECT(ADDRESS(2,COLUMN())),OFFSET($BN$2,0,0,ROW()-1,60),ROW()-1,FALSE))</f>
        <v>2.2233933289999999</v>
      </c>
      <c r="AT204">
        <f ca="1">IF(AND(ISNUMBER($AT$444),$B$258=1),$AT$444,HLOOKUP(INDIRECT(ADDRESS(2,COLUMN())),OFFSET($BN$2,0,0,ROW()-1,60),ROW()-1,FALSE))</f>
        <v>3.0296996460000001</v>
      </c>
      <c r="AU204">
        <f ca="1">IF(AND(ISNUMBER($AU$444),$B$258=1),$AU$444,HLOOKUP(INDIRECT(ADDRESS(2,COLUMN())),OFFSET($BN$2,0,0,ROW()-1,60),ROW()-1,FALSE))</f>
        <v>2.455034854</v>
      </c>
      <c r="AV204">
        <f ca="1">IF(AND(ISNUMBER($AV$444),$B$258=1),$AV$444,HLOOKUP(INDIRECT(ADDRESS(2,COLUMN())),OFFSET($BN$2,0,0,ROW()-1,60),ROW()-1,FALSE))</f>
        <v>2.3477854520000001</v>
      </c>
      <c r="AW204">
        <f ca="1">IF(AND(ISNUMBER($AW$444),$B$258=1),$AW$444,HLOOKUP(INDIRECT(ADDRESS(2,COLUMN())),OFFSET($BN$2,0,0,ROW()-1,60),ROW()-1,FALSE))</f>
        <v>2.396772994</v>
      </c>
      <c r="AX204">
        <f ca="1">IF(AND(ISNUMBER($AX$444),$B$258=1),$AX$444,HLOOKUP(INDIRECT(ADDRESS(2,COLUMN())),OFFSET($BN$2,0,0,ROW()-1,60),ROW()-1,FALSE))</f>
        <v>2.4505545400000002</v>
      </c>
      <c r="AY204">
        <f ca="1">IF(AND(ISNUMBER($AY$444),$B$258=1),$AY$444,HLOOKUP(INDIRECT(ADDRESS(2,COLUMN())),OFFSET($BN$2,0,0,ROW()-1,60),ROW()-1,FALSE))</f>
        <v>3.3003251370000002</v>
      </c>
      <c r="AZ204">
        <f ca="1">IF(AND(ISNUMBER($AZ$444),$B$258=1),$AZ$444,HLOOKUP(INDIRECT(ADDRESS(2,COLUMN())),OFFSET($BN$2,0,0,ROW()-1,60),ROW()-1,FALSE))</f>
        <v>4.154488315</v>
      </c>
      <c r="BA204">
        <f ca="1">IF(AND(ISNUMBER($BA$444),$B$258=1),$BA$444,HLOOKUP(INDIRECT(ADDRESS(2,COLUMN())),OFFSET($BN$2,0,0,ROW()-1,60),ROW()-1,FALSE))</f>
        <v>3.6625570409999999</v>
      </c>
      <c r="BB204">
        <f ca="1">IF(AND(ISNUMBER($BB$444),$B$258=1),$BB$444,HLOOKUP(INDIRECT(ADDRESS(2,COLUMN())),OFFSET($BN$2,0,0,ROW()-1,60),ROW()-1,FALSE))</f>
        <v>3.5883293329999999</v>
      </c>
      <c r="BC204">
        <f ca="1">IF(AND(ISNUMBER($BC$444),$B$258=1),$BC$444,HLOOKUP(INDIRECT(ADDRESS(2,COLUMN())),OFFSET($BN$2,0,0,ROW()-1,60),ROW()-1,FALSE))</f>
        <v>3.707070044</v>
      </c>
      <c r="BD204">
        <f ca="1">IF(AND(ISNUMBER($BD$444),$B$258=1),$BD$444,HLOOKUP(INDIRECT(ADDRESS(2,COLUMN())),OFFSET($BN$2,0,0,ROW()-1,60),ROW()-1,FALSE))</f>
        <v>3.7524279470000002</v>
      </c>
      <c r="BE204">
        <f ca="1">IF(AND(ISNUMBER($BE$444),$B$258=1),$BE$444,HLOOKUP(INDIRECT(ADDRESS(2,COLUMN())),OFFSET($BN$2,0,0,ROW()-1,60),ROW()-1,FALSE))</f>
        <v>4.0355115230000003</v>
      </c>
      <c r="BF204">
        <f ca="1">IF(AND(ISNUMBER($BF$444),$B$258=1),$BF$444,HLOOKUP(INDIRECT(ADDRESS(2,COLUMN())),OFFSET($BN$2,0,0,ROW()-1,60),ROW()-1,FALSE))</f>
        <v>3.8468299859999999</v>
      </c>
      <c r="BG204">
        <f ca="1">IF(AND(ISNUMBER($BG$444),$B$258=1),$BG$444,HLOOKUP(INDIRECT(ADDRESS(2,COLUMN())),OFFSET($BN$2,0,0,ROW()-1,60),ROW()-1,FALSE))</f>
        <v>3.8940444830000001</v>
      </c>
      <c r="BH204">
        <f ca="1">IF(AND(ISNUMBER($BH$444),$B$258=1),$BH$444,HLOOKUP(INDIRECT(ADDRESS(2,COLUMN())),OFFSET($BN$2,0,0,ROW()-1,60),ROW()-1,FALSE))</f>
        <v>3.604555189</v>
      </c>
      <c r="BI204">
        <f ca="1">IF(AND(ISNUMBER($BI$444),$B$258=1),$BI$444,HLOOKUP(INDIRECT(ADDRESS(2,COLUMN())),OFFSET($BN$2,0,0,ROW()-1,60),ROW()-1,FALSE))</f>
        <v>3.7423373889999998</v>
      </c>
      <c r="BJ204">
        <f ca="1">IF(AND(ISNUMBER($BJ$444),$B$258=1),$BJ$444,HLOOKUP(INDIRECT(ADDRESS(2,COLUMN())),OFFSET($BN$2,0,0,ROW()-1,60),ROW()-1,FALSE))</f>
        <v>3.9097464290000001</v>
      </c>
      <c r="BK204">
        <f ca="1">IF(AND(ISNUMBER($BK$444),$B$258=1),$BK$444,HLOOKUP(INDIRECT(ADDRESS(2,COLUMN())),OFFSET($BN$2,0,0,ROW()-1,60),ROW()-1,FALSE))</f>
        <v>4.4489253639999999</v>
      </c>
      <c r="BL204">
        <f ca="1">IF(AND(ISNUMBER($BL$444),$B$258=1),$BL$444,HLOOKUP(INDIRECT(ADDRESS(2,COLUMN())),OFFSET($BN$2,0,0,ROW()-1,60),ROW()-1,FALSE))</f>
        <v>3.8873344059999999</v>
      </c>
      <c r="BM204">
        <f ca="1">IF(AND(ISNUMBER($BM$444),$B$258=1),$BM$444,HLOOKUP(INDIRECT(ADDRESS(2,COLUMN())),OFFSET($BN$2,0,0,ROW()-1,60),ROW()-1,FALSE))</f>
        <v>3.769729383</v>
      </c>
      <c r="BN204" t="str">
        <f>""</f>
        <v/>
      </c>
      <c r="BO204">
        <f>6.656050632</f>
        <v>6.6560506320000004</v>
      </c>
      <c r="BP204">
        <f>6.09682968</f>
        <v>6.0968296799999999</v>
      </c>
      <c r="BQ204">
        <f>6.024433081</f>
        <v>6.0244330809999997</v>
      </c>
      <c r="BR204">
        <f>5.830329878</f>
        <v>5.8303298779999997</v>
      </c>
      <c r="BS204">
        <f>6.285933558</f>
        <v>6.285933558</v>
      </c>
      <c r="BT204">
        <f>6.222652277</f>
        <v>6.2226522769999999</v>
      </c>
      <c r="BU204">
        <f>6.197148153</f>
        <v>6.1971481529999997</v>
      </c>
      <c r="BV204">
        <f>6.00949658</f>
        <v>6.0094965800000004</v>
      </c>
      <c r="BW204">
        <f>6.089687668</f>
        <v>6.0896876679999998</v>
      </c>
      <c r="BX204">
        <f>6.379728454</f>
        <v>6.3797284540000003</v>
      </c>
      <c r="BY204">
        <f>6.548558939</f>
        <v>6.5485589390000003</v>
      </c>
      <c r="BZ204">
        <f>5.410612235</f>
        <v>5.4106122350000003</v>
      </c>
      <c r="CA204">
        <f>5.874156851</f>
        <v>5.8741568510000004</v>
      </c>
      <c r="CB204">
        <f>6.056469366</f>
        <v>6.056469366</v>
      </c>
      <c r="CC204">
        <f>6.333582953</f>
        <v>6.3335829529999996</v>
      </c>
      <c r="CD204">
        <f>4.587570112</f>
        <v>4.5875701119999999</v>
      </c>
      <c r="CE204">
        <f>4.524517432</f>
        <v>4.5245174319999997</v>
      </c>
      <c r="CF204">
        <f>4.60782028</f>
        <v>4.6078202800000003</v>
      </c>
      <c r="CG204">
        <f>4.496816965</f>
        <v>4.4968169649999998</v>
      </c>
      <c r="CH204">
        <f>4.506787565</f>
        <v>4.5067875649999998</v>
      </c>
      <c r="CI204">
        <f>5.046325405</f>
        <v>5.0463254050000002</v>
      </c>
      <c r="CJ204">
        <f>4.873706452</f>
        <v>4.8737064520000004</v>
      </c>
      <c r="CK204">
        <f>5.31892524</f>
        <v>5.3189252400000004</v>
      </c>
      <c r="CL204">
        <f>5.225299175</f>
        <v>5.225299175</v>
      </c>
      <c r="CM204">
        <f>5.36235988</f>
        <v>5.3623598799999996</v>
      </c>
      <c r="CN204">
        <f>4.981752765</f>
        <v>4.9817527650000004</v>
      </c>
      <c r="CO204">
        <f>5.01786459</f>
        <v>5.0178645900000003</v>
      </c>
      <c r="CP204">
        <f>4.4920501</f>
        <v>4.4920501000000002</v>
      </c>
      <c r="CQ204">
        <f>4.158664964</f>
        <v>4.1586649639999997</v>
      </c>
      <c r="CR204">
        <f>3.820301558</f>
        <v>3.8203015580000002</v>
      </c>
      <c r="CS204">
        <f>4.057507376</f>
        <v>4.0575073760000002</v>
      </c>
      <c r="CT204">
        <f>4.046015988</f>
        <v>4.0460159879999997</v>
      </c>
      <c r="CU204">
        <f>4.225857462</f>
        <v>4.2258574619999996</v>
      </c>
      <c r="CV204">
        <f>4.108909651</f>
        <v>4.1089096510000003</v>
      </c>
      <c r="CW204">
        <f>2.914380639</f>
        <v>2.914380639</v>
      </c>
      <c r="CX204">
        <f>2.836936003</f>
        <v>2.8369360029999999</v>
      </c>
      <c r="CY204">
        <f>3.38655731</f>
        <v>3.3865573100000002</v>
      </c>
      <c r="CZ204">
        <f>2.853642704</f>
        <v>2.8536427039999999</v>
      </c>
      <c r="DA204">
        <f>2.223393329</f>
        <v>2.2233933289999999</v>
      </c>
      <c r="DB204">
        <f>3.029699646</f>
        <v>3.0296996460000001</v>
      </c>
      <c r="DC204">
        <f>2.455034854</f>
        <v>2.455034854</v>
      </c>
      <c r="DD204">
        <f>2.347785452</f>
        <v>2.3477854520000001</v>
      </c>
      <c r="DE204">
        <f>2.396772994</f>
        <v>2.396772994</v>
      </c>
      <c r="DF204">
        <f>2.45055454</f>
        <v>2.4505545400000002</v>
      </c>
      <c r="DG204">
        <f>3.300325137</f>
        <v>3.3003251370000002</v>
      </c>
      <c r="DH204">
        <f>4.154488315</f>
        <v>4.154488315</v>
      </c>
      <c r="DI204">
        <f>3.662557041</f>
        <v>3.6625570409999999</v>
      </c>
      <c r="DJ204">
        <f>3.588329333</f>
        <v>3.5883293329999999</v>
      </c>
      <c r="DK204">
        <f>3.707070044</f>
        <v>3.707070044</v>
      </c>
      <c r="DL204">
        <f>3.752427947</f>
        <v>3.7524279470000002</v>
      </c>
      <c r="DM204">
        <f>4.035511523</f>
        <v>4.0355115230000003</v>
      </c>
      <c r="DN204">
        <f>3.846829986</f>
        <v>3.8468299859999999</v>
      </c>
      <c r="DO204">
        <f>3.894044483</f>
        <v>3.8940444830000001</v>
      </c>
      <c r="DP204">
        <f>3.604555189</f>
        <v>3.604555189</v>
      </c>
      <c r="DQ204">
        <f>3.742337389</f>
        <v>3.7423373889999998</v>
      </c>
      <c r="DR204">
        <f>3.909746429</f>
        <v>3.9097464290000001</v>
      </c>
      <c r="DS204">
        <f>4.448925364</f>
        <v>4.4489253639999999</v>
      </c>
      <c r="DT204">
        <f>3.887334406</f>
        <v>3.8873344059999999</v>
      </c>
      <c r="DU204">
        <f>3.769729383</f>
        <v>3.769729383</v>
      </c>
    </row>
    <row r="205" spans="1:125">
      <c r="A205" t="str">
        <f>"    Ventas Inc"</f>
        <v xml:space="preserve">    Ventas Inc</v>
      </c>
      <c r="B205" t="str">
        <f>"VTR US Equity"</f>
        <v>VTR US Equity</v>
      </c>
      <c r="C205" t="str">
        <f t="shared" si="48"/>
        <v>RR052</v>
      </c>
      <c r="D205" t="str">
        <f t="shared" si="49"/>
        <v>TOT_DEBT_TO_EBITDA</v>
      </c>
      <c r="E205" t="str">
        <f t="shared" si="50"/>
        <v>动态</v>
      </c>
      <c r="F205" t="str">
        <f ca="1">IF(AND(ISNUMBER($F$445),$B$258=1),$F$445,HLOOKUP(INDIRECT(ADDRESS(2,COLUMN())),OFFSET($BN$2,0,0,ROW()-1,60),ROW()-1,FALSE))</f>
        <v/>
      </c>
      <c r="G205">
        <f ca="1">IF(AND(ISNUMBER($G$445),$B$258=1),$G$445,HLOOKUP(INDIRECT(ADDRESS(2,COLUMN())),OFFSET($BN$2,0,0,ROW()-1,60),ROW()-1,FALSE))</f>
        <v>5.8074308539999997</v>
      </c>
      <c r="H205">
        <f ca="1">IF(AND(ISNUMBER($H$445),$B$258=1),$H$445,HLOOKUP(INDIRECT(ADDRESS(2,COLUMN())),OFFSET($BN$2,0,0,ROW()-1,60),ROW()-1,FALSE))</f>
        <v>5.9044787980000004</v>
      </c>
      <c r="I205">
        <f ca="1">IF(AND(ISNUMBER($I$445),$B$258=1),$I$445,HLOOKUP(INDIRECT(ADDRESS(2,COLUMN())),OFFSET($BN$2,0,0,ROW()-1,60),ROW()-1,FALSE))</f>
        <v>6.2578614799999999</v>
      </c>
      <c r="J205">
        <f ca="1">IF(AND(ISNUMBER($J$445),$B$258=1),$J$445,HLOOKUP(INDIRECT(ADDRESS(2,COLUMN())),OFFSET($BN$2,0,0,ROW()-1,60),ROW()-1,FALSE))</f>
        <v>6.3925540920000001</v>
      </c>
      <c r="K205">
        <f ca="1">IF(AND(ISNUMBER($K$445),$B$258=1),$K$445,HLOOKUP(INDIRECT(ADDRESS(2,COLUMN())),OFFSET($BN$2,0,0,ROW()-1,60),ROW()-1,FALSE))</f>
        <v>6.014969142</v>
      </c>
      <c r="L205">
        <f ca="1">IF(AND(ISNUMBER($L$445),$B$258=1),$L$445,HLOOKUP(INDIRECT(ADDRESS(2,COLUMN())),OFFSET($BN$2,0,0,ROW()-1,60),ROW()-1,FALSE))</f>
        <v>6.1565772570000004</v>
      </c>
      <c r="M205">
        <f ca="1">IF(AND(ISNUMBER($M$445),$B$258=1),$M$445,HLOOKUP(INDIRECT(ADDRESS(2,COLUMN())),OFFSET($BN$2,0,0,ROW()-1,60),ROW()-1,FALSE))</f>
        <v>6.1818295750000001</v>
      </c>
      <c r="N205">
        <f ca="1">IF(AND(ISNUMBER($N$445),$B$258=1),$N$445,HLOOKUP(INDIRECT(ADDRESS(2,COLUMN())),OFFSET($BN$2,0,0,ROW()-1,60),ROW()-1,FALSE))</f>
        <v>6.3911115509999998</v>
      </c>
      <c r="O205">
        <f ca="1">IF(AND(ISNUMBER($O$445),$B$258=1),$O$445,HLOOKUP(INDIRECT(ADDRESS(2,COLUMN())),OFFSET($BN$2,0,0,ROW()-1,60),ROW()-1,FALSE))</f>
        <v>6.497487274</v>
      </c>
      <c r="P205">
        <f ca="1">IF(AND(ISNUMBER($P$445),$B$258=1),$P$445,HLOOKUP(INDIRECT(ADDRESS(2,COLUMN())),OFFSET($BN$2,0,0,ROW()-1,60),ROW()-1,FALSE))</f>
        <v>6.7522055329999997</v>
      </c>
      <c r="Q205">
        <f ca="1">IF(AND(ISNUMBER($Q$445),$B$258=1),$Q$445,HLOOKUP(INDIRECT(ADDRESS(2,COLUMN())),OFFSET($BN$2,0,0,ROW()-1,60),ROW()-1,FALSE))</f>
        <v>6.9646979719999997</v>
      </c>
      <c r="R205">
        <f ca="1">IF(AND(ISNUMBER($R$445),$B$258=1),$R$445,HLOOKUP(INDIRECT(ADDRESS(2,COLUMN())),OFFSET($BN$2,0,0,ROW()-1,60),ROW()-1,FALSE))</f>
        <v>7.1551564140000004</v>
      </c>
      <c r="S205">
        <f ca="1">IF(AND(ISNUMBER($S$445),$B$258=1),$S$445,HLOOKUP(INDIRECT(ADDRESS(2,COLUMN())),OFFSET($BN$2,0,0,ROW()-1,60),ROW()-1,FALSE))</f>
        <v>6.7578849830000003</v>
      </c>
      <c r="T205">
        <f ca="1">IF(AND(ISNUMBER($T$445),$B$258=1),$T$445,HLOOKUP(INDIRECT(ADDRESS(2,COLUMN())),OFFSET($BN$2,0,0,ROW()-1,60),ROW()-1,FALSE))</f>
        <v>6.4857719009999997</v>
      </c>
      <c r="U205">
        <f ca="1">IF(AND(ISNUMBER($U$445),$B$258=1),$U$445,HLOOKUP(INDIRECT(ADDRESS(2,COLUMN())),OFFSET($BN$2,0,0,ROW()-1,60),ROW()-1,FALSE))</f>
        <v>5.8588503830000001</v>
      </c>
      <c r="V205">
        <f ca="1">IF(AND(ISNUMBER($V$445),$B$258=1),$V$445,HLOOKUP(INDIRECT(ADDRESS(2,COLUMN())),OFFSET($BN$2,0,0,ROW()-1,60),ROW()-1,FALSE))</f>
        <v>5.8554717270000003</v>
      </c>
      <c r="W205">
        <f ca="1">IF(AND(ISNUMBER($W$445),$B$258=1),$W$445,HLOOKUP(INDIRECT(ADDRESS(2,COLUMN())),OFFSET($BN$2,0,0,ROW()-1,60),ROW()-1,FALSE))</f>
        <v>5.8364460029999998</v>
      </c>
      <c r="X205">
        <f ca="1">IF(AND(ISNUMBER($X$445),$B$258=1),$X$445,HLOOKUP(INDIRECT(ADDRESS(2,COLUMN())),OFFSET($BN$2,0,0,ROW()-1,60),ROW()-1,FALSE))</f>
        <v>5.9919922750000003</v>
      </c>
      <c r="Y205">
        <f ca="1">IF(AND(ISNUMBER($Y$445),$B$258=1),$Y$445,HLOOKUP(INDIRECT(ADDRESS(2,COLUMN())),OFFSET($BN$2,0,0,ROW()-1,60),ROW()-1,FALSE))</f>
        <v>5.5004576050000002</v>
      </c>
      <c r="Z205">
        <f ca="1">IF(AND(ISNUMBER($Z$445),$B$258=1),$Z$445,HLOOKUP(INDIRECT(ADDRESS(2,COLUMN())),OFFSET($BN$2,0,0,ROW()-1,60),ROW()-1,FALSE))</f>
        <v>5.7128293560000003</v>
      </c>
      <c r="AA205">
        <f ca="1">IF(AND(ISNUMBER($AA$445),$B$258=1),$AA$445,HLOOKUP(INDIRECT(ADDRESS(2,COLUMN())),OFFSET($BN$2,0,0,ROW()-1,60),ROW()-1,FALSE))</f>
        <v>6.0911907139999997</v>
      </c>
      <c r="AB205">
        <f ca="1">IF(AND(ISNUMBER($AB$445),$B$258=1),$AB$445,HLOOKUP(INDIRECT(ADDRESS(2,COLUMN())),OFFSET($BN$2,0,0,ROW()-1,60),ROW()-1,FALSE))</f>
        <v>6.4788702479999998</v>
      </c>
      <c r="AC205">
        <f ca="1">IF(AND(ISNUMBER($AC$445),$B$258=1),$AC$445,HLOOKUP(INDIRECT(ADDRESS(2,COLUMN())),OFFSET($BN$2,0,0,ROW()-1,60),ROW()-1,FALSE))</f>
        <v>6.3642358789999998</v>
      </c>
      <c r="AD205">
        <f ca="1">IF(AND(ISNUMBER($AD$445),$B$258=1),$AD$445,HLOOKUP(INDIRECT(ADDRESS(2,COLUMN())),OFFSET($BN$2,0,0,ROW()-1,60),ROW()-1,FALSE))</f>
        <v>6.9351155819999999</v>
      </c>
      <c r="AE205">
        <f ca="1">IF(AND(ISNUMBER($AE$445),$B$258=1),$AE$445,HLOOKUP(INDIRECT(ADDRESS(2,COLUMN())),OFFSET($BN$2,0,0,ROW()-1,60),ROW()-1,FALSE))</f>
        <v>8.4228787930000006</v>
      </c>
      <c r="AF205">
        <f ca="1">IF(AND(ISNUMBER($AF$445),$B$258=1),$AF$445,HLOOKUP(INDIRECT(ADDRESS(2,COLUMN())),OFFSET($BN$2,0,0,ROW()-1,60),ROW()-1,FALSE))</f>
        <v>7.9512194200000001</v>
      </c>
      <c r="AG205">
        <f ca="1">IF(AND(ISNUMBER($AG$445),$B$258=1),$AG$445,HLOOKUP(INDIRECT(ADDRESS(2,COLUMN())),OFFSET($BN$2,0,0,ROW()-1,60),ROW()-1,FALSE))</f>
        <v>8.2043736299999992</v>
      </c>
      <c r="AH205">
        <f ca="1">IF(AND(ISNUMBER($AH$445),$B$258=1),$AH$445,HLOOKUP(INDIRECT(ADDRESS(2,COLUMN())),OFFSET($BN$2,0,0,ROW()-1,60),ROW()-1,FALSE))</f>
        <v>4.0994569910000003</v>
      </c>
      <c r="AI205">
        <f ca="1">IF(AND(ISNUMBER($AI$445),$B$258=1),$AI$445,HLOOKUP(INDIRECT(ADDRESS(2,COLUMN())),OFFSET($BN$2,0,0,ROW()-1,60),ROW()-1,FALSE))</f>
        <v>4.6684320579999996</v>
      </c>
      <c r="AJ205">
        <f ca="1">IF(AND(ISNUMBER($AJ$445),$B$258=1),$AJ$445,HLOOKUP(INDIRECT(ADDRESS(2,COLUMN())),OFFSET($BN$2,0,0,ROW()-1,60),ROW()-1,FALSE))</f>
        <v>4.7376492609999996</v>
      </c>
      <c r="AK205">
        <f ca="1">IF(AND(ISNUMBER($AK$445),$B$258=1),$AK$445,HLOOKUP(INDIRECT(ADDRESS(2,COLUMN())),OFFSET($BN$2,0,0,ROW()-1,60),ROW()-1,FALSE))</f>
        <v>4.2945508759999997</v>
      </c>
      <c r="AL205">
        <f ca="1">IF(AND(ISNUMBER($AL$445),$B$258=1),$AL$445,HLOOKUP(INDIRECT(ADDRESS(2,COLUMN())),OFFSET($BN$2,0,0,ROW()-1,60),ROW()-1,FALSE))</f>
        <v>4.5913029420000004</v>
      </c>
      <c r="AM205">
        <f ca="1">IF(AND(ISNUMBER($AM$445),$B$258=1),$AM$445,HLOOKUP(INDIRECT(ADDRESS(2,COLUMN())),OFFSET($BN$2,0,0,ROW()-1,60),ROW()-1,FALSE))</f>
        <v>4.6065292930000004</v>
      </c>
      <c r="AN205">
        <f ca="1">IF(AND(ISNUMBER($AN$445),$B$258=1),$AN$445,HLOOKUP(INDIRECT(ADDRESS(2,COLUMN())),OFFSET($BN$2,0,0,ROW()-1,60),ROW()-1,FALSE))</f>
        <v>3.455279354</v>
      </c>
      <c r="AO205">
        <f ca="1">IF(AND(ISNUMBER($AO$445),$B$258=1),$AO$445,HLOOKUP(INDIRECT(ADDRESS(2,COLUMN())),OFFSET($BN$2,0,0,ROW()-1,60),ROW()-1,FALSE))</f>
        <v>4.5159611010000003</v>
      </c>
      <c r="AP205">
        <f ca="1">IF(AND(ISNUMBER($AP$445),$B$258=1),$AP$445,HLOOKUP(INDIRECT(ADDRESS(2,COLUMN())),OFFSET($BN$2,0,0,ROW()-1,60),ROW()-1,FALSE))</f>
        <v>5.0606542179999998</v>
      </c>
      <c r="AQ205">
        <f ca="1">IF(AND(ISNUMBER($AQ$445),$B$258=1),$AQ$445,HLOOKUP(INDIRECT(ADDRESS(2,COLUMN())),OFFSET($BN$2,0,0,ROW()-1,60),ROW()-1,FALSE))</f>
        <v>5.3482283659999998</v>
      </c>
      <c r="AR205">
        <f ca="1">IF(AND(ISNUMBER($AR$445),$B$258=1),$AR$445,HLOOKUP(INDIRECT(ADDRESS(2,COLUMN())),OFFSET($BN$2,0,0,ROW()-1,60),ROW()-1,FALSE))</f>
        <v>7.8679387800000002</v>
      </c>
      <c r="AS205">
        <f ca="1">IF(AND(ISNUMBER($AS$445),$B$258=1),$AS$445,HLOOKUP(INDIRECT(ADDRESS(2,COLUMN())),OFFSET($BN$2,0,0,ROW()-1,60),ROW()-1,FALSE))</f>
        <v>5.6361143370000004</v>
      </c>
      <c r="AT205">
        <f ca="1">IF(AND(ISNUMBER($AT$445),$B$258=1),$AT$445,HLOOKUP(INDIRECT(ADDRESS(2,COLUMN())),OFFSET($BN$2,0,0,ROW()-1,60),ROW()-1,FALSE))</f>
        <v>5.5934004799999997</v>
      </c>
      <c r="AU205">
        <f ca="1">IF(AND(ISNUMBER($AU$445),$B$258=1),$AU$445,HLOOKUP(INDIRECT(ADDRESS(2,COLUMN())),OFFSET($BN$2,0,0,ROW()-1,60),ROW()-1,FALSE))</f>
        <v>6.3492134570000003</v>
      </c>
      <c r="AV205">
        <f ca="1">IF(AND(ISNUMBER($AV$445),$B$258=1),$AV$445,HLOOKUP(INDIRECT(ADDRESS(2,COLUMN())),OFFSET($BN$2,0,0,ROW()-1,60),ROW()-1,FALSE))</f>
        <v>6.5923015620000003</v>
      </c>
      <c r="AW205">
        <f ca="1">IF(AND(ISNUMBER($AW$445),$B$258=1),$AW$445,HLOOKUP(INDIRECT(ADDRESS(2,COLUMN())),OFFSET($BN$2,0,0,ROW()-1,60),ROW()-1,FALSE))</f>
        <v>7.3228780069999999</v>
      </c>
      <c r="AX205">
        <f ca="1">IF(AND(ISNUMBER($AX$445),$B$258=1),$AX$445,HLOOKUP(INDIRECT(ADDRESS(2,COLUMN())),OFFSET($BN$2,0,0,ROW()-1,60),ROW()-1,FALSE))</f>
        <v>5.8669032420000002</v>
      </c>
      <c r="AY205">
        <f ca="1">IF(AND(ISNUMBER($AY$445),$B$258=1),$AY$445,HLOOKUP(INDIRECT(ADDRESS(2,COLUMN())),OFFSET($BN$2,0,0,ROW()-1,60),ROW()-1,FALSE))</f>
        <v>6.0741916549999999</v>
      </c>
      <c r="AZ205">
        <f ca="1">IF(AND(ISNUMBER($AZ$445),$B$258=1),$AZ$445,HLOOKUP(INDIRECT(ADDRESS(2,COLUMN())),OFFSET($BN$2,0,0,ROW()-1,60),ROW()-1,FALSE))</f>
        <v>5.4712016569999999</v>
      </c>
      <c r="BA205">
        <f ca="1">IF(AND(ISNUMBER($BA$445),$B$258=1),$BA$445,HLOOKUP(INDIRECT(ADDRESS(2,COLUMN())),OFFSET($BN$2,0,0,ROW()-1,60),ROW()-1,FALSE))</f>
        <v>5.2286760790000004</v>
      </c>
      <c r="BB205">
        <f ca="1">IF(AND(ISNUMBER($BB$445),$B$258=1),$BB$445,HLOOKUP(INDIRECT(ADDRESS(2,COLUMN())),OFFSET($BN$2,0,0,ROW()-1,60),ROW()-1,FALSE))</f>
        <v>5.4936311770000001</v>
      </c>
      <c r="BC205">
        <f ca="1">IF(AND(ISNUMBER($BC$445),$B$258=1),$BC$445,HLOOKUP(INDIRECT(ADDRESS(2,COLUMN())),OFFSET($BN$2,0,0,ROW()-1,60),ROW()-1,FALSE))</f>
        <v>5.9013003680000002</v>
      </c>
      <c r="BD205">
        <f ca="1">IF(AND(ISNUMBER($BD$445),$B$258=1),$BD$445,HLOOKUP(INDIRECT(ADDRESS(2,COLUMN())),OFFSET($BN$2,0,0,ROW()-1,60),ROW()-1,FALSE))</f>
        <v>6.6077593749999997</v>
      </c>
      <c r="BE205">
        <f ca="1">IF(AND(ISNUMBER($BE$445),$B$258=1),$BE$445,HLOOKUP(INDIRECT(ADDRESS(2,COLUMN())),OFFSET($BN$2,0,0,ROW()-1,60),ROW()-1,FALSE))</f>
        <v>7.590482304</v>
      </c>
      <c r="BF205">
        <f ca="1">IF(AND(ISNUMBER($BF$445),$B$258=1),$BF$445,HLOOKUP(INDIRECT(ADDRESS(2,COLUMN())),OFFSET($BN$2,0,0,ROW()-1,60),ROW()-1,FALSE))</f>
        <v>3.8493070180000002</v>
      </c>
      <c r="BG205">
        <f ca="1">IF(AND(ISNUMBER($BG$445),$B$258=1),$BG$445,HLOOKUP(INDIRECT(ADDRESS(2,COLUMN())),OFFSET($BN$2,0,0,ROW()-1,60),ROW()-1,FALSE))</f>
        <v>3.855867639</v>
      </c>
      <c r="BH205" t="str">
        <f ca="1">IF(AND(ISNUMBER($BH$445),$B$258=1),$BH$445,HLOOKUP(INDIRECT(ADDRESS(2,COLUMN())),OFFSET($BN$2,0,0,ROW()-1,60),ROW()-1,FALSE))</f>
        <v/>
      </c>
      <c r="BI205">
        <f ca="1">IF(AND(ISNUMBER($BI$445),$B$258=1),$BI$445,HLOOKUP(INDIRECT(ADDRESS(2,COLUMN())),OFFSET($BN$2,0,0,ROW()-1,60),ROW()-1,FALSE))</f>
        <v>4.3408512000000004</v>
      </c>
      <c r="BJ205">
        <f ca="1">IF(AND(ISNUMBER($BJ$445),$B$258=1),$BJ$445,HLOOKUP(INDIRECT(ADDRESS(2,COLUMN())),OFFSET($BN$2,0,0,ROW()-1,60),ROW()-1,FALSE))</f>
        <v>4.2257630959999997</v>
      </c>
      <c r="BK205">
        <f ca="1">IF(AND(ISNUMBER($BK$445),$B$258=1),$BK$445,HLOOKUP(INDIRECT(ADDRESS(2,COLUMN())),OFFSET($BN$2,0,0,ROW()-1,60),ROW()-1,FALSE))</f>
        <v>3.5716548800000001</v>
      </c>
      <c r="BL205" t="str">
        <f ca="1">IF(AND(ISNUMBER($BL$445),$B$258=1),$BL$445,HLOOKUP(INDIRECT(ADDRESS(2,COLUMN())),OFFSET($BN$2,0,0,ROW()-1,60),ROW()-1,FALSE))</f>
        <v/>
      </c>
      <c r="BM205">
        <f ca="1">IF(AND(ISNUMBER($BM$445),$B$258=1),$BM$445,HLOOKUP(INDIRECT(ADDRESS(2,COLUMN())),OFFSET($BN$2,0,0,ROW()-1,60),ROW()-1,FALSE))</f>
        <v>4.1712134330000001</v>
      </c>
      <c r="BN205" t="str">
        <f>""</f>
        <v/>
      </c>
      <c r="BO205">
        <f>5.807430854</f>
        <v>5.8074308539999997</v>
      </c>
      <c r="BP205">
        <f>5.904478798</f>
        <v>5.9044787980000004</v>
      </c>
      <c r="BQ205">
        <f>6.25786148</f>
        <v>6.2578614799999999</v>
      </c>
      <c r="BR205">
        <f>6.392554092</f>
        <v>6.3925540920000001</v>
      </c>
      <c r="BS205">
        <f>6.014969142</f>
        <v>6.014969142</v>
      </c>
      <c r="BT205">
        <f>6.156577257</f>
        <v>6.1565772570000004</v>
      </c>
      <c r="BU205">
        <f>6.181829575</f>
        <v>6.1818295750000001</v>
      </c>
      <c r="BV205">
        <f>6.391111551</f>
        <v>6.3911115509999998</v>
      </c>
      <c r="BW205">
        <f>6.497487274</f>
        <v>6.497487274</v>
      </c>
      <c r="BX205">
        <f>6.752205533</f>
        <v>6.7522055329999997</v>
      </c>
      <c r="BY205">
        <f>6.964697972</f>
        <v>6.9646979719999997</v>
      </c>
      <c r="BZ205">
        <f>7.155156414</f>
        <v>7.1551564140000004</v>
      </c>
      <c r="CA205">
        <f>6.757884983</f>
        <v>6.7578849830000003</v>
      </c>
      <c r="CB205">
        <f>6.485771901</f>
        <v>6.4857719009999997</v>
      </c>
      <c r="CC205">
        <f>5.858850383</f>
        <v>5.8588503830000001</v>
      </c>
      <c r="CD205">
        <f>5.855471727</f>
        <v>5.8554717270000003</v>
      </c>
      <c r="CE205">
        <f>5.836446003</f>
        <v>5.8364460029999998</v>
      </c>
      <c r="CF205">
        <f>5.991992275</f>
        <v>5.9919922750000003</v>
      </c>
      <c r="CG205">
        <f>5.500457605</f>
        <v>5.5004576050000002</v>
      </c>
      <c r="CH205">
        <f>5.712829356</f>
        <v>5.7128293560000003</v>
      </c>
      <c r="CI205">
        <f>6.091190714</f>
        <v>6.0911907139999997</v>
      </c>
      <c r="CJ205">
        <f>6.478870248</f>
        <v>6.4788702479999998</v>
      </c>
      <c r="CK205">
        <f>6.364235879</f>
        <v>6.3642358789999998</v>
      </c>
      <c r="CL205">
        <f>6.935115582</f>
        <v>6.9351155819999999</v>
      </c>
      <c r="CM205">
        <f>8.422878793</f>
        <v>8.4228787930000006</v>
      </c>
      <c r="CN205">
        <f>7.95121942</f>
        <v>7.9512194200000001</v>
      </c>
      <c r="CO205">
        <f>8.20437363</f>
        <v>8.2043736299999992</v>
      </c>
      <c r="CP205">
        <f>4.099456991</f>
        <v>4.0994569910000003</v>
      </c>
      <c r="CQ205">
        <f>4.668432058</f>
        <v>4.6684320579999996</v>
      </c>
      <c r="CR205">
        <f>4.737649261</f>
        <v>4.7376492609999996</v>
      </c>
      <c r="CS205">
        <f>4.294550876</f>
        <v>4.2945508759999997</v>
      </c>
      <c r="CT205">
        <f>4.591302942</f>
        <v>4.5913029420000004</v>
      </c>
      <c r="CU205">
        <f>4.606529293</f>
        <v>4.6065292930000004</v>
      </c>
      <c r="CV205">
        <f>3.455279354</f>
        <v>3.455279354</v>
      </c>
      <c r="CW205">
        <f>4.515961101</f>
        <v>4.5159611010000003</v>
      </c>
      <c r="CX205">
        <f>5.060654218</f>
        <v>5.0606542179999998</v>
      </c>
      <c r="CY205">
        <f>5.348228366</f>
        <v>5.3482283659999998</v>
      </c>
      <c r="CZ205">
        <f>7.86793878</f>
        <v>7.8679387800000002</v>
      </c>
      <c r="DA205">
        <f>5.636114337</f>
        <v>5.6361143370000004</v>
      </c>
      <c r="DB205">
        <f>5.59340048</f>
        <v>5.5934004799999997</v>
      </c>
      <c r="DC205">
        <f>6.349213457</f>
        <v>6.3492134570000003</v>
      </c>
      <c r="DD205">
        <f>6.592301562</f>
        <v>6.5923015620000003</v>
      </c>
      <c r="DE205">
        <f>7.322878007</f>
        <v>7.3228780069999999</v>
      </c>
      <c r="DF205">
        <f>5.866903242</f>
        <v>5.8669032420000002</v>
      </c>
      <c r="DG205">
        <f>6.074191655</f>
        <v>6.0741916549999999</v>
      </c>
      <c r="DH205">
        <f>5.471201657</f>
        <v>5.4712016569999999</v>
      </c>
      <c r="DI205">
        <f>5.228676079</f>
        <v>5.2286760790000004</v>
      </c>
      <c r="DJ205">
        <f>5.493631177</f>
        <v>5.4936311770000001</v>
      </c>
      <c r="DK205">
        <f>5.901300368</f>
        <v>5.9013003680000002</v>
      </c>
      <c r="DL205">
        <f>6.607759375</f>
        <v>6.6077593749999997</v>
      </c>
      <c r="DM205">
        <f>7.590482304</f>
        <v>7.590482304</v>
      </c>
      <c r="DN205">
        <f>3.849307018</f>
        <v>3.8493070180000002</v>
      </c>
      <c r="DO205">
        <f>3.855867639</f>
        <v>3.855867639</v>
      </c>
      <c r="DP205" t="str">
        <f>""</f>
        <v/>
      </c>
      <c r="DQ205">
        <f>4.3408512</f>
        <v>4.3408512000000004</v>
      </c>
      <c r="DR205">
        <f>4.225763096</f>
        <v>4.2257630959999997</v>
      </c>
      <c r="DS205">
        <f>3.57165488</f>
        <v>3.5716548800000001</v>
      </c>
      <c r="DT205" t="str">
        <f>""</f>
        <v/>
      </c>
      <c r="DU205">
        <f>4.171213433</f>
        <v>4.1712134330000001</v>
      </c>
    </row>
    <row r="206" spans="1:125">
      <c r="A206" t="str">
        <f>"    Welltower Inc"</f>
        <v xml:space="preserve">    Welltower Inc</v>
      </c>
      <c r="B206" t="str">
        <f>"HCN US Equity"</f>
        <v>HCN US Equity</v>
      </c>
      <c r="C206" t="str">
        <f t="shared" si="48"/>
        <v>RR052</v>
      </c>
      <c r="D206" t="str">
        <f t="shared" si="49"/>
        <v>TOT_DEBT_TO_EBITDA</v>
      </c>
      <c r="E206" t="str">
        <f t="shared" si="50"/>
        <v>动态</v>
      </c>
      <c r="F206" t="str">
        <f ca="1">IF(AND(ISNUMBER($F$446),$B$258=1),$F$446,HLOOKUP(INDIRECT(ADDRESS(2,COLUMN())),OFFSET($BN$2,0,0,ROW()-1,60),ROW()-1,FALSE))</f>
        <v/>
      </c>
      <c r="G206">
        <f ca="1">IF(AND(ISNUMBER($G$446),$B$258=1),$G$446,HLOOKUP(INDIRECT(ADDRESS(2,COLUMN())),OFFSET($BN$2,0,0,ROW()-1,60),ROW()-1,FALSE))</f>
        <v>6.7287521510000001</v>
      </c>
      <c r="H206">
        <f ca="1">IF(AND(ISNUMBER($H$446),$B$258=1),$H$446,HLOOKUP(INDIRECT(ADDRESS(2,COLUMN())),OFFSET($BN$2,0,0,ROW()-1,60),ROW()-1,FALSE))</f>
        <v>5.9177069590000002</v>
      </c>
      <c r="I206">
        <f ca="1">IF(AND(ISNUMBER($I$446),$B$258=1),$I$446,HLOOKUP(INDIRECT(ADDRESS(2,COLUMN())),OFFSET($BN$2,0,0,ROW()-1,60),ROW()-1,FALSE))</f>
        <v>5.5490087560000001</v>
      </c>
      <c r="J206">
        <f ca="1">IF(AND(ISNUMBER($J$446),$B$258=1),$J$446,HLOOKUP(INDIRECT(ADDRESS(2,COLUMN())),OFFSET($BN$2,0,0,ROW()-1,60),ROW()-1,FALSE))</f>
        <v>5.4104410280000002</v>
      </c>
      <c r="K206">
        <f ca="1">IF(AND(ISNUMBER($K$446),$B$258=1),$K$446,HLOOKUP(INDIRECT(ADDRESS(2,COLUMN())),OFFSET($BN$2,0,0,ROW()-1,60),ROW()-1,FALSE))</f>
        <v>5.7496870019999999</v>
      </c>
      <c r="L206">
        <f ca="1">IF(AND(ISNUMBER($L$446),$B$258=1),$L$446,HLOOKUP(INDIRECT(ADDRESS(2,COLUMN())),OFFSET($BN$2,0,0,ROW()-1,60),ROW()-1,FALSE))</f>
        <v>6.3365141190000003</v>
      </c>
      <c r="M206">
        <f ca="1">IF(AND(ISNUMBER($M$446),$B$258=1),$M$446,HLOOKUP(INDIRECT(ADDRESS(2,COLUMN())),OFFSET($BN$2,0,0,ROW()-1,60),ROW()-1,FALSE))</f>
        <v>6.1662698799999998</v>
      </c>
      <c r="N206">
        <f ca="1">IF(AND(ISNUMBER($N$446),$B$258=1),$N$446,HLOOKUP(INDIRECT(ADDRESS(2,COLUMN())),OFFSET($BN$2,0,0,ROW()-1,60),ROW()-1,FALSE))</f>
        <v>6.4277522349999998</v>
      </c>
      <c r="O206">
        <f ca="1">IF(AND(ISNUMBER($O$446),$B$258=1),$O$446,HLOOKUP(INDIRECT(ADDRESS(2,COLUMN())),OFFSET($BN$2,0,0,ROW()-1,60),ROW()-1,FALSE))</f>
        <v>6.7023461879999999</v>
      </c>
      <c r="P206">
        <f ca="1">IF(AND(ISNUMBER($P$446),$B$258=1),$P$446,HLOOKUP(INDIRECT(ADDRESS(2,COLUMN())),OFFSET($BN$2,0,0,ROW()-1,60),ROW()-1,FALSE))</f>
        <v>6.0559398680000003</v>
      </c>
      <c r="Q206">
        <f ca="1">IF(AND(ISNUMBER($Q$446),$B$258=1),$Q$446,HLOOKUP(INDIRECT(ADDRESS(2,COLUMN())),OFFSET($BN$2,0,0,ROW()-1,60),ROW()-1,FALSE))</f>
        <v>6.4279480019999999</v>
      </c>
      <c r="R206">
        <f ca="1">IF(AND(ISNUMBER($R$446),$B$258=1),$R$446,HLOOKUP(INDIRECT(ADDRESS(2,COLUMN())),OFFSET($BN$2,0,0,ROW()-1,60),ROW()-1,FALSE))</f>
        <v>6.3917767039999998</v>
      </c>
      <c r="S206">
        <f ca="1">IF(AND(ISNUMBER($S$446),$B$258=1),$S$446,HLOOKUP(INDIRECT(ADDRESS(2,COLUMN())),OFFSET($BN$2,0,0,ROW()-1,60),ROW()-1,FALSE))</f>
        <v>6.2721142040000002</v>
      </c>
      <c r="T206">
        <f ca="1">IF(AND(ISNUMBER($T$446),$B$258=1),$T$446,HLOOKUP(INDIRECT(ADDRESS(2,COLUMN())),OFFSET($BN$2,0,0,ROW()-1,60),ROW()-1,FALSE))</f>
        <v>5.4529363479999997</v>
      </c>
      <c r="U206">
        <f ca="1">IF(AND(ISNUMBER($U$446),$B$258=1),$U$446,HLOOKUP(INDIRECT(ADDRESS(2,COLUMN())),OFFSET($BN$2,0,0,ROW()-1,60),ROW()-1,FALSE))</f>
        <v>5.6243454240000004</v>
      </c>
      <c r="V206">
        <f ca="1">IF(AND(ISNUMBER($V$446),$B$258=1),$V$446,HLOOKUP(INDIRECT(ADDRESS(2,COLUMN())),OFFSET($BN$2,0,0,ROW()-1,60),ROW()-1,FALSE))</f>
        <v>6.1945903710000003</v>
      </c>
      <c r="W206">
        <f ca="1">IF(AND(ISNUMBER($W$446),$B$258=1),$W$446,HLOOKUP(INDIRECT(ADDRESS(2,COLUMN())),OFFSET($BN$2,0,0,ROW()-1,60),ROW()-1,FALSE))</f>
        <v>6.296268231</v>
      </c>
      <c r="X206">
        <f ca="1">IF(AND(ISNUMBER($X$446),$B$258=1),$X$446,HLOOKUP(INDIRECT(ADDRESS(2,COLUMN())),OFFSET($BN$2,0,0,ROW()-1,60),ROW()-1,FALSE))</f>
        <v>7.483247811</v>
      </c>
      <c r="Y206">
        <f ca="1">IF(AND(ISNUMBER($Y$446),$B$258=1),$Y$446,HLOOKUP(INDIRECT(ADDRESS(2,COLUMN())),OFFSET($BN$2,0,0,ROW()-1,60),ROW()-1,FALSE))</f>
        <v>7.5365242989999999</v>
      </c>
      <c r="Z206">
        <f ca="1">IF(AND(ISNUMBER($Z$446),$B$258=1),$Z$446,HLOOKUP(INDIRECT(ADDRESS(2,COLUMN())),OFFSET($BN$2,0,0,ROW()-1,60),ROW()-1,FALSE))</f>
        <v>8.4135098700000004</v>
      </c>
      <c r="AA206">
        <f ca="1">IF(AND(ISNUMBER($AA$446),$B$258=1),$AA$446,HLOOKUP(INDIRECT(ADDRESS(2,COLUMN())),OFFSET($BN$2,0,0,ROW()-1,60),ROW()-1,FALSE))</f>
        <v>7.8925766160000004</v>
      </c>
      <c r="AB206">
        <f ca="1">IF(AND(ISNUMBER($AB$446),$B$258=1),$AB$446,HLOOKUP(INDIRECT(ADDRESS(2,COLUMN())),OFFSET($BN$2,0,0,ROW()-1,60),ROW()-1,FALSE))</f>
        <v>7.1530806809999996</v>
      </c>
      <c r="AC206">
        <f ca="1">IF(AND(ISNUMBER($AC$446),$B$258=1),$AC$446,HLOOKUP(INDIRECT(ADDRESS(2,COLUMN())),OFFSET($BN$2,0,0,ROW()-1,60),ROW()-1,FALSE))</f>
        <v>7.6604426920000002</v>
      </c>
      <c r="AD206">
        <f ca="1">IF(AND(ISNUMBER($AD$446),$B$258=1),$AD$446,HLOOKUP(INDIRECT(ADDRESS(2,COLUMN())),OFFSET($BN$2,0,0,ROW()-1,60),ROW()-1,FALSE))</f>
        <v>6.9526012689999996</v>
      </c>
      <c r="AE206">
        <f ca="1">IF(AND(ISNUMBER($AE$446),$B$258=1),$AE$446,HLOOKUP(INDIRECT(ADDRESS(2,COLUMN())),OFFSET($BN$2,0,0,ROW()-1,60),ROW()-1,FALSE))</f>
        <v>8.4325004190000001</v>
      </c>
      <c r="AF206">
        <f ca="1">IF(AND(ISNUMBER($AF$446),$B$258=1),$AF$446,HLOOKUP(INDIRECT(ADDRESS(2,COLUMN())),OFFSET($BN$2,0,0,ROW()-1,60),ROW()-1,FALSE))</f>
        <v>9.0995938499999998</v>
      </c>
      <c r="AG206">
        <f ca="1">IF(AND(ISNUMBER($AG$446),$B$258=1),$AG$446,HLOOKUP(INDIRECT(ADDRESS(2,COLUMN())),OFFSET($BN$2,0,0,ROW()-1,60),ROW()-1,FALSE))</f>
        <v>10.82710539</v>
      </c>
      <c r="AH206">
        <f ca="1">IF(AND(ISNUMBER($AH$446),$B$258=1),$AH$446,HLOOKUP(INDIRECT(ADDRESS(2,COLUMN())),OFFSET($BN$2,0,0,ROW()-1,60),ROW()-1,FALSE))</f>
        <v>12.71758829</v>
      </c>
      <c r="AI206">
        <f ca="1">IF(AND(ISNUMBER($AI$446),$B$258=1),$AI$446,HLOOKUP(INDIRECT(ADDRESS(2,COLUMN())),OFFSET($BN$2,0,0,ROW()-1,60),ROW()-1,FALSE))</f>
        <v>9.6598453039999992</v>
      </c>
      <c r="AJ206">
        <f ca="1">IF(AND(ISNUMBER($AJ$446),$B$258=1),$AJ$446,HLOOKUP(INDIRECT(ADDRESS(2,COLUMN())),OFFSET($BN$2,0,0,ROW()-1,60),ROW()-1,FALSE))</f>
        <v>8.3054924860000003</v>
      </c>
      <c r="AK206">
        <f ca="1">IF(AND(ISNUMBER($AK$446),$B$258=1),$AK$446,HLOOKUP(INDIRECT(ADDRESS(2,COLUMN())),OFFSET($BN$2,0,0,ROW()-1,60),ROW()-1,FALSE))</f>
        <v>6.8615664689999996</v>
      </c>
      <c r="AL206">
        <f ca="1">IF(AND(ISNUMBER($AL$446),$B$258=1),$AL$446,HLOOKUP(INDIRECT(ADDRESS(2,COLUMN())),OFFSET($BN$2,0,0,ROW()-1,60),ROW()-1,FALSE))</f>
        <v>6.3276547860000001</v>
      </c>
      <c r="AM206">
        <f ca="1">IF(AND(ISNUMBER($AM$446),$B$258=1),$AM$446,HLOOKUP(INDIRECT(ADDRESS(2,COLUMN())),OFFSET($BN$2,0,0,ROW()-1,60),ROW()-1,FALSE))</f>
        <v>5.3728391430000002</v>
      </c>
      <c r="AN206">
        <f ca="1">IF(AND(ISNUMBER($AN$446),$B$258=1),$AN$446,HLOOKUP(INDIRECT(ADDRESS(2,COLUMN())),OFFSET($BN$2,0,0,ROW()-1,60),ROW()-1,FALSE))</f>
        <v>5.9018418820000003</v>
      </c>
      <c r="AO206">
        <f ca="1">IF(AND(ISNUMBER($AO$446),$B$258=1),$AO$446,HLOOKUP(INDIRECT(ADDRESS(2,COLUMN())),OFFSET($BN$2,0,0,ROW()-1,60),ROW()-1,FALSE))</f>
        <v>6.6726992520000001</v>
      </c>
      <c r="AP206">
        <f ca="1">IF(AND(ISNUMBER($AP$446),$B$258=1),$AP$446,HLOOKUP(INDIRECT(ADDRESS(2,COLUMN())),OFFSET($BN$2,0,0,ROW()-1,60),ROW()-1,FALSE))</f>
        <v>6.4181705090000003</v>
      </c>
      <c r="AQ206">
        <f ca="1">IF(AND(ISNUMBER($AQ$446),$B$258=1),$AQ$446,HLOOKUP(INDIRECT(ADDRESS(2,COLUMN())),OFFSET($BN$2,0,0,ROW()-1,60),ROW()-1,FALSE))</f>
        <v>7.1727705960000003</v>
      </c>
      <c r="AR206">
        <f ca="1">IF(AND(ISNUMBER($AR$446),$B$258=1),$AR$446,HLOOKUP(INDIRECT(ADDRESS(2,COLUMN())),OFFSET($BN$2,0,0,ROW()-1,60),ROW()-1,FALSE))</f>
        <v>5.9119757750000002</v>
      </c>
      <c r="AS206">
        <f ca="1">IF(AND(ISNUMBER($AS$446),$B$258=1),$AS$446,HLOOKUP(INDIRECT(ADDRESS(2,COLUMN())),OFFSET($BN$2,0,0,ROW()-1,60),ROW()-1,FALSE))</f>
        <v>7.0791993</v>
      </c>
      <c r="AT206">
        <f ca="1">IF(AND(ISNUMBER($AT$446),$B$258=1),$AT$446,HLOOKUP(INDIRECT(ADDRESS(2,COLUMN())),OFFSET($BN$2,0,0,ROW()-1,60),ROW()-1,FALSE))</f>
        <v>6.7033380149999999</v>
      </c>
      <c r="AU206">
        <f ca="1">IF(AND(ISNUMBER($AU$446),$B$258=1),$AU$446,HLOOKUP(INDIRECT(ADDRESS(2,COLUMN())),OFFSET($BN$2,0,0,ROW()-1,60),ROW()-1,FALSE))</f>
        <v>6.8010822720000004</v>
      </c>
      <c r="AV206">
        <f ca="1">IF(AND(ISNUMBER($AV$446),$B$258=1),$AV$446,HLOOKUP(INDIRECT(ADDRESS(2,COLUMN())),OFFSET($BN$2,0,0,ROW()-1,60),ROW()-1,FALSE))</f>
        <v>6.9409242940000002</v>
      </c>
      <c r="AW206">
        <f ca="1">IF(AND(ISNUMBER($AW$446),$B$258=1),$AW$446,HLOOKUP(INDIRECT(ADDRESS(2,COLUMN())),OFFSET($BN$2,0,0,ROW()-1,60),ROW()-1,FALSE))</f>
        <v>7.0827262580000001</v>
      </c>
      <c r="AX206">
        <f ca="1">IF(AND(ISNUMBER($AX$446),$B$258=1),$AX$446,HLOOKUP(INDIRECT(ADDRESS(2,COLUMN())),OFFSET($BN$2,0,0,ROW()-1,60),ROW()-1,FALSE))</f>
        <v>7.3431940009999996</v>
      </c>
      <c r="AY206">
        <f ca="1">IF(AND(ISNUMBER($AY$446),$B$258=1),$AY$446,HLOOKUP(INDIRECT(ADDRESS(2,COLUMN())),OFFSET($BN$2,0,0,ROW()-1,60),ROW()-1,FALSE))</f>
        <v>7.2934318579999999</v>
      </c>
      <c r="AZ206">
        <f ca="1">IF(AND(ISNUMBER($AZ$446),$B$258=1),$AZ$446,HLOOKUP(INDIRECT(ADDRESS(2,COLUMN())),OFFSET($BN$2,0,0,ROW()-1,60),ROW()-1,FALSE))</f>
        <v>5.4521100420000002</v>
      </c>
      <c r="BA206">
        <f ca="1">IF(AND(ISNUMBER($BA$446),$B$258=1),$BA$446,HLOOKUP(INDIRECT(ADDRESS(2,COLUMN())),OFFSET($BN$2,0,0,ROW()-1,60),ROW()-1,FALSE))</f>
        <v>5.1290625240000001</v>
      </c>
      <c r="BB206">
        <f ca="1">IF(AND(ISNUMBER($BB$446),$B$258=1),$BB$446,HLOOKUP(INDIRECT(ADDRESS(2,COLUMN())),OFFSET($BN$2,0,0,ROW()-1,60),ROW()-1,FALSE))</f>
        <v>5.4758422519999996</v>
      </c>
      <c r="BC206">
        <f ca="1">IF(AND(ISNUMBER($BC$446),$B$258=1),$BC$446,HLOOKUP(INDIRECT(ADDRESS(2,COLUMN())),OFFSET($BN$2,0,0,ROW()-1,60),ROW()-1,FALSE))</f>
        <v>5.594556109</v>
      </c>
      <c r="BD206">
        <f ca="1">IF(AND(ISNUMBER($BD$446),$B$258=1),$BD$446,HLOOKUP(INDIRECT(ADDRESS(2,COLUMN())),OFFSET($BN$2,0,0,ROW()-1,60),ROW()-1,FALSE))</f>
        <v>5.541290697</v>
      </c>
      <c r="BE206">
        <f ca="1">IF(AND(ISNUMBER($BE$446),$B$258=1),$BE$446,HLOOKUP(INDIRECT(ADDRESS(2,COLUMN())),OFFSET($BN$2,0,0,ROW()-1,60),ROW()-1,FALSE))</f>
        <v>5.7568939219999997</v>
      </c>
      <c r="BF206">
        <f ca="1">IF(AND(ISNUMBER($BF$446),$B$258=1),$BF$446,HLOOKUP(INDIRECT(ADDRESS(2,COLUMN())),OFFSET($BN$2,0,0,ROW()-1,60),ROW()-1,FALSE))</f>
        <v>5.2109429260000004</v>
      </c>
      <c r="BG206">
        <f ca="1">IF(AND(ISNUMBER($BG$446),$B$258=1),$BG$446,HLOOKUP(INDIRECT(ADDRESS(2,COLUMN())),OFFSET($BN$2,0,0,ROW()-1,60),ROW()-1,FALSE))</f>
        <v>5.2628797299999999</v>
      </c>
      <c r="BH206">
        <f ca="1">IF(AND(ISNUMBER($BH$446),$B$258=1),$BH$446,HLOOKUP(INDIRECT(ADDRESS(2,COLUMN())),OFFSET($BN$2,0,0,ROW()-1,60),ROW()-1,FALSE))</f>
        <v>4.7908345270000003</v>
      </c>
      <c r="BI206">
        <f ca="1">IF(AND(ISNUMBER($BI$446),$B$258=1),$BI$446,HLOOKUP(INDIRECT(ADDRESS(2,COLUMN())),OFFSET($BN$2,0,0,ROW()-1,60),ROW()-1,FALSE))</f>
        <v>4.6749741330000001</v>
      </c>
      <c r="BJ206">
        <f ca="1">IF(AND(ISNUMBER($BJ$446),$B$258=1),$BJ$446,HLOOKUP(INDIRECT(ADDRESS(2,COLUMN())),OFFSET($BN$2,0,0,ROW()-1,60),ROW()-1,FALSE))</f>
        <v>4.9735071120000001</v>
      </c>
      <c r="BK206">
        <f ca="1">IF(AND(ISNUMBER($BK$446),$B$258=1),$BK$446,HLOOKUP(INDIRECT(ADDRESS(2,COLUMN())),OFFSET($BN$2,0,0,ROW()-1,60),ROW()-1,FALSE))</f>
        <v>5.3767213509999996</v>
      </c>
      <c r="BL206">
        <f ca="1">IF(AND(ISNUMBER($BL$446),$B$258=1),$BL$446,HLOOKUP(INDIRECT(ADDRESS(2,COLUMN())),OFFSET($BN$2,0,0,ROW()-1,60),ROW()-1,FALSE))</f>
        <v>5.1149030450000001</v>
      </c>
      <c r="BM206">
        <f ca="1">IF(AND(ISNUMBER($BM$446),$B$258=1),$BM$446,HLOOKUP(INDIRECT(ADDRESS(2,COLUMN())),OFFSET($BN$2,0,0,ROW()-1,60),ROW()-1,FALSE))</f>
        <v>4.9403899219999996</v>
      </c>
      <c r="BN206" t="str">
        <f>""</f>
        <v/>
      </c>
      <c r="BO206">
        <f>6.728752151</f>
        <v>6.7287521510000001</v>
      </c>
      <c r="BP206">
        <f>5.917706959</f>
        <v>5.9177069590000002</v>
      </c>
      <c r="BQ206">
        <f>5.549008756</f>
        <v>5.5490087560000001</v>
      </c>
      <c r="BR206">
        <f>5.410441028</f>
        <v>5.4104410280000002</v>
      </c>
      <c r="BS206">
        <f>5.749687002</f>
        <v>5.7496870019999999</v>
      </c>
      <c r="BT206">
        <f>6.336514119</f>
        <v>6.3365141190000003</v>
      </c>
      <c r="BU206">
        <f>6.16626988</f>
        <v>6.1662698799999998</v>
      </c>
      <c r="BV206">
        <f>6.427752235</f>
        <v>6.4277522349999998</v>
      </c>
      <c r="BW206">
        <f>6.702346188</f>
        <v>6.7023461879999999</v>
      </c>
      <c r="BX206">
        <f>6.055939868</f>
        <v>6.0559398680000003</v>
      </c>
      <c r="BY206">
        <f>6.427948002</f>
        <v>6.4279480019999999</v>
      </c>
      <c r="BZ206">
        <f>6.391776704</f>
        <v>6.3917767039999998</v>
      </c>
      <c r="CA206">
        <f>6.272114204</f>
        <v>6.2721142040000002</v>
      </c>
      <c r="CB206">
        <f>5.452936348</f>
        <v>5.4529363479999997</v>
      </c>
      <c r="CC206">
        <f>5.624345424</f>
        <v>5.6243454240000004</v>
      </c>
      <c r="CD206">
        <f>6.194590371</f>
        <v>6.1945903710000003</v>
      </c>
      <c r="CE206">
        <f>6.296268231</f>
        <v>6.296268231</v>
      </c>
      <c r="CF206">
        <f>7.483247811</f>
        <v>7.483247811</v>
      </c>
      <c r="CG206">
        <f>7.536524299</f>
        <v>7.5365242989999999</v>
      </c>
      <c r="CH206">
        <f>8.41350987</f>
        <v>8.4135098700000004</v>
      </c>
      <c r="CI206">
        <f>7.892576616</f>
        <v>7.8925766160000004</v>
      </c>
      <c r="CJ206">
        <f>7.153080681</f>
        <v>7.1530806809999996</v>
      </c>
      <c r="CK206">
        <f>7.660442692</f>
        <v>7.6604426920000002</v>
      </c>
      <c r="CL206">
        <f>6.952601269</f>
        <v>6.9526012689999996</v>
      </c>
      <c r="CM206">
        <f>8.432500419</f>
        <v>8.4325004190000001</v>
      </c>
      <c r="CN206">
        <f>9.09959385</f>
        <v>9.0995938499999998</v>
      </c>
      <c r="CO206">
        <f>10.82710539</f>
        <v>10.82710539</v>
      </c>
      <c r="CP206">
        <f>12.71758829</f>
        <v>12.71758829</v>
      </c>
      <c r="CQ206">
        <f>9.659845304</f>
        <v>9.6598453039999992</v>
      </c>
      <c r="CR206">
        <f>8.305492486</f>
        <v>8.3054924860000003</v>
      </c>
      <c r="CS206">
        <f>6.861566469</f>
        <v>6.8615664689999996</v>
      </c>
      <c r="CT206">
        <f>6.327654786</f>
        <v>6.3276547860000001</v>
      </c>
      <c r="CU206">
        <f>5.372839143</f>
        <v>5.3728391430000002</v>
      </c>
      <c r="CV206">
        <f>5.901841882</f>
        <v>5.9018418820000003</v>
      </c>
      <c r="CW206">
        <f>6.672699252</f>
        <v>6.6726992520000001</v>
      </c>
      <c r="CX206">
        <f>6.418170509</f>
        <v>6.4181705090000003</v>
      </c>
      <c r="CY206">
        <f>7.172770596</f>
        <v>7.1727705960000003</v>
      </c>
      <c r="CZ206">
        <f>5.911975775</f>
        <v>5.9119757750000002</v>
      </c>
      <c r="DA206">
        <f>7.0791993</f>
        <v>7.0791993</v>
      </c>
      <c r="DB206">
        <f>6.703338015</f>
        <v>6.7033380149999999</v>
      </c>
      <c r="DC206">
        <f>6.801082272</f>
        <v>6.8010822720000004</v>
      </c>
      <c r="DD206">
        <f>6.940924294</f>
        <v>6.9409242940000002</v>
      </c>
      <c r="DE206">
        <f>7.082726258</f>
        <v>7.0827262580000001</v>
      </c>
      <c r="DF206">
        <f>7.343194001</f>
        <v>7.3431940009999996</v>
      </c>
      <c r="DG206">
        <f>7.293431858</f>
        <v>7.2934318579999999</v>
      </c>
      <c r="DH206">
        <f>5.452110042</f>
        <v>5.4521100420000002</v>
      </c>
      <c r="DI206">
        <f>5.129062524</f>
        <v>5.1290625240000001</v>
      </c>
      <c r="DJ206">
        <f>5.475842252</f>
        <v>5.4758422519999996</v>
      </c>
      <c r="DK206">
        <f>5.594556109</f>
        <v>5.594556109</v>
      </c>
      <c r="DL206">
        <f>5.541290697</f>
        <v>5.541290697</v>
      </c>
      <c r="DM206">
        <f>5.756893922</f>
        <v>5.7568939219999997</v>
      </c>
      <c r="DN206">
        <f>5.210942926</f>
        <v>5.2109429260000004</v>
      </c>
      <c r="DO206">
        <f>5.26287973</f>
        <v>5.2628797299999999</v>
      </c>
      <c r="DP206">
        <f>4.790834527</f>
        <v>4.7908345270000003</v>
      </c>
      <c r="DQ206">
        <f>4.674974133</f>
        <v>4.6749741330000001</v>
      </c>
      <c r="DR206">
        <f>4.973507112</f>
        <v>4.9735071120000001</v>
      </c>
      <c r="DS206">
        <f>5.376721351</f>
        <v>5.3767213509999996</v>
      </c>
      <c r="DT206">
        <f>5.114903045</f>
        <v>5.1149030450000001</v>
      </c>
      <c r="DU206">
        <f>4.940389922</f>
        <v>4.9403899219999996</v>
      </c>
    </row>
    <row r="207" spans="1:125">
      <c r="A207" t="str">
        <f>"现金与有价证券"</f>
        <v>现金与有价证券</v>
      </c>
      <c r="B207" t="str">
        <f>""</f>
        <v/>
      </c>
      <c r="E207" t="str">
        <f>"Median"</f>
        <v>Median</v>
      </c>
      <c r="F207" t="str">
        <f ca="1">IF(ISERROR(IF(MEDIAN($F$208:$F$218) = 0, "", MEDIAN($F$208:$F$218))), "", (IF(MEDIAN($F$208:$F$218) = 0, "", MEDIAN($F$208:$F$218))))</f>
        <v/>
      </c>
      <c r="G207">
        <f ca="1">IF(ISERROR(IF(MEDIAN($G$208:$G$218) = 0, "", MEDIAN($G$208:$G$218))), "", (IF(MEDIAN($G$208:$G$218) = 0, "", MEDIAN($G$208:$G$218))))</f>
        <v>93.146500000000003</v>
      </c>
      <c r="H207">
        <f ca="1">IF(ISERROR(IF(MEDIAN($H$208:$H$218) = 0, "", MEDIAN($H$208:$H$218))), "", (IF(MEDIAN($H$208:$H$218) = 0, "", MEDIAN($H$208:$H$218))))</f>
        <v>101.8125</v>
      </c>
      <c r="I207">
        <f ca="1">IF(ISERROR(IF(MEDIAN($I$208:$I$218) = 0, "", MEDIAN($I$208:$I$218))), "", (IF(MEDIAN($I$208:$I$218) = 0, "", MEDIAN($I$208:$I$218))))</f>
        <v>91.444000000000003</v>
      </c>
      <c r="J207">
        <f ca="1">IF(ISERROR(IF(MEDIAN($J$208:$J$218) = 0, "", MEDIAN($J$208:$J$218))), "", (IF(MEDIAN($J$208:$J$218) = 0, "", MEDIAN($J$208:$J$218))))</f>
        <v>40.348999999999997</v>
      </c>
      <c r="K207">
        <f ca="1">IF(ISERROR(IF(MEDIAN($K$208:$K$218) = 0, "", MEDIAN($K$208:$K$218))), "", (IF(MEDIAN($K$208:$K$218) = 0, "", MEDIAN($K$208:$K$218))))</f>
        <v>83.24</v>
      </c>
      <c r="L207">
        <f ca="1">IF(ISERROR(IF(MEDIAN($L$208:$L$218) = 0, "", MEDIAN($L$208:$L$218))), "", (IF(MEDIAN($L$208:$L$218) = 0, "", MEDIAN($L$208:$L$218))))</f>
        <v>40.773000000000003</v>
      </c>
      <c r="M207">
        <f ca="1">IF(ISERROR(IF(MEDIAN($M$208:$M$218) = 0, "", MEDIAN($M$208:$M$218))), "", (IF(MEDIAN($M$208:$M$218) = 0, "", MEDIAN($M$208:$M$218))))</f>
        <v>57.322000000000003</v>
      </c>
      <c r="N207">
        <f ca="1">IF(ISERROR(IF(MEDIAN($N$208:$N$218) = 0, "", MEDIAN($N$208:$N$218))), "", (IF(MEDIAN($N$208:$N$218) = 0, "", MEDIAN($N$208:$N$218))))</f>
        <v>39.198999999999998</v>
      </c>
      <c r="O207">
        <f ca="1">IF(ISERROR(IF(MEDIAN($O$208:$O$218) = 0, "", MEDIAN($O$208:$O$218))), "", (IF(MEDIAN($O$208:$O$218) = 0, "", MEDIAN($O$208:$O$218))))</f>
        <v>37.655999999999999</v>
      </c>
      <c r="P207">
        <f ca="1">IF(ISERROR(IF(MEDIAN($P$208:$P$218) = 0, "", MEDIAN($P$208:$P$218))), "", (IF(MEDIAN($P$208:$P$218) = 0, "", MEDIAN($P$208:$P$218))))</f>
        <v>61.408000000000001</v>
      </c>
      <c r="Q207">
        <f ca="1">IF(ISERROR(IF(MEDIAN($Q$208:$Q$218) = 0, "", MEDIAN($Q$208:$Q$218))), "", (IF(MEDIAN($Q$208:$Q$218) = 0, "", MEDIAN($Q$208:$Q$218))))</f>
        <v>45.904000000000003</v>
      </c>
      <c r="R207">
        <f ca="1">IF(ISERROR(IF(MEDIAN($R$208:$R$218) = 0, "", MEDIAN($R$208:$R$218))), "", (IF(MEDIAN($R$208:$R$218) = 0, "", MEDIAN($R$208:$R$218))))</f>
        <v>84.217500000000001</v>
      </c>
      <c r="S207">
        <f ca="1">IF(ISERROR(IF(MEDIAN($S$208:$S$218) = 0, "", MEDIAN($S$208:$S$218))), "", (IF(MEDIAN($S$208:$S$218) = 0, "", MEDIAN($S$208:$S$218))))</f>
        <v>58.570499999999996</v>
      </c>
      <c r="T207">
        <f ca="1">IF(ISERROR(IF(MEDIAN($T$208:$T$218) = 0, "", MEDIAN($T$208:$T$218))), "", (IF(MEDIAN($T$208:$T$218) = 0, "", MEDIAN($T$208:$T$218))))</f>
        <v>65.808999999999997</v>
      </c>
      <c r="U207">
        <f ca="1">IF(ISERROR(IF(MEDIAN($U$208:$U$218) = 0, "", MEDIAN($U$208:$U$218))), "", (IF(MEDIAN($U$208:$U$218) = 0, "", MEDIAN($U$208:$U$218))))</f>
        <v>70.546499999999995</v>
      </c>
      <c r="V207">
        <f ca="1">IF(ISERROR(IF(MEDIAN($V$208:$V$218) = 0, "", MEDIAN($V$208:$V$218))), "", (IF(MEDIAN($V$208:$V$218) = 0, "", MEDIAN($V$208:$V$218))))</f>
        <v>41.352499999999999</v>
      </c>
      <c r="W207">
        <f ca="1">IF(ISERROR(IF(MEDIAN($W$208:$W$218) = 0, "", MEDIAN($W$208:$W$218))), "", (IF(MEDIAN($W$208:$W$218) = 0, "", MEDIAN($W$208:$W$218))))</f>
        <v>42.605999999999995</v>
      </c>
      <c r="X207">
        <f ca="1">IF(ISERROR(IF(MEDIAN($X$208:$X$218) = 0, "", MEDIAN($X$208:$X$218))), "", (IF(MEDIAN($X$208:$X$218) = 0, "", MEDIAN($X$208:$X$218))))</f>
        <v>54.255499999999998</v>
      </c>
      <c r="Y207">
        <f ca="1">IF(ISERROR(IF(MEDIAN($Y$208:$Y$218) = 0, "", MEDIAN($Y$208:$Y$218))), "", (IF(MEDIAN($Y$208:$Y$218) = 0, "", MEDIAN($Y$208:$Y$218))))</f>
        <v>57.767499999999998</v>
      </c>
      <c r="Z207">
        <f ca="1">IF(ISERROR(IF(MEDIAN($Z$208:$Z$218) = 0, "", MEDIAN($Z$208:$Z$218))), "", (IF(MEDIAN($Z$208:$Z$218) = 0, "", MEDIAN($Z$208:$Z$218))))</f>
        <v>66.682500000000005</v>
      </c>
      <c r="AA207">
        <f ca="1">IF(ISERROR(IF(MEDIAN($AA$208:$AA$218) = 0, "", MEDIAN($AA$208:$AA$218))), "", (IF(MEDIAN($AA$208:$AA$218) = 0, "", MEDIAN($AA$208:$AA$218))))</f>
        <v>39.846499999999999</v>
      </c>
      <c r="AB207">
        <f ca="1">IF(ISERROR(IF(MEDIAN($AB$208:$AB$218) = 0, "", MEDIAN($AB$208:$AB$218))), "", (IF(MEDIAN($AB$208:$AB$218) = 0, "", MEDIAN($AB$208:$AB$218))))</f>
        <v>33.32</v>
      </c>
      <c r="AC207">
        <f ca="1">IF(ISERROR(IF(MEDIAN($AC$208:$AC$218) = 0, "", MEDIAN($AC$208:$AC$218))), "", (IF(MEDIAN($AC$208:$AC$218) = 0, "", MEDIAN($AC$208:$AC$218))))</f>
        <v>38.39</v>
      </c>
      <c r="AD207">
        <f ca="1">IF(ISERROR(IF(MEDIAN($AD$208:$AD$218) = 0, "", MEDIAN($AD$208:$AD$218))), "", (IF(MEDIAN($AD$208:$AD$218) = 0, "", MEDIAN($AD$208:$AD$218))))</f>
        <v>44.171999999999997</v>
      </c>
      <c r="AE207">
        <f ca="1">IF(ISERROR(IF(MEDIAN($AE$208:$AE$218) = 0, "", MEDIAN($AE$208:$AE$218))), "", (IF(MEDIAN($AE$208:$AE$218) = 0, "", MEDIAN($AE$208:$AE$218))))</f>
        <v>44.028500000000001</v>
      </c>
      <c r="AF207">
        <f ca="1">IF(ISERROR(IF(MEDIAN($AF$208:$AF$218) = 0, "", MEDIAN($AF$208:$AF$218))), "", (IF(MEDIAN($AF$208:$AF$218) = 0, "", MEDIAN($AF$208:$AF$218))))</f>
        <v>56.9495</v>
      </c>
      <c r="AG207">
        <f ca="1">IF(ISERROR(IF(MEDIAN($AG$208:$AG$218) = 0, "", MEDIAN($AG$208:$AG$218))), "", (IF(MEDIAN($AG$208:$AG$218) = 0, "", MEDIAN($AG$208:$AG$218))))</f>
        <v>44.503500000000003</v>
      </c>
      <c r="AH207">
        <f ca="1">IF(ISERROR(IF(MEDIAN($AH$208:$AH$218) = 0, "", MEDIAN($AH$208:$AH$218))), "", (IF(MEDIAN($AH$208:$AH$218) = 0, "", MEDIAN($AH$208:$AH$218))))</f>
        <v>60.047499999999999</v>
      </c>
      <c r="AI207">
        <f ca="1">IF(ISERROR(IF(MEDIAN($AI$208:$AI$218) = 0, "", MEDIAN($AI$208:$AI$218))), "", (IF(MEDIAN($AI$208:$AI$218) = 0, "", MEDIAN($AI$208:$AI$218))))</f>
        <v>91.231999999999999</v>
      </c>
      <c r="AJ207">
        <f ca="1">IF(ISERROR(IF(MEDIAN($AJ$208:$AJ$218) = 0, "", MEDIAN($AJ$208:$AJ$218))), "", (IF(MEDIAN($AJ$208:$AJ$218) = 0, "", MEDIAN($AJ$208:$AJ$218))))</f>
        <v>52.634999999999998</v>
      </c>
      <c r="AK207">
        <f ca="1">IF(ISERROR(IF(MEDIAN($AK$208:$AK$218) = 0, "", MEDIAN($AK$208:$AK$218))), "", (IF(MEDIAN($AK$208:$AK$218) = 0, "", MEDIAN($AK$208:$AK$218))))</f>
        <v>55.423000000000002</v>
      </c>
      <c r="AL207">
        <f ca="1">IF(ISERROR(IF(MEDIAN($AL$208:$AL$218) = 0, "", MEDIAN($AL$208:$AL$218))), "", (IF(MEDIAN($AL$208:$AL$218) = 0, "", MEDIAN($AL$208:$AL$218))))</f>
        <v>44.603999999999999</v>
      </c>
      <c r="AM207">
        <f ca="1">IF(ISERROR(IF(MEDIAN($AM$208:$AM$218) = 0, "", MEDIAN($AM$208:$AM$218))), "", (IF(MEDIAN($AM$208:$AM$218) = 0, "", MEDIAN($AM$208:$AM$218))))</f>
        <v>25.391500000000001</v>
      </c>
      <c r="AN207">
        <f ca="1">IF(ISERROR(IF(MEDIAN($AN$208:$AN$218) = 0, "", MEDIAN($AN$208:$AN$218))), "", (IF(MEDIAN($AN$208:$AN$218) = 0, "", MEDIAN($AN$208:$AN$218))))</f>
        <v>69.584499999999991</v>
      </c>
      <c r="AO207">
        <f ca="1">IF(ISERROR(IF(MEDIAN($AO$208:$AO$218) = 0, "", MEDIAN($AO$208:$AO$218))), "", (IF(MEDIAN($AO$208:$AO$218) = 0, "", MEDIAN($AO$208:$AO$218))))</f>
        <v>27.222500000000004</v>
      </c>
      <c r="AP207">
        <f ca="1">IF(ISERROR(IF(MEDIAN($AP$208:$AP$218) = 0, "", MEDIAN($AP$208:$AP$218))), "", (IF(MEDIAN($AP$208:$AP$218) = 0, "", MEDIAN($AP$208:$AP$218))))</f>
        <v>15.777999999999999</v>
      </c>
      <c r="AQ207">
        <f ca="1">IF(ISERROR(IF(MEDIAN($AQ$208:$AQ$218) = 0, "", MEDIAN($AQ$208:$AQ$218))), "", (IF(MEDIAN($AQ$208:$AQ$218) = 0, "", MEDIAN($AQ$208:$AQ$218))))</f>
        <v>17.559000000000001</v>
      </c>
      <c r="AR207">
        <f ca="1">IF(ISERROR(IF(MEDIAN($AR$208:$AR$218) = 0, "", MEDIAN($AR$208:$AR$218))), "", (IF(MEDIAN($AR$208:$AR$218) = 0, "", MEDIAN($AR$208:$AR$218))))</f>
        <v>12.5011475</v>
      </c>
      <c r="AS207">
        <f ca="1">IF(ISERROR(IF(MEDIAN($AS$208:$AS$218) = 0, "", MEDIAN($AS$208:$AS$218))), "", (IF(MEDIAN($AS$208:$AS$218) = 0, "", MEDIAN($AS$208:$AS$218))))</f>
        <v>16.074999999999999</v>
      </c>
      <c r="AT207">
        <f ca="1">IF(ISERROR(IF(MEDIAN($AT$208:$AT$218) = 0, "", MEDIAN($AT$208:$AT$218))), "", (IF(MEDIAN($AT$208:$AT$218) = 0, "", MEDIAN($AT$208:$AT$218))))</f>
        <v>21.674999999999997</v>
      </c>
      <c r="AU207">
        <f ca="1">IF(ISERROR(IF(MEDIAN($AU$208:$AU$218) = 0, "", MEDIAN($AU$208:$AU$218))), "", (IF(MEDIAN($AU$208:$AU$218) = 0, "", MEDIAN($AU$208:$AU$218))))</f>
        <v>29.301499999999997</v>
      </c>
      <c r="AV207">
        <f ca="1">IF(ISERROR(IF(MEDIAN($AV$208:$AV$218) = 0, "", MEDIAN($AV$208:$AV$218))), "", (IF(MEDIAN($AV$208:$AV$218) = 0, "", MEDIAN($AV$208:$AV$218))))</f>
        <v>13.45</v>
      </c>
      <c r="AW207">
        <f ca="1">IF(ISERROR(IF(MEDIAN($AW$208:$AW$218) = 0, "", MEDIAN($AW$208:$AW$218))), "", (IF(MEDIAN($AW$208:$AW$218) = 0, "", MEDIAN($AW$208:$AW$218))))</f>
        <v>8.756456</v>
      </c>
      <c r="AX207">
        <f ca="1">IF(ISERROR(IF(MEDIAN($AX$208:$AX$218) = 0, "", MEDIAN($AX$208:$AX$218))), "", (IF(MEDIAN($AX$208:$AX$218) = 0, "", MEDIAN($AX$208:$AX$218))))</f>
        <v>13.185</v>
      </c>
      <c r="AY207">
        <f ca="1">IF(ISERROR(IF(MEDIAN($AY$208:$AY$218) = 0, "", MEDIAN($AY$208:$AY$218))), "", (IF(MEDIAN($AY$208:$AY$218) = 0, "", MEDIAN($AY$208:$AY$218))))</f>
        <v>3.5254364999999996</v>
      </c>
      <c r="AZ207">
        <f ca="1">IF(ISERROR(IF(MEDIAN($AZ$208:$AZ$218) = 0, "", MEDIAN($AZ$208:$AZ$218))), "", (IF(MEDIAN($AZ$208:$AZ$218) = 0, "", MEDIAN($AZ$208:$AZ$218))))</f>
        <v>2.8410000000000002</v>
      </c>
      <c r="BA207">
        <f ca="1">IF(ISERROR(IF(MEDIAN($BA$208:$BA$218) = 0, "", MEDIAN($BA$208:$BA$218))), "", (IF(MEDIAN($BA$208:$BA$218) = 0, "", MEDIAN($BA$208:$BA$218))))</f>
        <v>3.8629999999999995</v>
      </c>
      <c r="BB207">
        <f ca="1">IF(ISERROR(IF(MEDIAN($BB$208:$BB$218) = 0, "", MEDIAN($BB$208:$BB$218))), "", (IF(MEDIAN($BB$208:$BB$218) = 0, "", MEDIAN($BB$208:$BB$218))))</f>
        <v>2.9009999999999998</v>
      </c>
      <c r="BC207">
        <f ca="1">IF(ISERROR(IF(MEDIAN($BC$208:$BC$218) = 0, "", MEDIAN($BC$208:$BC$218))), "", (IF(MEDIAN($BC$208:$BC$218) = 0, "", MEDIAN($BC$208:$BC$218))))</f>
        <v>10.839499999999999</v>
      </c>
      <c r="BD207">
        <f ca="1">IF(ISERROR(IF(MEDIAN($BD$208:$BD$218) = 0, "", MEDIAN($BD$208:$BD$218))), "", (IF(MEDIAN($BD$208:$BD$218) = 0, "", MEDIAN($BD$208:$BD$218))))</f>
        <v>5.5750000000000002</v>
      </c>
      <c r="BE207">
        <f ca="1">IF(ISERROR(IF(MEDIAN($BE$208:$BE$218) = 0, "", MEDIAN($BE$208:$BE$218))), "", (IF(MEDIAN($BE$208:$BE$218) = 0, "", MEDIAN($BE$208:$BE$218))))</f>
        <v>4.7984998895000004</v>
      </c>
      <c r="BF207">
        <f ca="1">IF(ISERROR(IF(MEDIAN($BF$208:$BF$218) = 0, "", MEDIAN($BF$208:$BF$218))), "", (IF(MEDIAN($BF$208:$BF$218) = 0, "", MEDIAN($BF$208:$BF$218))))</f>
        <v>8.1470000000000002</v>
      </c>
      <c r="BG207">
        <f ca="1">IF(ISERROR(IF(MEDIAN($BG$208:$BG$218) = 0, "", MEDIAN($BG$208:$BG$218))), "", (IF(MEDIAN($BG$208:$BG$218) = 0, "", MEDIAN($BG$208:$BG$218))))</f>
        <v>3.4089999999999998</v>
      </c>
      <c r="BH207">
        <f ca="1">IF(ISERROR(IF(MEDIAN($BH$208:$BH$218) = 0, "", MEDIAN($BH$208:$BH$218))), "", (IF(MEDIAN($BH$208:$BH$218) = 0, "", MEDIAN($BH$208:$BH$218))))</f>
        <v>4.0259999999999998</v>
      </c>
      <c r="BI207">
        <f ca="1">IF(ISERROR(IF(MEDIAN($BI$208:$BI$218) = 0, "", MEDIAN($BI$208:$BI$218))), "", (IF(MEDIAN($BI$208:$BI$218) = 0, "", MEDIAN($BI$208:$BI$218))))</f>
        <v>4.8140001300000002</v>
      </c>
      <c r="BJ207">
        <f ca="1">IF(ISERROR(IF(MEDIAN($BJ$208:$BJ$218) = 0, "", MEDIAN($BJ$208:$BJ$218))), "", (IF(MEDIAN($BJ$208:$BJ$218) = 0, "", MEDIAN($BJ$208:$BJ$218))))</f>
        <v>28.132000000000001</v>
      </c>
      <c r="BK207">
        <f ca="1">IF(ISERROR(IF(MEDIAN($BK$208:$BK$218) = 0, "", MEDIAN($BK$208:$BK$218))), "", (IF(MEDIAN($BK$208:$BK$218) = 0, "", MEDIAN($BK$208:$BK$218))))</f>
        <v>4.9510000000000005</v>
      </c>
      <c r="BL207">
        <f ca="1">IF(ISERROR(IF(MEDIAN($BL$208:$BL$218) = 0, "", MEDIAN($BL$208:$BL$218))), "", (IF(MEDIAN($BL$208:$BL$218) = 0, "", MEDIAN($BL$208:$BL$218))))</f>
        <v>6.0789999960000003</v>
      </c>
      <c r="BM207">
        <f ca="1">IF(ISERROR(IF(MEDIAN($BM$208:$BM$218) = 0, "", MEDIAN($BM$208:$BM$218))), "", (IF(MEDIAN($BM$208:$BM$218) = 0, "", MEDIAN($BM$208:$BM$218))))</f>
        <v>7.9530000000000003</v>
      </c>
      <c r="BN207" t="str">
        <f>""</f>
        <v/>
      </c>
      <c r="BO207">
        <f>93.1465</f>
        <v>93.146500000000003</v>
      </c>
      <c r="BP207">
        <f>101.8125</f>
        <v>101.8125</v>
      </c>
      <c r="BQ207">
        <f>91.444</f>
        <v>91.444000000000003</v>
      </c>
      <c r="BR207">
        <f>40.349</f>
        <v>40.348999999999997</v>
      </c>
      <c r="BS207">
        <f>83.24</f>
        <v>83.24</v>
      </c>
      <c r="BT207">
        <f>40.773</f>
        <v>40.773000000000003</v>
      </c>
      <c r="BU207">
        <f>57.322</f>
        <v>57.322000000000003</v>
      </c>
      <c r="BV207">
        <f>39.199</f>
        <v>39.198999999999998</v>
      </c>
      <c r="BW207">
        <f>37.656</f>
        <v>37.655999999999999</v>
      </c>
      <c r="BX207">
        <f>61.408</f>
        <v>61.408000000000001</v>
      </c>
      <c r="BY207">
        <f>45.904</f>
        <v>45.904000000000003</v>
      </c>
      <c r="BZ207">
        <f>84.2175</f>
        <v>84.217500000000001</v>
      </c>
      <c r="CA207">
        <f>58.5705</f>
        <v>58.570500000000003</v>
      </c>
      <c r="CB207">
        <f>65.809</f>
        <v>65.808999999999997</v>
      </c>
      <c r="CC207">
        <f>70.5465</f>
        <v>70.546499999999995</v>
      </c>
      <c r="CD207">
        <f>41.3525</f>
        <v>41.352499999999999</v>
      </c>
      <c r="CE207">
        <f>42.606</f>
        <v>42.606000000000002</v>
      </c>
      <c r="CF207">
        <f>54.2555</f>
        <v>54.255499999999998</v>
      </c>
      <c r="CG207">
        <f>57.7675</f>
        <v>57.767499999999998</v>
      </c>
      <c r="CH207">
        <f>66.6825</f>
        <v>66.682500000000005</v>
      </c>
      <c r="CI207">
        <f>39.8465</f>
        <v>39.846499999999999</v>
      </c>
      <c r="CJ207">
        <f>33.32</f>
        <v>33.32</v>
      </c>
      <c r="CK207">
        <f>38.39</f>
        <v>38.39</v>
      </c>
      <c r="CL207">
        <f>44.172</f>
        <v>44.171999999999997</v>
      </c>
      <c r="CM207">
        <f>44.0285</f>
        <v>44.028500000000001</v>
      </c>
      <c r="CN207">
        <f>56.9495</f>
        <v>56.9495</v>
      </c>
      <c r="CO207">
        <f>44.5035</f>
        <v>44.503500000000003</v>
      </c>
      <c r="CP207">
        <f>60.0475</f>
        <v>60.047499999999999</v>
      </c>
      <c r="CQ207">
        <f>91.232</f>
        <v>91.231999999999999</v>
      </c>
      <c r="CR207">
        <f>52.635</f>
        <v>52.634999999999998</v>
      </c>
      <c r="CS207">
        <f>55.423</f>
        <v>55.423000000000002</v>
      </c>
      <c r="CT207">
        <f>44.604</f>
        <v>44.603999999999999</v>
      </c>
      <c r="CU207">
        <f>25.3915</f>
        <v>25.391500000000001</v>
      </c>
      <c r="CV207">
        <f>69.5845</f>
        <v>69.584500000000006</v>
      </c>
      <c r="CW207">
        <f>27.2225</f>
        <v>27.2225</v>
      </c>
      <c r="CX207">
        <f>15.778</f>
        <v>15.778</v>
      </c>
      <c r="CY207">
        <f>17.559</f>
        <v>17.559000000000001</v>
      </c>
      <c r="CZ207">
        <f>12.5011475</f>
        <v>12.5011475</v>
      </c>
      <c r="DA207">
        <f>16.075</f>
        <v>16.074999999999999</v>
      </c>
      <c r="DB207">
        <f>21.675</f>
        <v>21.675000000000001</v>
      </c>
      <c r="DC207">
        <f>29.3015</f>
        <v>29.301500000000001</v>
      </c>
      <c r="DD207">
        <f>13.45</f>
        <v>13.45</v>
      </c>
      <c r="DE207">
        <f>8.756456</f>
        <v>8.756456</v>
      </c>
      <c r="DF207">
        <f>13.185</f>
        <v>13.185</v>
      </c>
      <c r="DG207">
        <f>3.5254365</f>
        <v>3.5254365000000001</v>
      </c>
      <c r="DH207">
        <f>2.841</f>
        <v>2.8410000000000002</v>
      </c>
      <c r="DI207">
        <f>3.863</f>
        <v>3.863</v>
      </c>
      <c r="DJ207">
        <f>2.901</f>
        <v>2.9009999999999998</v>
      </c>
      <c r="DK207">
        <f>10.8395</f>
        <v>10.839499999999999</v>
      </c>
      <c r="DL207">
        <f>5.575</f>
        <v>5.5750000000000002</v>
      </c>
      <c r="DM207">
        <f>4.798499889</f>
        <v>4.7984998890000004</v>
      </c>
      <c r="DN207">
        <f>8.147</f>
        <v>8.1470000000000002</v>
      </c>
      <c r="DO207">
        <f>3.409</f>
        <v>3.4089999999999998</v>
      </c>
      <c r="DP207">
        <f>4.026</f>
        <v>4.0259999999999998</v>
      </c>
      <c r="DQ207">
        <f>4.81400013</f>
        <v>4.8140001300000002</v>
      </c>
      <c r="DR207">
        <f>28.132</f>
        <v>28.132000000000001</v>
      </c>
      <c r="DS207">
        <f>4.951</f>
        <v>4.9509999999999996</v>
      </c>
      <c r="DT207">
        <f>6.078999996</f>
        <v>6.0789999960000003</v>
      </c>
      <c r="DU207">
        <f>7.953</f>
        <v>7.9530000000000003</v>
      </c>
    </row>
    <row r="208" spans="1:125">
      <c r="A208" t="str">
        <f>"    Alexandria Real Estate Equitie"</f>
        <v xml:space="preserve">    Alexandria Real Estate Equitie</v>
      </c>
      <c r="B208" t="str">
        <f>"ARE US Equity"</f>
        <v>ARE US Equity</v>
      </c>
      <c r="C208" t="str">
        <f t="shared" ref="C208:C218" si="51">"RR253"</f>
        <v>RR253</v>
      </c>
      <c r="D208" t="str">
        <f t="shared" ref="D208:D218" si="52">"CASH_AND_MARKETABLE_SECURITIES"</f>
        <v>CASH_AND_MARKETABLE_SECURITIES</v>
      </c>
      <c r="E208" t="str">
        <f t="shared" ref="E208:E218" si="53">"动态"</f>
        <v>动态</v>
      </c>
      <c r="F208" t="str">
        <f ca="1">IF(AND(ISNUMBER($F$447),$B$258=1),$F$447,HLOOKUP(INDIRECT(ADDRESS(2,COLUMN())),OFFSET($BN$2,0,0,ROW()-1,60),ROW()-1,FALSE))</f>
        <v/>
      </c>
      <c r="G208">
        <f ca="1">IF(AND(ISNUMBER($G$447),$B$258=1),$G$447,HLOOKUP(INDIRECT(ADDRESS(2,COLUMN())),OFFSET($BN$2,0,0,ROW()-1,60),ROW()-1,FALSE))</f>
        <v>254.381</v>
      </c>
      <c r="H208">
        <f ca="1">IF(AND(ISNUMBER($H$447),$B$258=1),$H$447,HLOOKUP(INDIRECT(ADDRESS(2,COLUMN())),OFFSET($BN$2,0,0,ROW()-1,60),ROW()-1,FALSE))</f>
        <v>118.562</v>
      </c>
      <c r="I208">
        <f ca="1">IF(AND(ISNUMBER($I$447),$B$258=1),$I$447,HLOOKUP(INDIRECT(ADDRESS(2,COLUMN())),OFFSET($BN$2,0,0,ROW()-1,60),ROW()-1,FALSE))</f>
        <v>124.877</v>
      </c>
      <c r="J208">
        <f ca="1">IF(AND(ISNUMBER($J$447),$B$258=1),$J$447,HLOOKUP(INDIRECT(ADDRESS(2,COLUMN())),OFFSET($BN$2,0,0,ROW()-1,60),ROW()-1,FALSE))</f>
        <v>151.209</v>
      </c>
      <c r="K208">
        <f ca="1">IF(AND(ISNUMBER($K$447),$B$258=1),$K$447,HLOOKUP(INDIRECT(ADDRESS(2,COLUMN())),OFFSET($BN$2,0,0,ROW()-1,60),ROW()-1,FALSE))</f>
        <v>125.032</v>
      </c>
      <c r="L208">
        <f ca="1">IF(AND(ISNUMBER($L$447),$B$258=1),$L$447,HLOOKUP(INDIRECT(ADDRESS(2,COLUMN())),OFFSET($BN$2,0,0,ROW()-1,60),ROW()-1,FALSE))</f>
        <v>157.928</v>
      </c>
      <c r="M208">
        <f ca="1">IF(AND(ISNUMBER($M$447),$B$258=1),$M$447,HLOOKUP(INDIRECT(ADDRESS(2,COLUMN())),OFFSET($BN$2,0,0,ROW()-1,60),ROW()-1,FALSE))</f>
        <v>256</v>
      </c>
      <c r="N208">
        <f ca="1">IF(AND(ISNUMBER($N$447),$B$258=1),$N$447,HLOOKUP(INDIRECT(ADDRESS(2,COLUMN())),OFFSET($BN$2,0,0,ROW()-1,60),ROW()-1,FALSE))</f>
        <v>146.197</v>
      </c>
      <c r="O208">
        <f ca="1">IF(AND(ISNUMBER($O$447),$B$258=1),$O$447,HLOOKUP(INDIRECT(ADDRESS(2,COLUMN())),OFFSET($BN$2,0,0,ROW()-1,60),ROW()-1,FALSE))</f>
        <v>125.098</v>
      </c>
      <c r="P208">
        <f ca="1">IF(AND(ISNUMBER($P$447),$B$258=1),$P$447,HLOOKUP(INDIRECT(ADDRESS(2,COLUMN())),OFFSET($BN$2,0,0,ROW()-1,60),ROW()-1,FALSE))</f>
        <v>76.382999999999996</v>
      </c>
      <c r="Q208">
        <f ca="1">IF(AND(ISNUMBER($Q$447),$B$258=1),$Q$447,HLOOKUP(INDIRECT(ADDRESS(2,COLUMN())),OFFSET($BN$2,0,0,ROW()-1,60),ROW()-1,FALSE))</f>
        <v>68.617000000000004</v>
      </c>
      <c r="R208">
        <f ca="1">IF(AND(ISNUMBER($R$447),$B$258=1),$R$447,HLOOKUP(INDIRECT(ADDRESS(2,COLUMN())),OFFSET($BN$2,0,0,ROW()-1,60),ROW()-1,FALSE))</f>
        <v>90.641000000000005</v>
      </c>
      <c r="S208">
        <f ca="1">IF(AND(ISNUMBER($S$447),$B$258=1),$S$447,HLOOKUP(INDIRECT(ADDRESS(2,COLUMN())),OFFSET($BN$2,0,0,ROW()-1,60),ROW()-1,FALSE))</f>
        <v>86.010999999999996</v>
      </c>
      <c r="T208">
        <f ca="1">IF(AND(ISNUMBER($T$447),$B$258=1),$T$447,HLOOKUP(INDIRECT(ADDRESS(2,COLUMN())),OFFSET($BN$2,0,0,ROW()-1,60),ROW()-1,FALSE))</f>
        <v>67.022999999999996</v>
      </c>
      <c r="U208">
        <f ca="1">IF(AND(ISNUMBER($U$447),$B$258=1),$U$447,HLOOKUP(INDIRECT(ADDRESS(2,COLUMN())),OFFSET($BN$2,0,0,ROW()-1,60),ROW()-1,FALSE))</f>
        <v>61.701000000000001</v>
      </c>
      <c r="V208">
        <f ca="1">IF(AND(ISNUMBER($V$447),$B$258=1),$V$447,HLOOKUP(INDIRECT(ADDRESS(2,COLUMN())),OFFSET($BN$2,0,0,ROW()-1,60),ROW()-1,FALSE))</f>
        <v>74.97</v>
      </c>
      <c r="W208">
        <f ca="1">IF(AND(ISNUMBER($W$447),$B$258=1),$W$447,HLOOKUP(INDIRECT(ADDRESS(2,COLUMN())),OFFSET($BN$2,0,0,ROW()-1,60),ROW()-1,FALSE))</f>
        <v>57.695999999999998</v>
      </c>
      <c r="X208">
        <f ca="1">IF(AND(ISNUMBER($X$447),$B$258=1),$X$447,HLOOKUP(INDIRECT(ADDRESS(2,COLUMN())),OFFSET($BN$2,0,0,ROW()-1,60),ROW()-1,FALSE))</f>
        <v>53.838999999999999</v>
      </c>
      <c r="Y208">
        <f ca="1">IF(AND(ISNUMBER($Y$447),$B$258=1),$Y$447,HLOOKUP(INDIRECT(ADDRESS(2,COLUMN())),OFFSET($BN$2,0,0,ROW()-1,60),ROW()-1,FALSE))</f>
        <v>302.20499999999998</v>
      </c>
      <c r="Z208">
        <f ca="1">IF(AND(ISNUMBER($Z$447),$B$258=1),$Z$447,HLOOKUP(INDIRECT(ADDRESS(2,COLUMN())),OFFSET($BN$2,0,0,ROW()-1,60),ROW()-1,FALSE))</f>
        <v>87.001000000000005</v>
      </c>
      <c r="AA208">
        <f ca="1">IF(AND(ISNUMBER($AA$447),$B$258=1),$AA$447,HLOOKUP(INDIRECT(ADDRESS(2,COLUMN())),OFFSET($BN$2,0,0,ROW()-1,60),ROW()-1,FALSE))</f>
        <v>140.971</v>
      </c>
      <c r="AB208">
        <f ca="1">IF(AND(ISNUMBER($AB$447),$B$258=1),$AB$447,HLOOKUP(INDIRECT(ADDRESS(2,COLUMN())),OFFSET($BN$2,0,0,ROW()-1,60),ROW()-1,FALSE))</f>
        <v>94.903999999999996</v>
      </c>
      <c r="AC208">
        <f ca="1">IF(AND(ISNUMBER($AC$447),$B$258=1),$AC$447,HLOOKUP(INDIRECT(ADDRESS(2,COLUMN())),OFFSET($BN$2,0,0,ROW()-1,60),ROW()-1,FALSE))</f>
        <v>80.936999999999998</v>
      </c>
      <c r="AD208">
        <f ca="1">IF(AND(ISNUMBER($AD$447),$B$258=1),$AD$447,HLOOKUP(INDIRECT(ADDRESS(2,COLUMN())),OFFSET($BN$2,0,0,ROW()-1,60),ROW()-1,FALSE))</f>
        <v>77.361000000000004</v>
      </c>
      <c r="AE208">
        <f ca="1">IF(AND(ISNUMBER($AE$447),$B$258=1),$AE$447,HLOOKUP(INDIRECT(ADDRESS(2,COLUMN())),OFFSET($BN$2,0,0,ROW()-1,60),ROW()-1,FALSE))</f>
        <v>78.539000000000001</v>
      </c>
      <c r="AF208">
        <f ca="1">IF(AND(ISNUMBER($AF$447),$B$258=1),$AF$447,HLOOKUP(INDIRECT(ADDRESS(2,COLUMN())),OFFSET($BN$2,0,0,ROW()-1,60),ROW()-1,FALSE))</f>
        <v>73.055999999999997</v>
      </c>
      <c r="AG208">
        <f ca="1">IF(AND(ISNUMBER($AG$447),$B$258=1),$AG$447,HLOOKUP(INDIRECT(ADDRESS(2,COLUMN())),OFFSET($BN$2,0,0,ROW()-1,60),ROW()-1,FALSE))</f>
        <v>60.924999999999997</v>
      </c>
      <c r="AH208">
        <f ca="1">IF(AND(ISNUMBER($AH$447),$B$258=1),$AH$447,HLOOKUP(INDIRECT(ADDRESS(2,COLUMN())),OFFSET($BN$2,0,0,ROW()-1,60),ROW()-1,FALSE))</f>
        <v>78.195999999999998</v>
      </c>
      <c r="AI208">
        <f ca="1">IF(AND(ISNUMBER($AI$447),$B$258=1),$AI$447,HLOOKUP(INDIRECT(ADDRESS(2,COLUMN())),OFFSET($BN$2,0,0,ROW()-1,60),ROW()-1,FALSE))</f>
        <v>91.231999999999999</v>
      </c>
      <c r="AJ208">
        <f ca="1">IF(AND(ISNUMBER($AJ$447),$B$258=1),$AJ$447,HLOOKUP(INDIRECT(ADDRESS(2,COLUMN())),OFFSET($BN$2,0,0,ROW()-1,60),ROW()-1,FALSE))</f>
        <v>110.81100000000001</v>
      </c>
      <c r="AK208">
        <f ca="1">IF(AND(ISNUMBER($AK$447),$B$258=1),$AK$447,HLOOKUP(INDIRECT(ADDRESS(2,COLUMN())),OFFSET($BN$2,0,0,ROW()-1,60),ROW()-1,FALSE))</f>
        <v>73.254000000000005</v>
      </c>
      <c r="AL208">
        <f ca="1">IF(AND(ISNUMBER($AL$447),$B$258=1),$AL$447,HLOOKUP(INDIRECT(ADDRESS(2,COLUMN())),OFFSET($BN$2,0,0,ROW()-1,60),ROW()-1,FALSE))</f>
        <v>70.98</v>
      </c>
      <c r="AM208">
        <f ca="1">IF(AND(ISNUMBER($AM$447),$B$258=1),$AM$447,HLOOKUP(INDIRECT(ADDRESS(2,COLUMN())),OFFSET($BN$2,0,0,ROW()-1,60),ROW()-1,FALSE))</f>
        <v>70.628</v>
      </c>
      <c r="AN208">
        <f ca="1">IF(AND(ISNUMBER($AN$447),$B$258=1),$AN$447,HLOOKUP(INDIRECT(ADDRESS(2,COLUMN())),OFFSET($BN$2,0,0,ROW()-1,60),ROW()-1,FALSE))</f>
        <v>68.28</v>
      </c>
      <c r="AO208">
        <f ca="1">IF(AND(ISNUMBER($AO$447),$B$258=1),$AO$447,HLOOKUP(INDIRECT(ADDRESS(2,COLUMN())),OFFSET($BN$2,0,0,ROW()-1,60),ROW()-1,FALSE))</f>
        <v>70.313000000000002</v>
      </c>
      <c r="AP208">
        <f ca="1">IF(AND(ISNUMBER($AP$447),$B$258=1),$AP$447,HLOOKUP(INDIRECT(ADDRESS(2,COLUMN())),OFFSET($BN$2,0,0,ROW()-1,60),ROW()-1,FALSE))</f>
        <v>125.28100000000001</v>
      </c>
      <c r="AQ208">
        <f ca="1">IF(AND(ISNUMBER($AQ$447),$B$258=1),$AQ$447,HLOOKUP(INDIRECT(ADDRESS(2,COLUMN())),OFFSET($BN$2,0,0,ROW()-1,60),ROW()-1,FALSE))</f>
        <v>71.161000000000001</v>
      </c>
      <c r="AR208">
        <f ca="1">IF(AND(ISNUMBER($AR$447),$B$258=1),$AR$447,HLOOKUP(INDIRECT(ADDRESS(2,COLUMN())),OFFSET($BN$2,0,0,ROW()-1,60),ROW()-1,FALSE))</f>
        <v>15.391</v>
      </c>
      <c r="AS208">
        <f ca="1">IF(AND(ISNUMBER($AS$447),$B$258=1),$AS$447,HLOOKUP(INDIRECT(ADDRESS(2,COLUMN())),OFFSET($BN$2,0,0,ROW()-1,60),ROW()-1,FALSE))</f>
        <v>7.0720000000000001</v>
      </c>
      <c r="AT208">
        <f ca="1">IF(AND(ISNUMBER($AT$447),$B$258=1),$AT$447,HLOOKUP(INDIRECT(ADDRESS(2,COLUMN())),OFFSET($BN$2,0,0,ROW()-1,60),ROW()-1,FALSE))</f>
        <v>7.6539999999999999</v>
      </c>
      <c r="AU208">
        <f ca="1">IF(AND(ISNUMBER($AU$447),$B$258=1),$AU$447,HLOOKUP(INDIRECT(ADDRESS(2,COLUMN())),OFFSET($BN$2,0,0,ROW()-1,60),ROW()-1,FALSE))</f>
        <v>8.0299999999999994</v>
      </c>
      <c r="AV208">
        <f ca="1">IF(AND(ISNUMBER($AV$447),$B$258=1),$AV$447,HLOOKUP(INDIRECT(ADDRESS(2,COLUMN())),OFFSET($BN$2,0,0,ROW()-1,60),ROW()-1,FALSE))</f>
        <v>10.78</v>
      </c>
      <c r="AW208">
        <f ca="1">IF(AND(ISNUMBER($AW$447),$B$258=1),$AW$447,HLOOKUP(INDIRECT(ADDRESS(2,COLUMN())),OFFSET($BN$2,0,0,ROW()-1,60),ROW()-1,FALSE))</f>
        <v>7.0170000000000003</v>
      </c>
      <c r="AX208">
        <f ca="1">IF(AND(ISNUMBER($AX$447),$B$258=1),$AX$447,HLOOKUP(INDIRECT(ADDRESS(2,COLUMN())),OFFSET($BN$2,0,0,ROW()-1,60),ROW()-1,FALSE))</f>
        <v>9.0120000000000005</v>
      </c>
      <c r="AY208">
        <f ca="1">IF(AND(ISNUMBER($AY$447),$B$258=1),$AY$447,HLOOKUP(INDIRECT(ADDRESS(2,COLUMN())),OFFSET($BN$2,0,0,ROW()-1,60),ROW()-1,FALSE))</f>
        <v>2.948</v>
      </c>
      <c r="AZ208">
        <f ca="1">IF(AND(ISNUMBER($AZ$447),$B$258=1),$AZ$447,HLOOKUP(INDIRECT(ADDRESS(2,COLUMN())),OFFSET($BN$2,0,0,ROW()-1,60),ROW()-1,FALSE))</f>
        <v>7.8209999999999997</v>
      </c>
      <c r="BA208">
        <f ca="1">IF(AND(ISNUMBER($BA$447),$B$258=1),$BA$447,HLOOKUP(INDIRECT(ADDRESS(2,COLUMN())),OFFSET($BN$2,0,0,ROW()-1,60),ROW()-1,FALSE))</f>
        <v>3.6469999999999998</v>
      </c>
      <c r="BB208">
        <f ca="1">IF(AND(ISNUMBER($BB$447),$B$258=1),$BB$447,HLOOKUP(INDIRECT(ADDRESS(2,COLUMN())),OFFSET($BN$2,0,0,ROW()-1,60),ROW()-1,FALSE))</f>
        <v>3.43</v>
      </c>
      <c r="BC208">
        <f ca="1">IF(AND(ISNUMBER($BC$447),$B$258=1),$BC$447,HLOOKUP(INDIRECT(ADDRESS(2,COLUMN())),OFFSET($BN$2,0,0,ROW()-1,60),ROW()-1,FALSE))</f>
        <v>3.911</v>
      </c>
      <c r="BD208">
        <f ca="1">IF(AND(ISNUMBER($BD$447),$B$258=1),$BD$447,HLOOKUP(INDIRECT(ADDRESS(2,COLUMN())),OFFSET($BN$2,0,0,ROW()-1,60),ROW()-1,FALSE))</f>
        <v>4.5510000000000002</v>
      </c>
      <c r="BE208">
        <f ca="1">IF(AND(ISNUMBER($BE$447),$B$258=1),$BE$447,HLOOKUP(INDIRECT(ADDRESS(2,COLUMN())),OFFSET($BN$2,0,0,ROW()-1,60),ROW()-1,FALSE))</f>
        <v>2.39</v>
      </c>
      <c r="BF208">
        <f ca="1">IF(AND(ISNUMBER($BF$447),$B$258=1),$BF$447,HLOOKUP(INDIRECT(ADDRESS(2,COLUMN())),OFFSET($BN$2,0,0,ROW()-1,60),ROW()-1,FALSE))</f>
        <v>3.77</v>
      </c>
      <c r="BG208">
        <f ca="1">IF(AND(ISNUMBER($BG$447),$B$258=1),$BG$447,HLOOKUP(INDIRECT(ADDRESS(2,COLUMN())),OFFSET($BN$2,0,0,ROW()-1,60),ROW()-1,FALSE))</f>
        <v>3.1579999999999999</v>
      </c>
      <c r="BH208">
        <f ca="1">IF(AND(ISNUMBER($BH$447),$B$258=1),$BH$447,HLOOKUP(INDIRECT(ADDRESS(2,COLUMN())),OFFSET($BN$2,0,0,ROW()-1,60),ROW()-1,FALSE))</f>
        <v>5.33</v>
      </c>
      <c r="BI208">
        <f ca="1">IF(AND(ISNUMBER($BI$447),$B$258=1),$BI$447,HLOOKUP(INDIRECT(ADDRESS(2,COLUMN())),OFFSET($BN$2,0,0,ROW()-1,60),ROW()-1,FALSE))</f>
        <v>3.03</v>
      </c>
      <c r="BJ208">
        <f ca="1">IF(AND(ISNUMBER($BJ$447),$B$258=1),$BJ$447,HLOOKUP(INDIRECT(ADDRESS(2,COLUMN())),OFFSET($BN$2,0,0,ROW()-1,60),ROW()-1,FALSE))</f>
        <v>4.3559999999999999</v>
      </c>
      <c r="BK208">
        <f ca="1">IF(AND(ISNUMBER($BK$447),$B$258=1),$BK$447,HLOOKUP(INDIRECT(ADDRESS(2,COLUMN())),OFFSET($BN$2,0,0,ROW()-1,60),ROW()-1,FALSE))</f>
        <v>4.9850000000000003</v>
      </c>
      <c r="BL208">
        <f ca="1">IF(AND(ISNUMBER($BL$447),$B$258=1),$BL$447,HLOOKUP(INDIRECT(ADDRESS(2,COLUMN())),OFFSET($BN$2,0,0,ROW()-1,60),ROW()-1,FALSE))</f>
        <v>3.2250000000000001</v>
      </c>
      <c r="BM208">
        <f ca="1">IF(AND(ISNUMBER($BM$447),$B$258=1),$BM$447,HLOOKUP(INDIRECT(ADDRESS(2,COLUMN())),OFFSET($BN$2,0,0,ROW()-1,60),ROW()-1,FALSE))</f>
        <v>3.9980000000000002</v>
      </c>
      <c r="BN208" t="str">
        <f>""</f>
        <v/>
      </c>
      <c r="BO208">
        <f>254.381</f>
        <v>254.381</v>
      </c>
      <c r="BP208">
        <f>118.562</f>
        <v>118.562</v>
      </c>
      <c r="BQ208">
        <f>124.877</f>
        <v>124.877</v>
      </c>
      <c r="BR208">
        <f>151.209</f>
        <v>151.209</v>
      </c>
      <c r="BS208">
        <f>125.032</f>
        <v>125.032</v>
      </c>
      <c r="BT208">
        <f>157.928</f>
        <v>157.928</v>
      </c>
      <c r="BU208">
        <f>256</f>
        <v>256</v>
      </c>
      <c r="BV208">
        <f>146.197</f>
        <v>146.197</v>
      </c>
      <c r="BW208">
        <f>125.098</f>
        <v>125.098</v>
      </c>
      <c r="BX208">
        <f>76.383</f>
        <v>76.382999999999996</v>
      </c>
      <c r="BY208">
        <f>68.617</f>
        <v>68.617000000000004</v>
      </c>
      <c r="BZ208">
        <f>90.641</f>
        <v>90.641000000000005</v>
      </c>
      <c r="CA208">
        <f>86.011</f>
        <v>86.010999999999996</v>
      </c>
      <c r="CB208">
        <f>67.023</f>
        <v>67.022999999999996</v>
      </c>
      <c r="CC208">
        <f>61.701</f>
        <v>61.701000000000001</v>
      </c>
      <c r="CD208">
        <f>74.97</f>
        <v>74.97</v>
      </c>
      <c r="CE208">
        <f>57.696</f>
        <v>57.695999999999998</v>
      </c>
      <c r="CF208">
        <f>53.839</f>
        <v>53.838999999999999</v>
      </c>
      <c r="CG208">
        <f>302.205</f>
        <v>302.20499999999998</v>
      </c>
      <c r="CH208">
        <f>87.001</f>
        <v>87.001000000000005</v>
      </c>
      <c r="CI208">
        <f>140.971</f>
        <v>140.971</v>
      </c>
      <c r="CJ208">
        <f>94.904</f>
        <v>94.903999999999996</v>
      </c>
      <c r="CK208">
        <f>80.937</f>
        <v>80.936999999999998</v>
      </c>
      <c r="CL208">
        <f>77.361</f>
        <v>77.361000000000004</v>
      </c>
      <c r="CM208">
        <f>78.539</f>
        <v>78.539000000000001</v>
      </c>
      <c r="CN208">
        <f>73.056</f>
        <v>73.055999999999997</v>
      </c>
      <c r="CO208">
        <f>60.925</f>
        <v>60.924999999999997</v>
      </c>
      <c r="CP208">
        <f>78.196</f>
        <v>78.195999999999998</v>
      </c>
      <c r="CQ208">
        <f>91.232</f>
        <v>91.231999999999999</v>
      </c>
      <c r="CR208">
        <f>110.811</f>
        <v>110.81100000000001</v>
      </c>
      <c r="CS208">
        <f>73.254</f>
        <v>73.254000000000005</v>
      </c>
      <c r="CT208">
        <f>70.98</f>
        <v>70.98</v>
      </c>
      <c r="CU208">
        <f>70.628</f>
        <v>70.628</v>
      </c>
      <c r="CV208">
        <f>68.28</f>
        <v>68.28</v>
      </c>
      <c r="CW208">
        <f>70.313</f>
        <v>70.313000000000002</v>
      </c>
      <c r="CX208">
        <f>125.281</f>
        <v>125.28100000000001</v>
      </c>
      <c r="CY208">
        <f>71.161</f>
        <v>71.161000000000001</v>
      </c>
      <c r="CZ208">
        <f>15.391</f>
        <v>15.391</v>
      </c>
      <c r="DA208">
        <f>7.072</f>
        <v>7.0720000000000001</v>
      </c>
      <c r="DB208">
        <f>7.654</f>
        <v>7.6539999999999999</v>
      </c>
      <c r="DC208">
        <f>8.03</f>
        <v>8.0299999999999994</v>
      </c>
      <c r="DD208">
        <f>10.78</f>
        <v>10.78</v>
      </c>
      <c r="DE208">
        <f>7.017</f>
        <v>7.0170000000000003</v>
      </c>
      <c r="DF208">
        <f>9.012</f>
        <v>9.0120000000000005</v>
      </c>
      <c r="DG208">
        <f>2.948</f>
        <v>2.948</v>
      </c>
      <c r="DH208">
        <f>7.821</f>
        <v>7.8209999999999997</v>
      </c>
      <c r="DI208">
        <f>3.647</f>
        <v>3.6469999999999998</v>
      </c>
      <c r="DJ208">
        <f>3.43</f>
        <v>3.43</v>
      </c>
      <c r="DK208">
        <f>3.911</f>
        <v>3.911</v>
      </c>
      <c r="DL208">
        <f>4.551</f>
        <v>4.5510000000000002</v>
      </c>
      <c r="DM208">
        <f>2.39</f>
        <v>2.39</v>
      </c>
      <c r="DN208">
        <f>3.77</f>
        <v>3.77</v>
      </c>
      <c r="DO208">
        <f>3.158</f>
        <v>3.1579999999999999</v>
      </c>
      <c r="DP208">
        <f>5.33</f>
        <v>5.33</v>
      </c>
      <c r="DQ208">
        <f>3.03</f>
        <v>3.03</v>
      </c>
      <c r="DR208">
        <f>4.356</f>
        <v>4.3559999999999999</v>
      </c>
      <c r="DS208">
        <f>4.985</f>
        <v>4.9850000000000003</v>
      </c>
      <c r="DT208">
        <f>3.225</f>
        <v>3.2250000000000001</v>
      </c>
      <c r="DU208">
        <f>3.998</f>
        <v>3.9980000000000002</v>
      </c>
    </row>
    <row r="209" spans="1:125">
      <c r="A209" t="str">
        <f>"    Care Capital Properties Inc"</f>
        <v xml:space="preserve">    Care Capital Properties Inc</v>
      </c>
      <c r="B209" t="str">
        <f>"CCP US Equity"</f>
        <v>CCP US Equity</v>
      </c>
      <c r="C209" t="str">
        <f t="shared" si="51"/>
        <v>RR253</v>
      </c>
      <c r="D209" t="str">
        <f t="shared" si="52"/>
        <v>CASH_AND_MARKETABLE_SECURITIES</v>
      </c>
      <c r="E209" t="str">
        <f t="shared" si="53"/>
        <v>动态</v>
      </c>
      <c r="F209" t="str">
        <f ca="1">IF(AND(ISNUMBER($F$448),$B$258=1),$F$448,HLOOKUP(INDIRECT(ADDRESS(2,COLUMN())),OFFSET($BN$2,0,0,ROW()-1,60),ROW()-1,FALSE))</f>
        <v/>
      </c>
      <c r="G209" t="str">
        <f ca="1">IF(AND(ISNUMBER($G$448),$B$258=1),$G$448,HLOOKUP(INDIRECT(ADDRESS(2,COLUMN())),OFFSET($BN$2,0,0,ROW()-1,60),ROW()-1,FALSE))</f>
        <v/>
      </c>
      <c r="H209" t="str">
        <f ca="1">IF(AND(ISNUMBER($H$448),$B$258=1),$H$448,HLOOKUP(INDIRECT(ADDRESS(2,COLUMN())),OFFSET($BN$2,0,0,ROW()-1,60),ROW()-1,FALSE))</f>
        <v/>
      </c>
      <c r="I209">
        <f ca="1">IF(AND(ISNUMBER($I$448),$B$258=1),$I$448,HLOOKUP(INDIRECT(ADDRESS(2,COLUMN())),OFFSET($BN$2,0,0,ROW()-1,60),ROW()-1,FALSE))</f>
        <v>12.093999999999999</v>
      </c>
      <c r="J209">
        <f ca="1">IF(AND(ISNUMBER($J$448),$B$258=1),$J$448,HLOOKUP(INDIRECT(ADDRESS(2,COLUMN())),OFFSET($BN$2,0,0,ROW()-1,60),ROW()-1,FALSE))</f>
        <v>17.890999999999998</v>
      </c>
      <c r="K209">
        <f ca="1">IF(AND(ISNUMBER($K$448),$B$258=1),$K$448,HLOOKUP(INDIRECT(ADDRESS(2,COLUMN())),OFFSET($BN$2,0,0,ROW()-1,60),ROW()-1,FALSE))</f>
        <v>15.813000000000001</v>
      </c>
      <c r="L209">
        <f ca="1">IF(AND(ISNUMBER($L$448),$B$258=1),$L$448,HLOOKUP(INDIRECT(ADDRESS(2,COLUMN())),OFFSET($BN$2,0,0,ROW()-1,60),ROW()-1,FALSE))</f>
        <v>22.477</v>
      </c>
      <c r="M209">
        <f ca="1">IF(AND(ISNUMBER($M$448),$B$258=1),$M$448,HLOOKUP(INDIRECT(ADDRESS(2,COLUMN())),OFFSET($BN$2,0,0,ROW()-1,60),ROW()-1,FALSE))</f>
        <v>12.914</v>
      </c>
      <c r="N209">
        <f ca="1">IF(AND(ISNUMBER($N$448),$B$258=1),$N$448,HLOOKUP(INDIRECT(ADDRESS(2,COLUMN())),OFFSET($BN$2,0,0,ROW()-1,60),ROW()-1,FALSE))</f>
        <v>12.548</v>
      </c>
      <c r="O209">
        <f ca="1">IF(AND(ISNUMBER($O$448),$B$258=1),$O$448,HLOOKUP(INDIRECT(ADDRESS(2,COLUMN())),OFFSET($BN$2,0,0,ROW()-1,60),ROW()-1,FALSE))</f>
        <v>16.995000000000001</v>
      </c>
      <c r="P209">
        <f ca="1">IF(AND(ISNUMBER($P$448),$B$258=1),$P$448,HLOOKUP(INDIRECT(ADDRESS(2,COLUMN())),OFFSET($BN$2,0,0,ROW()-1,60),ROW()-1,FALSE))</f>
        <v>10.444000000000001</v>
      </c>
      <c r="Q209">
        <f ca="1">IF(AND(ISNUMBER($Q$448),$B$258=1),$Q$448,HLOOKUP(INDIRECT(ADDRESS(2,COLUMN())),OFFSET($BN$2,0,0,ROW()-1,60),ROW()-1,FALSE))</f>
        <v>1.4970000000000001</v>
      </c>
      <c r="R209" t="str">
        <f ca="1">IF(AND(ISNUMBER($R$448),$B$258=1),$R$448,HLOOKUP(INDIRECT(ADDRESS(2,COLUMN())),OFFSET($BN$2,0,0,ROW()-1,60),ROW()-1,FALSE))</f>
        <v/>
      </c>
      <c r="S209" t="str">
        <f ca="1">IF(AND(ISNUMBER($S$448),$B$258=1),$S$448,HLOOKUP(INDIRECT(ADDRESS(2,COLUMN())),OFFSET($BN$2,0,0,ROW()-1,60),ROW()-1,FALSE))</f>
        <v/>
      </c>
      <c r="T209" t="str">
        <f ca="1">IF(AND(ISNUMBER($T$448),$B$258=1),$T$448,HLOOKUP(INDIRECT(ADDRESS(2,COLUMN())),OFFSET($BN$2,0,0,ROW()-1,60),ROW()-1,FALSE))</f>
        <v/>
      </c>
      <c r="U209" t="str">
        <f ca="1">IF(AND(ISNUMBER($U$448),$B$258=1),$U$448,HLOOKUP(INDIRECT(ADDRESS(2,COLUMN())),OFFSET($BN$2,0,0,ROW()-1,60),ROW()-1,FALSE))</f>
        <v/>
      </c>
      <c r="V209" t="str">
        <f ca="1">IF(AND(ISNUMBER($V$448),$B$258=1),$V$448,HLOOKUP(INDIRECT(ADDRESS(2,COLUMN())),OFFSET($BN$2,0,0,ROW()-1,60),ROW()-1,FALSE))</f>
        <v/>
      </c>
      <c r="W209" t="str">
        <f ca="1">IF(AND(ISNUMBER($W$448),$B$258=1),$W$448,HLOOKUP(INDIRECT(ADDRESS(2,COLUMN())),OFFSET($BN$2,0,0,ROW()-1,60),ROW()-1,FALSE))</f>
        <v/>
      </c>
      <c r="X209" t="str">
        <f ca="1">IF(AND(ISNUMBER($X$448),$B$258=1),$X$448,HLOOKUP(INDIRECT(ADDRESS(2,COLUMN())),OFFSET($BN$2,0,0,ROW()-1,60),ROW()-1,FALSE))</f>
        <v/>
      </c>
      <c r="Y209" t="str">
        <f ca="1">IF(AND(ISNUMBER($Y$448),$B$258=1),$Y$448,HLOOKUP(INDIRECT(ADDRESS(2,COLUMN())),OFFSET($BN$2,0,0,ROW()-1,60),ROW()-1,FALSE))</f>
        <v/>
      </c>
      <c r="Z209" t="str">
        <f ca="1">IF(AND(ISNUMBER($Z$448),$B$258=1),$Z$448,HLOOKUP(INDIRECT(ADDRESS(2,COLUMN())),OFFSET($BN$2,0,0,ROW()-1,60),ROW()-1,FALSE))</f>
        <v/>
      </c>
      <c r="AA209" t="str">
        <f ca="1">IF(AND(ISNUMBER($AA$448),$B$258=1),$AA$448,HLOOKUP(INDIRECT(ADDRESS(2,COLUMN())),OFFSET($BN$2,0,0,ROW()-1,60),ROW()-1,FALSE))</f>
        <v/>
      </c>
      <c r="AB209" t="str">
        <f ca="1">IF(AND(ISNUMBER($AB$448),$B$258=1),$AB$448,HLOOKUP(INDIRECT(ADDRESS(2,COLUMN())),OFFSET($BN$2,0,0,ROW()-1,60),ROW()-1,FALSE))</f>
        <v/>
      </c>
      <c r="AC209" t="str">
        <f ca="1">IF(AND(ISNUMBER($AC$448),$B$258=1),$AC$448,HLOOKUP(INDIRECT(ADDRESS(2,COLUMN())),OFFSET($BN$2,0,0,ROW()-1,60),ROW()-1,FALSE))</f>
        <v/>
      </c>
      <c r="AD209" t="str">
        <f ca="1">IF(AND(ISNUMBER($AD$448),$B$258=1),$AD$448,HLOOKUP(INDIRECT(ADDRESS(2,COLUMN())),OFFSET($BN$2,0,0,ROW()-1,60),ROW()-1,FALSE))</f>
        <v/>
      </c>
      <c r="AE209" t="str">
        <f ca="1">IF(AND(ISNUMBER($AE$448),$B$258=1),$AE$448,HLOOKUP(INDIRECT(ADDRESS(2,COLUMN())),OFFSET($BN$2,0,0,ROW()-1,60),ROW()-1,FALSE))</f>
        <v/>
      </c>
      <c r="AF209" t="str">
        <f ca="1">IF(AND(ISNUMBER($AF$448),$B$258=1),$AF$448,HLOOKUP(INDIRECT(ADDRESS(2,COLUMN())),OFFSET($BN$2,0,0,ROW()-1,60),ROW()-1,FALSE))</f>
        <v/>
      </c>
      <c r="AG209" t="str">
        <f ca="1">IF(AND(ISNUMBER($AG$448),$B$258=1),$AG$448,HLOOKUP(INDIRECT(ADDRESS(2,COLUMN())),OFFSET($BN$2,0,0,ROW()-1,60),ROW()-1,FALSE))</f>
        <v/>
      </c>
      <c r="AH209" t="str">
        <f ca="1">IF(AND(ISNUMBER($AH$448),$B$258=1),$AH$448,HLOOKUP(INDIRECT(ADDRESS(2,COLUMN())),OFFSET($BN$2,0,0,ROW()-1,60),ROW()-1,FALSE))</f>
        <v/>
      </c>
      <c r="AI209" t="str">
        <f ca="1">IF(AND(ISNUMBER($AI$448),$B$258=1),$AI$448,HLOOKUP(INDIRECT(ADDRESS(2,COLUMN())),OFFSET($BN$2,0,0,ROW()-1,60),ROW()-1,FALSE))</f>
        <v/>
      </c>
      <c r="AJ209" t="str">
        <f ca="1">IF(AND(ISNUMBER($AJ$448),$B$258=1),$AJ$448,HLOOKUP(INDIRECT(ADDRESS(2,COLUMN())),OFFSET($BN$2,0,0,ROW()-1,60),ROW()-1,FALSE))</f>
        <v/>
      </c>
      <c r="AK209" t="str">
        <f ca="1">IF(AND(ISNUMBER($AK$448),$B$258=1),$AK$448,HLOOKUP(INDIRECT(ADDRESS(2,COLUMN())),OFFSET($BN$2,0,0,ROW()-1,60),ROW()-1,FALSE))</f>
        <v/>
      </c>
      <c r="AL209" t="str">
        <f ca="1">IF(AND(ISNUMBER($AL$448),$B$258=1),$AL$448,HLOOKUP(INDIRECT(ADDRESS(2,COLUMN())),OFFSET($BN$2,0,0,ROW()-1,60),ROW()-1,FALSE))</f>
        <v/>
      </c>
      <c r="AM209" t="str">
        <f ca="1">IF(AND(ISNUMBER($AM$448),$B$258=1),$AM$448,HLOOKUP(INDIRECT(ADDRESS(2,COLUMN())),OFFSET($BN$2,0,0,ROW()-1,60),ROW()-1,FALSE))</f>
        <v/>
      </c>
      <c r="AN209" t="str">
        <f ca="1">IF(AND(ISNUMBER($AN$448),$B$258=1),$AN$448,HLOOKUP(INDIRECT(ADDRESS(2,COLUMN())),OFFSET($BN$2,0,0,ROW()-1,60),ROW()-1,FALSE))</f>
        <v/>
      </c>
      <c r="AO209" t="str">
        <f ca="1">IF(AND(ISNUMBER($AO$448),$B$258=1),$AO$448,HLOOKUP(INDIRECT(ADDRESS(2,COLUMN())),OFFSET($BN$2,0,0,ROW()-1,60),ROW()-1,FALSE))</f>
        <v/>
      </c>
      <c r="AP209" t="str">
        <f ca="1">IF(AND(ISNUMBER($AP$448),$B$258=1),$AP$448,HLOOKUP(INDIRECT(ADDRESS(2,COLUMN())),OFFSET($BN$2,0,0,ROW()-1,60),ROW()-1,FALSE))</f>
        <v/>
      </c>
      <c r="AQ209" t="str">
        <f ca="1">IF(AND(ISNUMBER($AQ$448),$B$258=1),$AQ$448,HLOOKUP(INDIRECT(ADDRESS(2,COLUMN())),OFFSET($BN$2,0,0,ROW()-1,60),ROW()-1,FALSE))</f>
        <v/>
      </c>
      <c r="AR209" t="str">
        <f ca="1">IF(AND(ISNUMBER($AR$448),$B$258=1),$AR$448,HLOOKUP(INDIRECT(ADDRESS(2,COLUMN())),OFFSET($BN$2,0,0,ROW()-1,60),ROW()-1,FALSE))</f>
        <v/>
      </c>
      <c r="AS209" t="str">
        <f ca="1">IF(AND(ISNUMBER($AS$448),$B$258=1),$AS$448,HLOOKUP(INDIRECT(ADDRESS(2,COLUMN())),OFFSET($BN$2,0,0,ROW()-1,60),ROW()-1,FALSE))</f>
        <v/>
      </c>
      <c r="AT209" t="str">
        <f ca="1">IF(AND(ISNUMBER($AT$448),$B$258=1),$AT$448,HLOOKUP(INDIRECT(ADDRESS(2,COLUMN())),OFFSET($BN$2,0,0,ROW()-1,60),ROW()-1,FALSE))</f>
        <v/>
      </c>
      <c r="AU209" t="str">
        <f ca="1">IF(AND(ISNUMBER($AU$448),$B$258=1),$AU$448,HLOOKUP(INDIRECT(ADDRESS(2,COLUMN())),OFFSET($BN$2,0,0,ROW()-1,60),ROW()-1,FALSE))</f>
        <v/>
      </c>
      <c r="AV209" t="str">
        <f ca="1">IF(AND(ISNUMBER($AV$448),$B$258=1),$AV$448,HLOOKUP(INDIRECT(ADDRESS(2,COLUMN())),OFFSET($BN$2,0,0,ROW()-1,60),ROW()-1,FALSE))</f>
        <v/>
      </c>
      <c r="AW209" t="str">
        <f ca="1">IF(AND(ISNUMBER($AW$448),$B$258=1),$AW$448,HLOOKUP(INDIRECT(ADDRESS(2,COLUMN())),OFFSET($BN$2,0,0,ROW()-1,60),ROW()-1,FALSE))</f>
        <v/>
      </c>
      <c r="AX209" t="str">
        <f ca="1">IF(AND(ISNUMBER($AX$448),$B$258=1),$AX$448,HLOOKUP(INDIRECT(ADDRESS(2,COLUMN())),OFFSET($BN$2,0,0,ROW()-1,60),ROW()-1,FALSE))</f>
        <v/>
      </c>
      <c r="AY209" t="str">
        <f ca="1">IF(AND(ISNUMBER($AY$448),$B$258=1),$AY$448,HLOOKUP(INDIRECT(ADDRESS(2,COLUMN())),OFFSET($BN$2,0,0,ROW()-1,60),ROW()-1,FALSE))</f>
        <v/>
      </c>
      <c r="AZ209" t="str">
        <f ca="1">IF(AND(ISNUMBER($AZ$448),$B$258=1),$AZ$448,HLOOKUP(INDIRECT(ADDRESS(2,COLUMN())),OFFSET($BN$2,0,0,ROW()-1,60),ROW()-1,FALSE))</f>
        <v/>
      </c>
      <c r="BA209" t="str">
        <f ca="1">IF(AND(ISNUMBER($BA$448),$B$258=1),$BA$448,HLOOKUP(INDIRECT(ADDRESS(2,COLUMN())),OFFSET($BN$2,0,0,ROW()-1,60),ROW()-1,FALSE))</f>
        <v/>
      </c>
      <c r="BB209" t="str">
        <f ca="1">IF(AND(ISNUMBER($BB$448),$B$258=1),$BB$448,HLOOKUP(INDIRECT(ADDRESS(2,COLUMN())),OFFSET($BN$2,0,0,ROW()-1,60),ROW()-1,FALSE))</f>
        <v/>
      </c>
      <c r="BC209" t="str">
        <f ca="1">IF(AND(ISNUMBER($BC$448),$B$258=1),$BC$448,HLOOKUP(INDIRECT(ADDRESS(2,COLUMN())),OFFSET($BN$2,0,0,ROW()-1,60),ROW()-1,FALSE))</f>
        <v/>
      </c>
      <c r="BD209" t="str">
        <f ca="1">IF(AND(ISNUMBER($BD$448),$B$258=1),$BD$448,HLOOKUP(INDIRECT(ADDRESS(2,COLUMN())),OFFSET($BN$2,0,0,ROW()-1,60),ROW()-1,FALSE))</f>
        <v/>
      </c>
      <c r="BE209" t="str">
        <f ca="1">IF(AND(ISNUMBER($BE$448),$B$258=1),$BE$448,HLOOKUP(INDIRECT(ADDRESS(2,COLUMN())),OFFSET($BN$2,0,0,ROW()-1,60),ROW()-1,FALSE))</f>
        <v/>
      </c>
      <c r="BF209" t="str">
        <f ca="1">IF(AND(ISNUMBER($BF$448),$B$258=1),$BF$448,HLOOKUP(INDIRECT(ADDRESS(2,COLUMN())),OFFSET($BN$2,0,0,ROW()-1,60),ROW()-1,FALSE))</f>
        <v/>
      </c>
      <c r="BG209" t="str">
        <f ca="1">IF(AND(ISNUMBER($BG$448),$B$258=1),$BG$448,HLOOKUP(INDIRECT(ADDRESS(2,COLUMN())),OFFSET($BN$2,0,0,ROW()-1,60),ROW()-1,FALSE))</f>
        <v/>
      </c>
      <c r="BH209" t="str">
        <f ca="1">IF(AND(ISNUMBER($BH$448),$B$258=1),$BH$448,HLOOKUP(INDIRECT(ADDRESS(2,COLUMN())),OFFSET($BN$2,0,0,ROW()-1,60),ROW()-1,FALSE))</f>
        <v/>
      </c>
      <c r="BI209" t="str">
        <f ca="1">IF(AND(ISNUMBER($BI$448),$B$258=1),$BI$448,HLOOKUP(INDIRECT(ADDRESS(2,COLUMN())),OFFSET($BN$2,0,0,ROW()-1,60),ROW()-1,FALSE))</f>
        <v/>
      </c>
      <c r="BJ209" t="str">
        <f ca="1">IF(AND(ISNUMBER($BJ$448),$B$258=1),$BJ$448,HLOOKUP(INDIRECT(ADDRESS(2,COLUMN())),OFFSET($BN$2,0,0,ROW()-1,60),ROW()-1,FALSE))</f>
        <v/>
      </c>
      <c r="BK209" t="str">
        <f ca="1">IF(AND(ISNUMBER($BK$448),$B$258=1),$BK$448,HLOOKUP(INDIRECT(ADDRESS(2,COLUMN())),OFFSET($BN$2,0,0,ROW()-1,60),ROW()-1,FALSE))</f>
        <v/>
      </c>
      <c r="BL209" t="str">
        <f ca="1">IF(AND(ISNUMBER($BL$448),$B$258=1),$BL$448,HLOOKUP(INDIRECT(ADDRESS(2,COLUMN())),OFFSET($BN$2,0,0,ROW()-1,60),ROW()-1,FALSE))</f>
        <v/>
      </c>
      <c r="BM209" t="str">
        <f ca="1">IF(AND(ISNUMBER($BM$448),$B$258=1),$BM$448,HLOOKUP(INDIRECT(ADDRESS(2,COLUMN())),OFFSET($BN$2,0,0,ROW()-1,60),ROW()-1,FALSE))</f>
        <v/>
      </c>
      <c r="BN209" t="str">
        <f>""</f>
        <v/>
      </c>
      <c r="BO209" t="str">
        <f>""</f>
        <v/>
      </c>
      <c r="BP209" t="str">
        <f>""</f>
        <v/>
      </c>
      <c r="BQ209">
        <f>12.094</f>
        <v>12.093999999999999</v>
      </c>
      <c r="BR209">
        <f>17.891</f>
        <v>17.890999999999998</v>
      </c>
      <c r="BS209">
        <f>15.813</f>
        <v>15.813000000000001</v>
      </c>
      <c r="BT209">
        <f>22.477</f>
        <v>22.477</v>
      </c>
      <c r="BU209">
        <f>12.914</f>
        <v>12.914</v>
      </c>
      <c r="BV209">
        <f>12.548</f>
        <v>12.548</v>
      </c>
      <c r="BW209">
        <f>16.995</f>
        <v>16.995000000000001</v>
      </c>
      <c r="BX209">
        <f>10.444</f>
        <v>10.444000000000001</v>
      </c>
      <c r="BY209">
        <f>1.497</f>
        <v>1.4970000000000001</v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1:125">
      <c r="A210" t="str">
        <f>"    HCP Inc"</f>
        <v xml:space="preserve">    HCP Inc</v>
      </c>
      <c r="B210" t="str">
        <f>"HCP US Equity"</f>
        <v>HCP US Equity</v>
      </c>
      <c r="C210" t="str">
        <f t="shared" si="51"/>
        <v>RR253</v>
      </c>
      <c r="D210" t="str">
        <f t="shared" si="52"/>
        <v>CASH_AND_MARKETABLE_SECURITIES</v>
      </c>
      <c r="E210" t="str">
        <f t="shared" si="53"/>
        <v>动态</v>
      </c>
      <c r="F210" t="str">
        <f ca="1">IF(AND(ISNUMBER($F$449),$B$258=1),$F$449,HLOOKUP(INDIRECT(ADDRESS(2,COLUMN())),OFFSET($BN$2,0,0,ROW()-1,60),ROW()-1,FALSE))</f>
        <v/>
      </c>
      <c r="G210">
        <f ca="1">IF(AND(ISNUMBER($G$449),$B$258=1),$G$449,HLOOKUP(INDIRECT(ADDRESS(2,COLUMN())),OFFSET($BN$2,0,0,ROW()-1,60),ROW()-1,FALSE))</f>
        <v>55.305999999999997</v>
      </c>
      <c r="H210">
        <f ca="1">IF(AND(ISNUMBER($H$449),$B$258=1),$H$449,HLOOKUP(INDIRECT(ADDRESS(2,COLUMN())),OFFSET($BN$2,0,0,ROW()-1,60),ROW()-1,FALSE))</f>
        <v>133.887</v>
      </c>
      <c r="I210">
        <f ca="1">IF(AND(ISNUMBER($I$449),$B$258=1),$I$449,HLOOKUP(INDIRECT(ADDRESS(2,COLUMN())),OFFSET($BN$2,0,0,ROW()-1,60),ROW()-1,FALSE))</f>
        <v>391.96499999999997</v>
      </c>
      <c r="J210">
        <f ca="1">IF(AND(ISNUMBER($J$449),$B$258=1),$J$449,HLOOKUP(INDIRECT(ADDRESS(2,COLUMN())),OFFSET($BN$2,0,0,ROW()-1,60),ROW()-1,FALSE))</f>
        <v>764.11400000000003</v>
      </c>
      <c r="K210">
        <f ca="1">IF(AND(ISNUMBER($K$449),$B$258=1),$K$449,HLOOKUP(INDIRECT(ADDRESS(2,COLUMN())),OFFSET($BN$2,0,0,ROW()-1,60),ROW()-1,FALSE))</f>
        <v>94.73</v>
      </c>
      <c r="L210">
        <f ca="1">IF(AND(ISNUMBER($L$449),$B$258=1),$L$449,HLOOKUP(INDIRECT(ADDRESS(2,COLUMN())),OFFSET($BN$2,0,0,ROW()-1,60),ROW()-1,FALSE))</f>
        <v>132.89099999999999</v>
      </c>
      <c r="M210">
        <f ca="1">IF(AND(ISNUMBER($M$449),$B$258=1),$M$449,HLOOKUP(INDIRECT(ADDRESS(2,COLUMN())),OFFSET($BN$2,0,0,ROW()-1,60),ROW()-1,FALSE))</f>
        <v>116.45</v>
      </c>
      <c r="N210">
        <f ca="1">IF(AND(ISNUMBER($N$449),$B$258=1),$N$449,HLOOKUP(INDIRECT(ADDRESS(2,COLUMN())),OFFSET($BN$2,0,0,ROW()-1,60),ROW()-1,FALSE))</f>
        <v>94.665000000000006</v>
      </c>
      <c r="O210">
        <f ca="1">IF(AND(ISNUMBER($O$449),$B$258=1),$O$449,HLOOKUP(INDIRECT(ADDRESS(2,COLUMN())),OFFSET($BN$2,0,0,ROW()-1,60),ROW()-1,FALSE))</f>
        <v>340.44200000000001</v>
      </c>
      <c r="P210">
        <f ca="1">IF(AND(ISNUMBER($P$449),$B$258=1),$P$449,HLOOKUP(INDIRECT(ADDRESS(2,COLUMN())),OFFSET($BN$2,0,0,ROW()-1,60),ROW()-1,FALSE))</f>
        <v>120.498</v>
      </c>
      <c r="Q210">
        <f ca="1">IF(AND(ISNUMBER($Q$449),$B$258=1),$Q$449,HLOOKUP(INDIRECT(ADDRESS(2,COLUMN())),OFFSET($BN$2,0,0,ROW()-1,60),ROW()-1,FALSE))</f>
        <v>115.77</v>
      </c>
      <c r="R210">
        <f ca="1">IF(AND(ISNUMBER($R$449),$B$258=1),$R$449,HLOOKUP(INDIRECT(ADDRESS(2,COLUMN())),OFFSET($BN$2,0,0,ROW()-1,60),ROW()-1,FALSE))</f>
        <v>137.16999999999999</v>
      </c>
      <c r="S210">
        <f ca="1">IF(AND(ISNUMBER($S$449),$B$258=1),$S$449,HLOOKUP(INDIRECT(ADDRESS(2,COLUMN())),OFFSET($BN$2,0,0,ROW()-1,60),ROW()-1,FALSE))</f>
        <v>183.81</v>
      </c>
      <c r="T210">
        <f ca="1">IF(AND(ISNUMBER($T$449),$B$258=1),$T$449,HLOOKUP(INDIRECT(ADDRESS(2,COLUMN())),OFFSET($BN$2,0,0,ROW()-1,60),ROW()-1,FALSE))</f>
        <v>83.531000000000006</v>
      </c>
      <c r="U210">
        <f ca="1">IF(AND(ISNUMBER($U$449),$B$258=1),$U$449,HLOOKUP(INDIRECT(ADDRESS(2,COLUMN())),OFFSET($BN$2,0,0,ROW()-1,60),ROW()-1,FALSE))</f>
        <v>54.07</v>
      </c>
      <c r="V210">
        <f ca="1">IF(AND(ISNUMBER($V$449),$B$258=1),$V$449,HLOOKUP(INDIRECT(ADDRESS(2,COLUMN())),OFFSET($BN$2,0,0,ROW()-1,60),ROW()-1,FALSE))</f>
        <v>49.738</v>
      </c>
      <c r="W210">
        <f ca="1">IF(AND(ISNUMBER($W$449),$B$258=1),$W$449,HLOOKUP(INDIRECT(ADDRESS(2,COLUMN())),OFFSET($BN$2,0,0,ROW()-1,60),ROW()-1,FALSE))</f>
        <v>300.55599999999998</v>
      </c>
      <c r="X210">
        <f ca="1">IF(AND(ISNUMBER($X$449),$B$258=1),$X$449,HLOOKUP(INDIRECT(ADDRESS(2,COLUMN())),OFFSET($BN$2,0,0,ROW()-1,60),ROW()-1,FALSE))</f>
        <v>49.414000000000001</v>
      </c>
      <c r="Y210">
        <f ca="1">IF(AND(ISNUMBER($Y$449),$B$258=1),$Y$449,HLOOKUP(INDIRECT(ADDRESS(2,COLUMN())),OFFSET($BN$2,0,0,ROW()-1,60),ROW()-1,FALSE))</f>
        <v>53.113999999999997</v>
      </c>
      <c r="Z210">
        <f ca="1">IF(AND(ISNUMBER($Z$449),$B$258=1),$Z$449,HLOOKUP(INDIRECT(ADDRESS(2,COLUMN())),OFFSET($BN$2,0,0,ROW()-1,60),ROW()-1,FALSE))</f>
        <v>47.546999999999997</v>
      </c>
      <c r="AA210">
        <f ca="1">IF(AND(ISNUMBER($AA$449),$B$258=1),$AA$449,HLOOKUP(INDIRECT(ADDRESS(2,COLUMN())),OFFSET($BN$2,0,0,ROW()-1,60),ROW()-1,FALSE))</f>
        <v>247.673</v>
      </c>
      <c r="AB210">
        <f ca="1">IF(AND(ISNUMBER($AB$449),$B$258=1),$AB$449,HLOOKUP(INDIRECT(ADDRESS(2,COLUMN())),OFFSET($BN$2,0,0,ROW()-1,60),ROW()-1,FALSE))</f>
        <v>96.475999999999999</v>
      </c>
      <c r="AC210">
        <f ca="1">IF(AND(ISNUMBER($AC$449),$B$258=1),$AC$449,HLOOKUP(INDIRECT(ADDRESS(2,COLUMN())),OFFSET($BN$2,0,0,ROW()-1,60),ROW()-1,FALSE))</f>
        <v>169.636</v>
      </c>
      <c r="AD210">
        <f ca="1">IF(AND(ISNUMBER($AD$449),$B$258=1),$AD$449,HLOOKUP(INDIRECT(ADDRESS(2,COLUMN())),OFFSET($BN$2,0,0,ROW()-1,60),ROW()-1,FALSE))</f>
        <v>347.42500000000001</v>
      </c>
      <c r="AE210">
        <f ca="1">IF(AND(ISNUMBER($AE$449),$B$258=1),$AE$449,HLOOKUP(INDIRECT(ADDRESS(2,COLUMN())),OFFSET($BN$2,0,0,ROW()-1,60),ROW()-1,FALSE))</f>
        <v>33.506</v>
      </c>
      <c r="AF210">
        <f ca="1">IF(AND(ISNUMBER($AF$449),$B$258=1),$AF$449,HLOOKUP(INDIRECT(ADDRESS(2,COLUMN())),OFFSET($BN$2,0,0,ROW()-1,60),ROW()-1,FALSE))</f>
        <v>44.86</v>
      </c>
      <c r="AG210">
        <f ca="1">IF(AND(ISNUMBER($AG$449),$B$258=1),$AG$449,HLOOKUP(INDIRECT(ADDRESS(2,COLUMN())),OFFSET($BN$2,0,0,ROW()-1,60),ROW()-1,FALSE))</f>
        <v>276.20499999999998</v>
      </c>
      <c r="AH210">
        <f ca="1">IF(AND(ISNUMBER($AH$449),$B$258=1),$AH$449,HLOOKUP(INDIRECT(ADDRESS(2,COLUMN())),OFFSET($BN$2,0,0,ROW()-1,60),ROW()-1,FALSE))</f>
        <v>3988.6219999999998</v>
      </c>
      <c r="AI210">
        <f ca="1">IF(AND(ISNUMBER($AI$449),$B$258=1),$AI$449,HLOOKUP(INDIRECT(ADDRESS(2,COLUMN())),OFFSET($BN$2,0,0,ROW()-1,60),ROW()-1,FALSE))</f>
        <v>1036.701</v>
      </c>
      <c r="AJ210">
        <f ca="1">IF(AND(ISNUMBER($AJ$449),$B$258=1),$AJ$449,HLOOKUP(INDIRECT(ADDRESS(2,COLUMN())),OFFSET($BN$2,0,0,ROW()-1,60),ROW()-1,FALSE))</f>
        <v>52.634999999999998</v>
      </c>
      <c r="AK210">
        <f ca="1">IF(AND(ISNUMBER($AK$449),$B$258=1),$AK$449,HLOOKUP(INDIRECT(ADDRESS(2,COLUMN())),OFFSET($BN$2,0,0,ROW()-1,60),ROW()-1,FALSE))</f>
        <v>96.26</v>
      </c>
      <c r="AL210">
        <f ca="1">IF(AND(ISNUMBER($AL$449),$B$258=1),$AL$449,HLOOKUP(INDIRECT(ADDRESS(2,COLUMN())),OFFSET($BN$2,0,0,ROW()-1,60),ROW()-1,FALSE))</f>
        <v>44.603999999999999</v>
      </c>
      <c r="AM210">
        <f ca="1">IF(AND(ISNUMBER($AM$449),$B$258=1),$AM$449,HLOOKUP(INDIRECT(ADDRESS(2,COLUMN())),OFFSET($BN$2,0,0,ROW()-1,60),ROW()-1,FALSE))</f>
        <v>112.259</v>
      </c>
      <c r="AN210">
        <f ca="1">IF(AND(ISNUMBER($AN$449),$B$258=1),$AN$449,HLOOKUP(INDIRECT(ADDRESS(2,COLUMN())),OFFSET($BN$2,0,0,ROW()-1,60),ROW()-1,FALSE))</f>
        <v>144.36600000000001</v>
      </c>
      <c r="AO210">
        <f ca="1">IF(AND(ISNUMBER($AO$449),$B$258=1),$AO$449,HLOOKUP(INDIRECT(ADDRESS(2,COLUMN())),OFFSET($BN$2,0,0,ROW()-1,60),ROW()-1,FALSE))</f>
        <v>49.484000000000002</v>
      </c>
      <c r="AP210">
        <f ca="1">IF(AND(ISNUMBER($AP$449),$B$258=1),$AP$449,HLOOKUP(INDIRECT(ADDRESS(2,COLUMN())),OFFSET($BN$2,0,0,ROW()-1,60),ROW()-1,FALSE))</f>
        <v>66.376000000000005</v>
      </c>
      <c r="AQ210">
        <f ca="1">IF(AND(ISNUMBER($AQ$449),$B$258=1),$AQ$449,HLOOKUP(INDIRECT(ADDRESS(2,COLUMN())),OFFSET($BN$2,0,0,ROW()-1,60),ROW()-1,FALSE))</f>
        <v>57.561999999999998</v>
      </c>
      <c r="AR210">
        <f ca="1">IF(AND(ISNUMBER($AR$449),$B$258=1),$AR$449,HLOOKUP(INDIRECT(ADDRESS(2,COLUMN())),OFFSET($BN$2,0,0,ROW()-1,60),ROW()-1,FALSE))</f>
        <v>117.05200000000001</v>
      </c>
      <c r="AS210">
        <f ca="1">IF(AND(ISNUMBER($AS$449),$B$258=1),$AS$449,HLOOKUP(INDIRECT(ADDRESS(2,COLUMN())),OFFSET($BN$2,0,0,ROW()-1,60),ROW()-1,FALSE))</f>
        <v>216.78899999999999</v>
      </c>
      <c r="AT210">
        <f ca="1">IF(AND(ISNUMBER($AT$449),$B$258=1),$AT$449,HLOOKUP(INDIRECT(ADDRESS(2,COLUMN())),OFFSET($BN$2,0,0,ROW()-1,60),ROW()-1,FALSE))</f>
        <v>154</v>
      </c>
      <c r="AU210">
        <f ca="1">IF(AND(ISNUMBER($AU$449),$B$258=1),$AU$449,HLOOKUP(INDIRECT(ADDRESS(2,COLUMN())),OFFSET($BN$2,0,0,ROW()-1,60),ROW()-1,FALSE))</f>
        <v>96.269000000000005</v>
      </c>
      <c r="AV210">
        <f ca="1">IF(AND(ISNUMBER($AV$449),$B$258=1),$AV$449,HLOOKUP(INDIRECT(ADDRESS(2,COLUMN())),OFFSET($BN$2,0,0,ROW()-1,60),ROW()-1,FALSE))</f>
        <v>568.85299999999995</v>
      </c>
      <c r="AW210">
        <f ca="1">IF(AND(ISNUMBER($AW$449),$B$258=1),$AW$449,HLOOKUP(INDIRECT(ADDRESS(2,COLUMN())),OFFSET($BN$2,0,0,ROW()-1,60),ROW()-1,FALSE))</f>
        <v>351.21699999999998</v>
      </c>
      <c r="AX210">
        <f ca="1">IF(AND(ISNUMBER($AX$449),$B$258=1),$AX$449,HLOOKUP(INDIRECT(ADDRESS(2,COLUMN())),OFFSET($BN$2,0,0,ROW()-1,60),ROW()-1,FALSE))</f>
        <v>102.923</v>
      </c>
      <c r="AY210">
        <f ca="1">IF(AND(ISNUMBER($AY$449),$B$258=1),$AY$449,HLOOKUP(INDIRECT(ADDRESS(2,COLUMN())),OFFSET($BN$2,0,0,ROW()-1,60),ROW()-1,FALSE))</f>
        <v>60.686999999999998</v>
      </c>
      <c r="AZ210">
        <f ca="1">IF(AND(ISNUMBER($AZ$449),$B$258=1),$AZ$449,HLOOKUP(INDIRECT(ADDRESS(2,COLUMN())),OFFSET($BN$2,0,0,ROW()-1,60),ROW()-1,FALSE))</f>
        <v>645.36300000000006</v>
      </c>
      <c r="BA210">
        <f ca="1">IF(AND(ISNUMBER($BA$449),$B$258=1),$BA$449,HLOOKUP(INDIRECT(ADDRESS(2,COLUMN())),OFFSET($BN$2,0,0,ROW()-1,60),ROW()-1,FALSE))</f>
        <v>21.475999999999999</v>
      </c>
      <c r="BB210">
        <f ca="1">IF(AND(ISNUMBER($BB$449),$B$258=1),$BB$449,HLOOKUP(INDIRECT(ADDRESS(2,COLUMN())),OFFSET($BN$2,0,0,ROW()-1,60),ROW()-1,FALSE))</f>
        <v>55.957000000000001</v>
      </c>
      <c r="BC210">
        <f ca="1">IF(AND(ISNUMBER($BC$449),$B$258=1),$BC$449,HLOOKUP(INDIRECT(ADDRESS(2,COLUMN())),OFFSET($BN$2,0,0,ROW()-1,60),ROW()-1,FALSE))</f>
        <v>21.341999999999999</v>
      </c>
      <c r="BD210">
        <f ca="1">IF(AND(ISNUMBER($BD$449),$B$258=1),$BD$449,HLOOKUP(INDIRECT(ADDRESS(2,COLUMN())),OFFSET($BN$2,0,0,ROW()-1,60),ROW()-1,FALSE))</f>
        <v>38.173999999999999</v>
      </c>
      <c r="BE210">
        <f ca="1">IF(AND(ISNUMBER($BE$449),$B$258=1),$BE$449,HLOOKUP(INDIRECT(ADDRESS(2,COLUMN())),OFFSET($BN$2,0,0,ROW()-1,60),ROW()-1,FALSE))</f>
        <v>18.89</v>
      </c>
      <c r="BF210">
        <f ca="1">IF(AND(ISNUMBER($BF$449),$B$258=1),$BF$449,HLOOKUP(INDIRECT(ADDRESS(2,COLUMN())),OFFSET($BN$2,0,0,ROW()-1,60),ROW()-1,FALSE))</f>
        <v>17.806999999999999</v>
      </c>
      <c r="BG210">
        <f ca="1">IF(AND(ISNUMBER($BG$449),$B$258=1),$BG$449,HLOOKUP(INDIRECT(ADDRESS(2,COLUMN())),OFFSET($BN$2,0,0,ROW()-1,60),ROW()-1,FALSE))</f>
        <v>16.962</v>
      </c>
      <c r="BH210">
        <f ca="1">IF(AND(ISNUMBER($BH$449),$B$258=1),$BH$449,HLOOKUP(INDIRECT(ADDRESS(2,COLUMN())),OFFSET($BN$2,0,0,ROW()-1,60),ROW()-1,FALSE))</f>
        <v>11.369</v>
      </c>
      <c r="BI210">
        <f ca="1">IF(AND(ISNUMBER($BI$449),$B$258=1),$BI$449,HLOOKUP(INDIRECT(ADDRESS(2,COLUMN())),OFFSET($BN$2,0,0,ROW()-1,60),ROW()-1,FALSE))</f>
        <v>11.548999999999999</v>
      </c>
      <c r="BJ210">
        <f ca="1">IF(AND(ISNUMBER($BJ$449),$B$258=1),$BJ$449,HLOOKUP(INDIRECT(ADDRESS(2,COLUMN())),OFFSET($BN$2,0,0,ROW()-1,60),ROW()-1,FALSE))</f>
        <v>28.132000000000001</v>
      </c>
      <c r="BK210" t="str">
        <f ca="1">IF(AND(ISNUMBER($BK$449),$B$258=1),$BK$449,HLOOKUP(INDIRECT(ADDRESS(2,COLUMN())),OFFSET($BN$2,0,0,ROW()-1,60),ROW()-1,FALSE))</f>
        <v/>
      </c>
      <c r="BL210">
        <f ca="1">IF(AND(ISNUMBER($BL$449),$B$258=1),$BL$449,HLOOKUP(INDIRECT(ADDRESS(2,COLUMN())),OFFSET($BN$2,0,0,ROW()-1,60),ROW()-1,FALSE))</f>
        <v>9.7059999999999995</v>
      </c>
      <c r="BM210">
        <f ca="1">IF(AND(ISNUMBER($BM$449),$B$258=1),$BM$449,HLOOKUP(INDIRECT(ADDRESS(2,COLUMN())),OFFSET($BN$2,0,0,ROW()-1,60),ROW()-1,FALSE))</f>
        <v>11.558999999999999</v>
      </c>
      <c r="BN210" t="str">
        <f>""</f>
        <v/>
      </c>
      <c r="BO210">
        <f>55.306</f>
        <v>55.305999999999997</v>
      </c>
      <c r="BP210">
        <f>133.887</f>
        <v>133.887</v>
      </c>
      <c r="BQ210">
        <f>391.965</f>
        <v>391.96499999999997</v>
      </c>
      <c r="BR210">
        <f>764.114</f>
        <v>764.11400000000003</v>
      </c>
      <c r="BS210">
        <f>94.73</f>
        <v>94.73</v>
      </c>
      <c r="BT210">
        <f>132.891</f>
        <v>132.89099999999999</v>
      </c>
      <c r="BU210">
        <f>116.45</f>
        <v>116.45</v>
      </c>
      <c r="BV210">
        <f>94.665</f>
        <v>94.665000000000006</v>
      </c>
      <c r="BW210">
        <f>340.442</f>
        <v>340.44200000000001</v>
      </c>
      <c r="BX210">
        <f>120.498</f>
        <v>120.498</v>
      </c>
      <c r="BY210">
        <f>115.77</f>
        <v>115.77</v>
      </c>
      <c r="BZ210">
        <f>137.17</f>
        <v>137.16999999999999</v>
      </c>
      <c r="CA210">
        <f>183.81</f>
        <v>183.81</v>
      </c>
      <c r="CB210">
        <f>83.531</f>
        <v>83.531000000000006</v>
      </c>
      <c r="CC210">
        <f>54.07</f>
        <v>54.07</v>
      </c>
      <c r="CD210">
        <f>49.738</f>
        <v>49.738</v>
      </c>
      <c r="CE210">
        <f>300.556</f>
        <v>300.55599999999998</v>
      </c>
      <c r="CF210">
        <f>49.414</f>
        <v>49.414000000000001</v>
      </c>
      <c r="CG210">
        <f>53.114</f>
        <v>53.113999999999997</v>
      </c>
      <c r="CH210">
        <f>47.547</f>
        <v>47.546999999999997</v>
      </c>
      <c r="CI210">
        <f>247.673</f>
        <v>247.673</v>
      </c>
      <c r="CJ210">
        <f>96.476</f>
        <v>96.475999999999999</v>
      </c>
      <c r="CK210">
        <f>169.636</f>
        <v>169.636</v>
      </c>
      <c r="CL210">
        <f>347.425</f>
        <v>347.42500000000001</v>
      </c>
      <c r="CM210">
        <f>33.506</f>
        <v>33.506</v>
      </c>
      <c r="CN210">
        <f>44.86</f>
        <v>44.86</v>
      </c>
      <c r="CO210">
        <f>276.205</f>
        <v>276.20499999999998</v>
      </c>
      <c r="CP210">
        <f>3988.622</f>
        <v>3988.6219999999998</v>
      </c>
      <c r="CQ210">
        <f>1036.701</f>
        <v>1036.701</v>
      </c>
      <c r="CR210">
        <f>52.635</f>
        <v>52.634999999999998</v>
      </c>
      <c r="CS210">
        <f>96.26</f>
        <v>96.26</v>
      </c>
      <c r="CT210">
        <f>44.604</f>
        <v>44.603999999999999</v>
      </c>
      <c r="CU210">
        <f>112.259</f>
        <v>112.259</v>
      </c>
      <c r="CV210">
        <f>144.366</f>
        <v>144.36600000000001</v>
      </c>
      <c r="CW210">
        <f>49.484</f>
        <v>49.484000000000002</v>
      </c>
      <c r="CX210">
        <f>66.376</f>
        <v>66.376000000000005</v>
      </c>
      <c r="CY210">
        <f>57.562</f>
        <v>57.561999999999998</v>
      </c>
      <c r="CZ210">
        <f>117.052</f>
        <v>117.05200000000001</v>
      </c>
      <c r="DA210">
        <f>216.789</f>
        <v>216.78899999999999</v>
      </c>
      <c r="DB210">
        <f>154</f>
        <v>154</v>
      </c>
      <c r="DC210">
        <f>96.269</f>
        <v>96.269000000000005</v>
      </c>
      <c r="DD210">
        <f>568.853</f>
        <v>568.85299999999995</v>
      </c>
      <c r="DE210">
        <f>351.217</f>
        <v>351.21699999999998</v>
      </c>
      <c r="DF210">
        <f>102.923</f>
        <v>102.923</v>
      </c>
      <c r="DG210">
        <f>60.687</f>
        <v>60.686999999999998</v>
      </c>
      <c r="DH210">
        <f>645.363</f>
        <v>645.36300000000006</v>
      </c>
      <c r="DI210">
        <f>21.476</f>
        <v>21.475999999999999</v>
      </c>
      <c r="DJ210">
        <f>55.957</f>
        <v>55.957000000000001</v>
      </c>
      <c r="DK210">
        <f>21.342</f>
        <v>21.341999999999999</v>
      </c>
      <c r="DL210">
        <f>38.174</f>
        <v>38.173999999999999</v>
      </c>
      <c r="DM210">
        <f>18.89</f>
        <v>18.89</v>
      </c>
      <c r="DN210">
        <f>17.807</f>
        <v>17.806999999999999</v>
      </c>
      <c r="DO210">
        <f>16.962</f>
        <v>16.962</v>
      </c>
      <c r="DP210">
        <f>11.369</f>
        <v>11.369</v>
      </c>
      <c r="DQ210">
        <f>11.549</f>
        <v>11.548999999999999</v>
      </c>
      <c r="DR210">
        <f>28.132</f>
        <v>28.132000000000001</v>
      </c>
      <c r="DS210" t="str">
        <f>""</f>
        <v/>
      </c>
      <c r="DT210">
        <f>9.706</f>
        <v>9.7059999999999995</v>
      </c>
      <c r="DU210">
        <f>11.559</f>
        <v>11.558999999999999</v>
      </c>
    </row>
    <row r="211" spans="1:125">
      <c r="A211" t="str">
        <f>"    Healthcare Realty Trust Inc"</f>
        <v xml:space="preserve">    Healthcare Realty Trust Inc</v>
      </c>
      <c r="B211" t="str">
        <f>"HR US Equity"</f>
        <v>HR US Equity</v>
      </c>
      <c r="C211" t="str">
        <f t="shared" si="51"/>
        <v>RR253</v>
      </c>
      <c r="D211" t="str">
        <f t="shared" si="52"/>
        <v>CASH_AND_MARKETABLE_SECURITIES</v>
      </c>
      <c r="E211" t="str">
        <f t="shared" si="53"/>
        <v>动态</v>
      </c>
      <c r="F211" t="str">
        <f ca="1">IF(AND(ISNUMBER($F$450),$B$258=1),$F$450,HLOOKUP(INDIRECT(ADDRESS(2,COLUMN())),OFFSET($BN$2,0,0,ROW()-1,60),ROW()-1,FALSE))</f>
        <v/>
      </c>
      <c r="G211">
        <f ca="1">IF(AND(ISNUMBER($G$450),$B$258=1),$G$450,HLOOKUP(INDIRECT(ADDRESS(2,COLUMN())),OFFSET($BN$2,0,0,ROW()-1,60),ROW()-1,FALSE))</f>
        <v>6.2149999999999999</v>
      </c>
      <c r="H211">
        <f ca="1">IF(AND(ISNUMBER($H$450),$B$258=1),$H$450,HLOOKUP(INDIRECT(ADDRESS(2,COLUMN())),OFFSET($BN$2,0,0,ROW()-1,60),ROW()-1,FALSE))</f>
        <v>196.98099999999999</v>
      </c>
      <c r="I211">
        <f ca="1">IF(AND(ISNUMBER($I$450),$B$258=1),$I$450,HLOOKUP(INDIRECT(ADDRESS(2,COLUMN())),OFFSET($BN$2,0,0,ROW()-1,60),ROW()-1,FALSE))</f>
        <v>2.0329999999999999</v>
      </c>
      <c r="J211">
        <f ca="1">IF(AND(ISNUMBER($J$450),$B$258=1),$J$450,HLOOKUP(INDIRECT(ADDRESS(2,COLUMN())),OFFSET($BN$2,0,0,ROW()-1,60),ROW()-1,FALSE))</f>
        <v>1.478</v>
      </c>
      <c r="K211">
        <f ca="1">IF(AND(ISNUMBER($K$450),$B$258=1),$K$450,HLOOKUP(INDIRECT(ADDRESS(2,COLUMN())),OFFSET($BN$2,0,0,ROW()-1,60),ROW()-1,FALSE))</f>
        <v>5.4089999999999998</v>
      </c>
      <c r="L211">
        <f ca="1">IF(AND(ISNUMBER($L$450),$B$258=1),$L$450,HLOOKUP(INDIRECT(ADDRESS(2,COLUMN())),OFFSET($BN$2,0,0,ROW()-1,60),ROW()-1,FALSE))</f>
        <v>12.648999999999999</v>
      </c>
      <c r="M211">
        <f ca="1">IF(AND(ISNUMBER($M$450),$B$258=1),$M$450,HLOOKUP(INDIRECT(ADDRESS(2,COLUMN())),OFFSET($BN$2,0,0,ROW()-1,60),ROW()-1,FALSE))</f>
        <v>9.0259999999999998</v>
      </c>
      <c r="N211">
        <f ca="1">IF(AND(ISNUMBER($N$450),$B$258=1),$N$450,HLOOKUP(INDIRECT(ADDRESS(2,COLUMN())),OFFSET($BN$2,0,0,ROW()-1,60),ROW()-1,FALSE))</f>
        <v>2.1739999999999999</v>
      </c>
      <c r="O211">
        <f ca="1">IF(AND(ISNUMBER($O$450),$B$258=1),$O$450,HLOOKUP(INDIRECT(ADDRESS(2,COLUMN())),OFFSET($BN$2,0,0,ROW()-1,60),ROW()-1,FALSE))</f>
        <v>4.1020000000000003</v>
      </c>
      <c r="P211">
        <f ca="1">IF(AND(ISNUMBER($P$450),$B$258=1),$P$450,HLOOKUP(INDIRECT(ADDRESS(2,COLUMN())),OFFSET($BN$2,0,0,ROW()-1,60),ROW()-1,FALSE))</f>
        <v>8.4969999999999999</v>
      </c>
      <c r="Q211">
        <f ca="1">IF(AND(ISNUMBER($Q$450),$B$258=1),$Q$450,HLOOKUP(INDIRECT(ADDRESS(2,COLUMN())),OFFSET($BN$2,0,0,ROW()-1,60),ROW()-1,FALSE))</f>
        <v>8.4309999999999992</v>
      </c>
      <c r="R211">
        <f ca="1">IF(AND(ISNUMBER($R$450),$B$258=1),$R$450,HLOOKUP(INDIRECT(ADDRESS(2,COLUMN())),OFFSET($BN$2,0,0,ROW()-1,60),ROW()-1,FALSE))</f>
        <v>10.417</v>
      </c>
      <c r="S211">
        <f ca="1">IF(AND(ISNUMBER($S$450),$B$258=1),$S$450,HLOOKUP(INDIRECT(ADDRESS(2,COLUMN())),OFFSET($BN$2,0,0,ROW()-1,60),ROW()-1,FALSE))</f>
        <v>3.5190000000000001</v>
      </c>
      <c r="T211">
        <f ca="1">IF(AND(ISNUMBER($T$450),$B$258=1),$T$450,HLOOKUP(INDIRECT(ADDRESS(2,COLUMN())),OFFSET($BN$2,0,0,ROW()-1,60),ROW()-1,FALSE))</f>
        <v>1.6839999999999999</v>
      </c>
      <c r="U211">
        <f ca="1">IF(AND(ISNUMBER($U$450),$B$258=1),$U$450,HLOOKUP(INDIRECT(ADDRESS(2,COLUMN())),OFFSET($BN$2,0,0,ROW()-1,60),ROW()-1,FALSE))</f>
        <v>17.523</v>
      </c>
      <c r="V211">
        <f ca="1">IF(AND(ISNUMBER($V$450),$B$258=1),$V$450,HLOOKUP(INDIRECT(ADDRESS(2,COLUMN())),OFFSET($BN$2,0,0,ROW()-1,60),ROW()-1,FALSE))</f>
        <v>10.169</v>
      </c>
      <c r="W211">
        <f ca="1">IF(AND(ISNUMBER($W$450),$B$258=1),$W$450,HLOOKUP(INDIRECT(ADDRESS(2,COLUMN())),OFFSET($BN$2,0,0,ROW()-1,60),ROW()-1,FALSE))</f>
        <v>8.6709999999999994</v>
      </c>
      <c r="X211">
        <f ca="1">IF(AND(ISNUMBER($X$450),$B$258=1),$X$450,HLOOKUP(INDIRECT(ADDRESS(2,COLUMN())),OFFSET($BN$2,0,0,ROW()-1,60),ROW()-1,FALSE))</f>
        <v>7.16</v>
      </c>
      <c r="Y211">
        <f ca="1">IF(AND(ISNUMBER($Y$450),$B$258=1),$Y$450,HLOOKUP(INDIRECT(ADDRESS(2,COLUMN())),OFFSET($BN$2,0,0,ROW()-1,60),ROW()-1,FALSE))</f>
        <v>1.1519999999999999</v>
      </c>
      <c r="Z211">
        <f ca="1">IF(AND(ISNUMBER($Z$450),$B$258=1),$Z$450,HLOOKUP(INDIRECT(ADDRESS(2,COLUMN())),OFFSET($BN$2,0,0,ROW()-1,60),ROW()-1,FALSE))</f>
        <v>94.171000000000006</v>
      </c>
      <c r="AA211">
        <f ca="1">IF(AND(ISNUMBER($AA$450),$B$258=1),$AA$450,HLOOKUP(INDIRECT(ADDRESS(2,COLUMN())),OFFSET($BN$2,0,0,ROW()-1,60),ROW()-1,FALSE))</f>
        <v>6.7759999999999998</v>
      </c>
      <c r="AB211">
        <f ca="1">IF(AND(ISNUMBER($AB$450),$B$258=1),$AB$450,HLOOKUP(INDIRECT(ADDRESS(2,COLUMN())),OFFSET($BN$2,0,0,ROW()-1,60),ROW()-1,FALSE))</f>
        <v>8.7810000000000006</v>
      </c>
      <c r="AC211">
        <f ca="1">IF(AND(ISNUMBER($AC$450),$B$258=1),$AC$450,HLOOKUP(INDIRECT(ADDRESS(2,COLUMN())),OFFSET($BN$2,0,0,ROW()-1,60),ROW()-1,FALSE))</f>
        <v>3.1030000000000002</v>
      </c>
      <c r="AD211">
        <f ca="1">IF(AND(ISNUMBER($AD$450),$B$258=1),$AD$450,HLOOKUP(INDIRECT(ADDRESS(2,COLUMN())),OFFSET($BN$2,0,0,ROW()-1,60),ROW()-1,FALSE))</f>
        <v>6.61</v>
      </c>
      <c r="AE211">
        <f ca="1">IF(AND(ISNUMBER($AE$450),$B$258=1),$AE$450,HLOOKUP(INDIRECT(ADDRESS(2,COLUMN())),OFFSET($BN$2,0,0,ROW()-1,60),ROW()-1,FALSE))</f>
        <v>4.7380000000000004</v>
      </c>
      <c r="AF211">
        <f ca="1">IF(AND(ISNUMBER($AF$450),$B$258=1),$AF$450,HLOOKUP(INDIRECT(ADDRESS(2,COLUMN())),OFFSET($BN$2,0,0,ROW()-1,60),ROW()-1,FALSE))</f>
        <v>4.0540000000000003</v>
      </c>
      <c r="AG211">
        <f ca="1">IF(AND(ISNUMBER($AG$450),$B$258=1),$AG$450,HLOOKUP(INDIRECT(ADDRESS(2,COLUMN())),OFFSET($BN$2,0,0,ROW()-1,60),ROW()-1,FALSE))</f>
        <v>17.776</v>
      </c>
      <c r="AH211">
        <f ca="1">IF(AND(ISNUMBER($AH$450),$B$258=1),$AH$450,HLOOKUP(INDIRECT(ADDRESS(2,COLUMN())),OFFSET($BN$2,0,0,ROW()-1,60),ROW()-1,FALSE))</f>
        <v>3.0070000000000001</v>
      </c>
      <c r="AI211">
        <f ca="1">IF(AND(ISNUMBER($AI$450),$B$258=1),$AI$450,HLOOKUP(INDIRECT(ADDRESS(2,COLUMN())),OFFSET($BN$2,0,0,ROW()-1,60),ROW()-1,FALSE))</f>
        <v>113.321</v>
      </c>
      <c r="AJ211">
        <f ca="1">IF(AND(ISNUMBER($AJ$450),$B$258=1),$AJ$450,HLOOKUP(INDIRECT(ADDRESS(2,COLUMN())),OFFSET($BN$2,0,0,ROW()-1,60),ROW()-1,FALSE))</f>
        <v>11.177</v>
      </c>
      <c r="AK211">
        <f ca="1">IF(AND(ISNUMBER($AK$450),$B$258=1),$AK$450,HLOOKUP(INDIRECT(ADDRESS(2,COLUMN())),OFFSET($BN$2,0,0,ROW()-1,60),ROW()-1,FALSE))</f>
        <v>4.4550000000000001</v>
      </c>
      <c r="AL211">
        <f ca="1">IF(AND(ISNUMBER($AL$450),$B$258=1),$AL$450,HLOOKUP(INDIRECT(ADDRESS(2,COLUMN())),OFFSET($BN$2,0,0,ROW()-1,60),ROW()-1,FALSE))</f>
        <v>11.045</v>
      </c>
      <c r="AM211">
        <f ca="1">IF(AND(ISNUMBER($AM$450),$B$258=1),$AM$450,HLOOKUP(INDIRECT(ADDRESS(2,COLUMN())),OFFSET($BN$2,0,0,ROW()-1,60),ROW()-1,FALSE))</f>
        <v>5.851</v>
      </c>
      <c r="AN211">
        <f ca="1">IF(AND(ISNUMBER($AN$450),$B$258=1),$AN$450,HLOOKUP(INDIRECT(ADDRESS(2,COLUMN())),OFFSET($BN$2,0,0,ROW()-1,60),ROW()-1,FALSE))</f>
        <v>5.0880000000000001</v>
      </c>
      <c r="AO211">
        <f ca="1">IF(AND(ISNUMBER($AO$450),$B$258=1),$AO$450,HLOOKUP(INDIRECT(ADDRESS(2,COLUMN())),OFFSET($BN$2,0,0,ROW()-1,60),ROW()-1,FALSE))</f>
        <v>4.7069999999999999</v>
      </c>
      <c r="AP211">
        <f ca="1">IF(AND(ISNUMBER($AP$450),$B$258=1),$AP$450,HLOOKUP(INDIRECT(ADDRESS(2,COLUMN())),OFFSET($BN$2,0,0,ROW()-1,60),ROW()-1,FALSE))</f>
        <v>12.375999999999999</v>
      </c>
      <c r="AQ211">
        <f ca="1">IF(AND(ISNUMBER($AQ$450),$B$258=1),$AQ$450,HLOOKUP(INDIRECT(ADDRESS(2,COLUMN())),OFFSET($BN$2,0,0,ROW()-1,60),ROW()-1,FALSE))</f>
        <v>4.1379999999999999</v>
      </c>
      <c r="AR211">
        <f ca="1">IF(AND(ISNUMBER($AR$450),$B$258=1),$AR$450,HLOOKUP(INDIRECT(ADDRESS(2,COLUMN())),OFFSET($BN$2,0,0,ROW()-1,60),ROW()-1,FALSE))</f>
        <v>5.1559999999999997</v>
      </c>
      <c r="AS211">
        <f ca="1">IF(AND(ISNUMBER($AS$450),$B$258=1),$AS$450,HLOOKUP(INDIRECT(ADDRESS(2,COLUMN())),OFFSET($BN$2,0,0,ROW()-1,60),ROW()-1,FALSE))</f>
        <v>4.8819999999999997</v>
      </c>
      <c r="AT211">
        <f ca="1">IF(AND(ISNUMBER($AT$450),$B$258=1),$AT$450,HLOOKUP(INDIRECT(ADDRESS(2,COLUMN())),OFFSET($BN$2,0,0,ROW()-1,60),ROW()-1,FALSE))</f>
        <v>11.068</v>
      </c>
      <c r="AU211">
        <f ca="1">IF(AND(ISNUMBER($AU$450),$B$258=1),$AU$450,HLOOKUP(INDIRECT(ADDRESS(2,COLUMN())),OFFSET($BN$2,0,0,ROW()-1,60),ROW()-1,FALSE))</f>
        <v>8.5190000000000001</v>
      </c>
      <c r="AV211">
        <f ca="1">IF(AND(ISNUMBER($AV$450),$B$258=1),$AV$450,HLOOKUP(INDIRECT(ADDRESS(2,COLUMN())),OFFSET($BN$2,0,0,ROW()-1,60),ROW()-1,FALSE))</f>
        <v>16.12</v>
      </c>
      <c r="AW211">
        <f ca="1">IF(AND(ISNUMBER($AW$450),$B$258=1),$AW$450,HLOOKUP(INDIRECT(ADDRESS(2,COLUMN())),OFFSET($BN$2,0,0,ROW()-1,60),ROW()-1,FALSE))</f>
        <v>0.64200000000000002</v>
      </c>
      <c r="AX211">
        <f ca="1">IF(AND(ISNUMBER($AX$450),$B$258=1),$AX$450,HLOOKUP(INDIRECT(ADDRESS(2,COLUMN())),OFFSET($BN$2,0,0,ROW()-1,60),ROW()-1,FALSE))</f>
        <v>3.8330000000000002</v>
      </c>
      <c r="AY211">
        <f ca="1">IF(AND(ISNUMBER($AY$450),$B$258=1),$AY$450,HLOOKUP(INDIRECT(ADDRESS(2,COLUMN())),OFFSET($BN$2,0,0,ROW()-1,60),ROW()-1,FALSE))</f>
        <v>1.95</v>
      </c>
      <c r="AZ211">
        <f ca="1">IF(AND(ISNUMBER($AZ$450),$B$258=1),$AZ$450,HLOOKUP(INDIRECT(ADDRESS(2,COLUMN())),OFFSET($BN$2,0,0,ROW()-1,60),ROW()-1,FALSE))</f>
        <v>3.7469999999999999</v>
      </c>
      <c r="BA211">
        <f ca="1">IF(AND(ISNUMBER($BA$450),$B$258=1),$BA$450,HLOOKUP(INDIRECT(ADDRESS(2,COLUMN())),OFFSET($BN$2,0,0,ROW()-1,60),ROW()-1,FALSE))</f>
        <v>4.0789999999999997</v>
      </c>
      <c r="BB211">
        <f ca="1">IF(AND(ISNUMBER($BB$450),$B$258=1),$BB$450,HLOOKUP(INDIRECT(ADDRESS(2,COLUMN())),OFFSET($BN$2,0,0,ROW()-1,60),ROW()-1,FALSE))</f>
        <v>2.3719999999999999</v>
      </c>
      <c r="BC211">
        <f ca="1">IF(AND(ISNUMBER($BC$450),$B$258=1),$BC$450,HLOOKUP(INDIRECT(ADDRESS(2,COLUMN())),OFFSET($BN$2,0,0,ROW()-1,60),ROW()-1,FALSE))</f>
        <v>7.0369999999999999</v>
      </c>
      <c r="BD211">
        <f ca="1">IF(AND(ISNUMBER($BD$450),$B$258=1),$BD$450,HLOOKUP(INDIRECT(ADDRESS(2,COLUMN())),OFFSET($BN$2,0,0,ROW()-1,60),ROW()-1,FALSE))</f>
        <v>5.3860000000000001</v>
      </c>
      <c r="BE211">
        <f ca="1">IF(AND(ISNUMBER($BE$450),$B$258=1),$BE$450,HLOOKUP(INDIRECT(ADDRESS(2,COLUMN())),OFFSET($BN$2,0,0,ROW()-1,60),ROW()-1,FALSE))</f>
        <v>1.6339999999999999</v>
      </c>
      <c r="BF211">
        <f ca="1">IF(AND(ISNUMBER($BF$450),$B$258=1),$BF$450,HLOOKUP(INDIRECT(ADDRESS(2,COLUMN())),OFFSET($BN$2,0,0,ROW()-1,60),ROW()-1,FALSE))</f>
        <v>6.4480000000000004</v>
      </c>
      <c r="BG211">
        <f ca="1">IF(AND(ISNUMBER($BG$450),$B$258=1),$BG$450,HLOOKUP(INDIRECT(ADDRESS(2,COLUMN())),OFFSET($BN$2,0,0,ROW()-1,60),ROW()-1,FALSE))</f>
        <v>2.6829999999999998</v>
      </c>
      <c r="BH211">
        <f ca="1">IF(AND(ISNUMBER($BH$450),$B$258=1),$BH$450,HLOOKUP(INDIRECT(ADDRESS(2,COLUMN())),OFFSET($BN$2,0,0,ROW()-1,60),ROW()-1,FALSE))</f>
        <v>4.0259999999999998</v>
      </c>
      <c r="BI211">
        <f ca="1">IF(AND(ISNUMBER($BI$450),$B$258=1),$BI$450,HLOOKUP(INDIRECT(ADDRESS(2,COLUMN())),OFFSET($BN$2,0,0,ROW()-1,60),ROW()-1,FALSE))</f>
        <v>3.1259999999999999</v>
      </c>
      <c r="BJ211">
        <f ca="1">IF(AND(ISNUMBER($BJ$450),$B$258=1),$BJ$450,HLOOKUP(INDIRECT(ADDRESS(2,COLUMN())),OFFSET($BN$2,0,0,ROW()-1,60),ROW()-1,FALSE))</f>
        <v>59.125</v>
      </c>
      <c r="BK211">
        <f ca="1">IF(AND(ISNUMBER($BK$450),$B$258=1),$BK$450,HLOOKUP(INDIRECT(ADDRESS(2,COLUMN())),OFFSET($BN$2,0,0,ROW()-1,60),ROW()-1,FALSE))</f>
        <v>4.9169999999999998</v>
      </c>
      <c r="BL211">
        <f ca="1">IF(AND(ISNUMBER($BL$450),$B$258=1),$BL$450,HLOOKUP(INDIRECT(ADDRESS(2,COLUMN())),OFFSET($BN$2,0,0,ROW()-1,60),ROW()-1,FALSE))</f>
        <v>2.0139999390000001</v>
      </c>
      <c r="BM211">
        <f ca="1">IF(AND(ISNUMBER($BM$450),$B$258=1),$BM$450,HLOOKUP(INDIRECT(ADDRESS(2,COLUMN())),OFFSET($BN$2,0,0,ROW()-1,60),ROW()-1,FALSE))</f>
        <v>4.2670001979999999</v>
      </c>
      <c r="BN211" t="str">
        <f>""</f>
        <v/>
      </c>
      <c r="BO211">
        <f>6.215</f>
        <v>6.2149999999999999</v>
      </c>
      <c r="BP211">
        <f>196.981</f>
        <v>196.98099999999999</v>
      </c>
      <c r="BQ211">
        <f>2.033</f>
        <v>2.0329999999999999</v>
      </c>
      <c r="BR211">
        <f>1.478</f>
        <v>1.478</v>
      </c>
      <c r="BS211">
        <f>5.409</f>
        <v>5.4089999999999998</v>
      </c>
      <c r="BT211">
        <f>12.649</f>
        <v>12.648999999999999</v>
      </c>
      <c r="BU211">
        <f>9.026</f>
        <v>9.0259999999999998</v>
      </c>
      <c r="BV211">
        <f>2.174</f>
        <v>2.1739999999999999</v>
      </c>
      <c r="BW211">
        <f>4.102</f>
        <v>4.1020000000000003</v>
      </c>
      <c r="BX211">
        <f>8.497</f>
        <v>8.4969999999999999</v>
      </c>
      <c r="BY211">
        <f>8.431</f>
        <v>8.4309999999999992</v>
      </c>
      <c r="BZ211">
        <f>10.417</f>
        <v>10.417</v>
      </c>
      <c r="CA211">
        <f>3.519</f>
        <v>3.5190000000000001</v>
      </c>
      <c r="CB211">
        <f>1.684</f>
        <v>1.6839999999999999</v>
      </c>
      <c r="CC211">
        <f>17.523</f>
        <v>17.523</v>
      </c>
      <c r="CD211">
        <f>10.169</f>
        <v>10.169</v>
      </c>
      <c r="CE211">
        <f>8.671</f>
        <v>8.6709999999999994</v>
      </c>
      <c r="CF211">
        <f>7.16</f>
        <v>7.16</v>
      </c>
      <c r="CG211">
        <f>1.152</f>
        <v>1.1519999999999999</v>
      </c>
      <c r="CH211">
        <f>94.171</f>
        <v>94.171000000000006</v>
      </c>
      <c r="CI211">
        <f>6.776</f>
        <v>6.7759999999999998</v>
      </c>
      <c r="CJ211">
        <f>8.781</f>
        <v>8.7810000000000006</v>
      </c>
      <c r="CK211">
        <f>3.103</f>
        <v>3.1030000000000002</v>
      </c>
      <c r="CL211">
        <f>6.61</f>
        <v>6.61</v>
      </c>
      <c r="CM211">
        <f>4.738</f>
        <v>4.7380000000000004</v>
      </c>
      <c r="CN211">
        <f>4.054</f>
        <v>4.0540000000000003</v>
      </c>
      <c r="CO211">
        <f>17.776</f>
        <v>17.776</v>
      </c>
      <c r="CP211">
        <f>3.007</f>
        <v>3.0070000000000001</v>
      </c>
      <c r="CQ211">
        <f>113.321</f>
        <v>113.321</v>
      </c>
      <c r="CR211">
        <f>11.177</f>
        <v>11.177</v>
      </c>
      <c r="CS211">
        <f>4.455</f>
        <v>4.4550000000000001</v>
      </c>
      <c r="CT211">
        <f>11.045</f>
        <v>11.045</v>
      </c>
      <c r="CU211">
        <f>5.851</f>
        <v>5.851</v>
      </c>
      <c r="CV211">
        <f>5.088</f>
        <v>5.0880000000000001</v>
      </c>
      <c r="CW211">
        <f>4.707</f>
        <v>4.7069999999999999</v>
      </c>
      <c r="CX211">
        <f>12.376</f>
        <v>12.375999999999999</v>
      </c>
      <c r="CY211">
        <f>4.138</f>
        <v>4.1379999999999999</v>
      </c>
      <c r="CZ211">
        <f>5.156</f>
        <v>5.1559999999999997</v>
      </c>
      <c r="DA211">
        <f>4.882</f>
        <v>4.8819999999999997</v>
      </c>
      <c r="DB211">
        <f>11.068</f>
        <v>11.068</v>
      </c>
      <c r="DC211">
        <f>8.519</f>
        <v>8.5190000000000001</v>
      </c>
      <c r="DD211">
        <f>16.12</f>
        <v>16.12</v>
      </c>
      <c r="DE211">
        <f>0.642</f>
        <v>0.64200000000000002</v>
      </c>
      <c r="DF211">
        <f>3.833</f>
        <v>3.8330000000000002</v>
      </c>
      <c r="DG211">
        <f>1.95</f>
        <v>1.95</v>
      </c>
      <c r="DH211">
        <f>3.747</f>
        <v>3.7469999999999999</v>
      </c>
      <c r="DI211">
        <f>4.079</f>
        <v>4.0789999999999997</v>
      </c>
      <c r="DJ211">
        <f>2.372</f>
        <v>2.3719999999999999</v>
      </c>
      <c r="DK211">
        <f>7.037</f>
        <v>7.0369999999999999</v>
      </c>
      <c r="DL211">
        <f>5.386</f>
        <v>5.3860000000000001</v>
      </c>
      <c r="DM211">
        <f>1.634</f>
        <v>1.6339999999999999</v>
      </c>
      <c r="DN211">
        <f>6.448</f>
        <v>6.4480000000000004</v>
      </c>
      <c r="DO211">
        <f>2.683</f>
        <v>2.6829999999999998</v>
      </c>
      <c r="DP211">
        <f>4.026</f>
        <v>4.0259999999999998</v>
      </c>
      <c r="DQ211">
        <f>3.126</f>
        <v>3.1259999999999999</v>
      </c>
      <c r="DR211">
        <f>59.125</f>
        <v>59.125</v>
      </c>
      <c r="DS211">
        <f>4.917</f>
        <v>4.9169999999999998</v>
      </c>
      <c r="DT211">
        <f>2.013999939</f>
        <v>2.0139999390000001</v>
      </c>
      <c r="DU211">
        <f>4.267000198</f>
        <v>4.2670001979999999</v>
      </c>
    </row>
    <row r="212" spans="1:125">
      <c r="A212" t="str">
        <f>"    Healthcare Trust of America In"</f>
        <v xml:space="preserve">    Healthcare Trust of America In</v>
      </c>
      <c r="B212" t="str">
        <f>"HTA US Equity"</f>
        <v>HTA US Equity</v>
      </c>
      <c r="C212" t="str">
        <f t="shared" si="51"/>
        <v>RR253</v>
      </c>
      <c r="D212" t="str">
        <f t="shared" si="52"/>
        <v>CASH_AND_MARKETABLE_SECURITIES</v>
      </c>
      <c r="E212" t="str">
        <f t="shared" si="53"/>
        <v>动态</v>
      </c>
      <c r="F212" t="str">
        <f ca="1">IF(AND(ISNUMBER($F$451),$B$258=1),$F$451,HLOOKUP(INDIRECT(ADDRESS(2,COLUMN())),OFFSET($BN$2,0,0,ROW()-1,60),ROW()-1,FALSE))</f>
        <v/>
      </c>
      <c r="G212">
        <f ca="1">IF(AND(ISNUMBER($G$451),$B$258=1),$G$451,HLOOKUP(INDIRECT(ADDRESS(2,COLUMN())),OFFSET($BN$2,0,0,ROW()-1,60),ROW()-1,FALSE))</f>
        <v>100.35599999999999</v>
      </c>
      <c r="H212">
        <f ca="1">IF(AND(ISNUMBER($H$451),$B$258=1),$H$451,HLOOKUP(INDIRECT(ADDRESS(2,COLUMN())),OFFSET($BN$2,0,0,ROW()-1,60),ROW()-1,FALSE))</f>
        <v>9.41</v>
      </c>
      <c r="I212">
        <f ca="1">IF(AND(ISNUMBER($I$451),$B$258=1),$I$451,HLOOKUP(INDIRECT(ADDRESS(2,COLUMN())),OFFSET($BN$2,0,0,ROW()-1,60),ROW()-1,FALSE))</f>
        <v>91.444000000000003</v>
      </c>
      <c r="J212">
        <f ca="1">IF(AND(ISNUMBER($J$451),$B$258=1),$J$451,HLOOKUP(INDIRECT(ADDRESS(2,COLUMN())),OFFSET($BN$2,0,0,ROW()-1,60),ROW()-1,FALSE))</f>
        <v>16.033999999999999</v>
      </c>
      <c r="K212">
        <f ca="1">IF(AND(ISNUMBER($K$451),$B$258=1),$K$451,HLOOKUP(INDIRECT(ADDRESS(2,COLUMN())),OFFSET($BN$2,0,0,ROW()-1,60),ROW()-1,FALSE))</f>
        <v>11.231</v>
      </c>
      <c r="L212">
        <f ca="1">IF(AND(ISNUMBER($L$451),$B$258=1),$L$451,HLOOKUP(INDIRECT(ADDRESS(2,COLUMN())),OFFSET($BN$2,0,0,ROW()-1,60),ROW()-1,FALSE))</f>
        <v>17.937999999999999</v>
      </c>
      <c r="M212">
        <f ca="1">IF(AND(ISNUMBER($M$451),$B$258=1),$M$451,HLOOKUP(INDIRECT(ADDRESS(2,COLUMN())),OFFSET($BN$2,0,0,ROW()-1,60),ROW()-1,FALSE))</f>
        <v>8.1479999999999997</v>
      </c>
      <c r="N212">
        <f ca="1">IF(AND(ISNUMBER($N$451),$B$258=1),$N$451,HLOOKUP(INDIRECT(ADDRESS(2,COLUMN())),OFFSET($BN$2,0,0,ROW()-1,60),ROW()-1,FALSE))</f>
        <v>13.827</v>
      </c>
      <c r="O212">
        <f ca="1">IF(AND(ISNUMBER($O$451),$B$258=1),$O$451,HLOOKUP(INDIRECT(ADDRESS(2,COLUMN())),OFFSET($BN$2,0,0,ROW()-1,60),ROW()-1,FALSE))</f>
        <v>13.07</v>
      </c>
      <c r="P212">
        <f ca="1">IF(AND(ISNUMBER($P$451),$B$258=1),$P$451,HLOOKUP(INDIRECT(ADDRESS(2,COLUMN())),OFFSET($BN$2,0,0,ROW()-1,60),ROW()-1,FALSE))</f>
        <v>11.146000000000001</v>
      </c>
      <c r="Q212">
        <f ca="1">IF(AND(ISNUMBER($Q$451),$B$258=1),$Q$451,HLOOKUP(INDIRECT(ADDRESS(2,COLUMN())),OFFSET($BN$2,0,0,ROW()-1,60),ROW()-1,FALSE))</f>
        <v>16.577000000000002</v>
      </c>
      <c r="R212">
        <f ca="1">IF(AND(ISNUMBER($R$451),$B$258=1),$R$451,HLOOKUP(INDIRECT(ADDRESS(2,COLUMN())),OFFSET($BN$2,0,0,ROW()-1,60),ROW()-1,FALSE))</f>
        <v>13.516999999999999</v>
      </c>
      <c r="S212">
        <f ca="1">IF(AND(ISNUMBER($S$451),$B$258=1),$S$451,HLOOKUP(INDIRECT(ADDRESS(2,COLUMN())),OFFSET($BN$2,0,0,ROW()-1,60),ROW()-1,FALSE))</f>
        <v>10.413</v>
      </c>
      <c r="T212">
        <f ca="1">IF(AND(ISNUMBER($T$451),$B$258=1),$T$451,HLOOKUP(INDIRECT(ADDRESS(2,COLUMN())),OFFSET($BN$2,0,0,ROW()-1,60),ROW()-1,FALSE))</f>
        <v>18.414999999999999</v>
      </c>
      <c r="U212">
        <f ca="1">IF(AND(ISNUMBER($U$451),$B$258=1),$U$451,HLOOKUP(INDIRECT(ADDRESS(2,COLUMN())),OFFSET($BN$2,0,0,ROW()-1,60),ROW()-1,FALSE))</f>
        <v>132.71899999999999</v>
      </c>
      <c r="V212">
        <f ca="1">IF(AND(ISNUMBER($V$451),$B$258=1),$V$451,HLOOKUP(INDIRECT(ADDRESS(2,COLUMN())),OFFSET($BN$2,0,0,ROW()-1,60),ROW()-1,FALSE))</f>
        <v>27.359000000000002</v>
      </c>
      <c r="W212">
        <f ca="1">IF(AND(ISNUMBER($W$451),$B$258=1),$W$451,HLOOKUP(INDIRECT(ADDRESS(2,COLUMN())),OFFSET($BN$2,0,0,ROW()-1,60),ROW()-1,FALSE))</f>
        <v>18.081</v>
      </c>
      <c r="X212">
        <f ca="1">IF(AND(ISNUMBER($X$451),$B$258=1),$X$451,HLOOKUP(INDIRECT(ADDRESS(2,COLUMN())),OFFSET($BN$2,0,0,ROW()-1,60),ROW()-1,FALSE))</f>
        <v>82.180999999999997</v>
      </c>
      <c r="Y212">
        <f ca="1">IF(AND(ISNUMBER($Y$451),$B$258=1),$Y$451,HLOOKUP(INDIRECT(ADDRESS(2,COLUMN())),OFFSET($BN$2,0,0,ROW()-1,60),ROW()-1,FALSE))</f>
        <v>120.871</v>
      </c>
      <c r="Z212">
        <f ca="1">IF(AND(ISNUMBER($Z$451),$B$258=1),$Z$451,HLOOKUP(INDIRECT(ADDRESS(2,COLUMN())),OFFSET($BN$2,0,0,ROW()-1,60),ROW()-1,FALSE))</f>
        <v>120.958</v>
      </c>
      <c r="AA212">
        <f ca="1">IF(AND(ISNUMBER($AA$451),$B$258=1),$AA$451,HLOOKUP(INDIRECT(ADDRESS(2,COLUMN())),OFFSET($BN$2,0,0,ROW()-1,60),ROW()-1,FALSE))</f>
        <v>15.956</v>
      </c>
      <c r="AB212">
        <f ca="1">IF(AND(ISNUMBER($AB$451),$B$258=1),$AB$451,HLOOKUP(INDIRECT(ADDRESS(2,COLUMN())),OFFSET($BN$2,0,0,ROW()-1,60),ROW()-1,FALSE))</f>
        <v>8.34</v>
      </c>
      <c r="AC212">
        <f ca="1">IF(AND(ISNUMBER($AC$451),$B$258=1),$AC$451,HLOOKUP(INDIRECT(ADDRESS(2,COLUMN())),OFFSET($BN$2,0,0,ROW()-1,60),ROW()-1,FALSE))</f>
        <v>23.977</v>
      </c>
      <c r="AD212">
        <f ca="1">IF(AND(ISNUMBER($AD$451),$B$258=1),$AD$451,HLOOKUP(INDIRECT(ADDRESS(2,COLUMN())),OFFSET($BN$2,0,0,ROW()-1,60),ROW()-1,FALSE))</f>
        <v>35.119999999999997</v>
      </c>
      <c r="AE212">
        <f ca="1">IF(AND(ISNUMBER($AE$451),$B$258=1),$AE$451,HLOOKUP(INDIRECT(ADDRESS(2,COLUMN())),OFFSET($BN$2,0,0,ROW()-1,60),ROW()-1,FALSE))</f>
        <v>69.491</v>
      </c>
      <c r="AF212">
        <f ca="1">IF(AND(ISNUMBER($AF$451),$B$258=1),$AF$451,HLOOKUP(INDIRECT(ADDRESS(2,COLUMN())),OFFSET($BN$2,0,0,ROW()-1,60),ROW()-1,FALSE))</f>
        <v>122.303</v>
      </c>
      <c r="AG212">
        <f ca="1">IF(AND(ISNUMBER($AG$451),$B$258=1),$AG$451,HLOOKUP(INDIRECT(ADDRESS(2,COLUMN())),OFFSET($BN$2,0,0,ROW()-1,60),ROW()-1,FALSE))</f>
        <v>154.28700000000001</v>
      </c>
      <c r="AH212">
        <f ca="1">IF(AND(ISNUMBER($AH$451),$B$258=1),$AH$451,HLOOKUP(INDIRECT(ADDRESS(2,COLUMN())),OFFSET($BN$2,0,0,ROW()-1,60),ROW()-1,FALSE))</f>
        <v>207.405</v>
      </c>
      <c r="AI212">
        <f ca="1">IF(AND(ISNUMBER($AI$451),$B$258=1),$AI$451,HLOOKUP(INDIRECT(ADDRESS(2,COLUMN())),OFFSET($BN$2,0,0,ROW()-1,60),ROW()-1,FALSE))</f>
        <v>29.27</v>
      </c>
      <c r="AJ212">
        <f ca="1">IF(AND(ISNUMBER($AJ$451),$B$258=1),$AJ$451,HLOOKUP(INDIRECT(ADDRESS(2,COLUMN())),OFFSET($BN$2,0,0,ROW()-1,60),ROW()-1,FALSE))</f>
        <v>221.18600000000001</v>
      </c>
      <c r="AK212">
        <f ca="1">IF(AND(ISNUMBER($AK$451),$B$258=1),$AK$451,HLOOKUP(INDIRECT(ADDRESS(2,COLUMN())),OFFSET($BN$2,0,0,ROW()-1,60),ROW()-1,FALSE))</f>
        <v>176.886</v>
      </c>
      <c r="AL212">
        <f ca="1">IF(AND(ISNUMBER($AL$451),$B$258=1),$AL$451,HLOOKUP(INDIRECT(ADDRESS(2,COLUMN())),OFFSET($BN$2,0,0,ROW()-1,60),ROW()-1,FALSE))</f>
        <v>128.404</v>
      </c>
      <c r="AM212" t="str">
        <f ca="1">IF(AND(ISNUMBER($AM$451),$B$258=1),$AM$451,HLOOKUP(INDIRECT(ADDRESS(2,COLUMN())),OFFSET($BN$2,0,0,ROW()-1,60),ROW()-1,FALSE))</f>
        <v/>
      </c>
      <c r="AN212" t="str">
        <f ca="1">IF(AND(ISNUMBER($AN$451),$B$258=1),$AN$451,HLOOKUP(INDIRECT(ADDRESS(2,COLUMN())),OFFSET($BN$2,0,0,ROW()-1,60),ROW()-1,FALSE))</f>
        <v/>
      </c>
      <c r="AO212" t="str">
        <f ca="1">IF(AND(ISNUMBER($AO$451),$B$258=1),$AO$451,HLOOKUP(INDIRECT(ADDRESS(2,COLUMN())),OFFSET($BN$2,0,0,ROW()-1,60),ROW()-1,FALSE))</f>
        <v/>
      </c>
      <c r="AP212" t="str">
        <f ca="1">IF(AND(ISNUMBER($AP$451),$B$258=1),$AP$451,HLOOKUP(INDIRECT(ADDRESS(2,COLUMN())),OFFSET($BN$2,0,0,ROW()-1,60),ROW()-1,FALSE))</f>
        <v/>
      </c>
      <c r="AQ212" t="str">
        <f ca="1">IF(AND(ISNUMBER($AQ$451),$B$258=1),$AQ$451,HLOOKUP(INDIRECT(ADDRESS(2,COLUMN())),OFFSET($BN$2,0,0,ROW()-1,60),ROW()-1,FALSE))</f>
        <v/>
      </c>
      <c r="AR212" t="str">
        <f ca="1">IF(AND(ISNUMBER($AR$451),$B$258=1),$AR$451,HLOOKUP(INDIRECT(ADDRESS(2,COLUMN())),OFFSET($BN$2,0,0,ROW()-1,60),ROW()-1,FALSE))</f>
        <v/>
      </c>
      <c r="AS212" t="str">
        <f ca="1">IF(AND(ISNUMBER($AS$451),$B$258=1),$AS$451,HLOOKUP(INDIRECT(ADDRESS(2,COLUMN())),OFFSET($BN$2,0,0,ROW()-1,60),ROW()-1,FALSE))</f>
        <v/>
      </c>
      <c r="AT212" t="str">
        <f ca="1">IF(AND(ISNUMBER($AT$451),$B$258=1),$AT$451,HLOOKUP(INDIRECT(ADDRESS(2,COLUMN())),OFFSET($BN$2,0,0,ROW()-1,60),ROW()-1,FALSE))</f>
        <v/>
      </c>
      <c r="AU212" t="str">
        <f ca="1">IF(AND(ISNUMBER($AU$451),$B$258=1),$AU$451,HLOOKUP(INDIRECT(ADDRESS(2,COLUMN())),OFFSET($BN$2,0,0,ROW()-1,60),ROW()-1,FALSE))</f>
        <v/>
      </c>
      <c r="AV212" t="str">
        <f ca="1">IF(AND(ISNUMBER($AV$451),$B$258=1),$AV$451,HLOOKUP(INDIRECT(ADDRESS(2,COLUMN())),OFFSET($BN$2,0,0,ROW()-1,60),ROW()-1,FALSE))</f>
        <v/>
      </c>
      <c r="AW212" t="str">
        <f ca="1">IF(AND(ISNUMBER($AW$451),$B$258=1),$AW$451,HLOOKUP(INDIRECT(ADDRESS(2,COLUMN())),OFFSET($BN$2,0,0,ROW()-1,60),ROW()-1,FALSE))</f>
        <v/>
      </c>
      <c r="AX212" t="str">
        <f ca="1">IF(AND(ISNUMBER($AX$451),$B$258=1),$AX$451,HLOOKUP(INDIRECT(ADDRESS(2,COLUMN())),OFFSET($BN$2,0,0,ROW()-1,60),ROW()-1,FALSE))</f>
        <v/>
      </c>
      <c r="AY212" t="str">
        <f ca="1">IF(AND(ISNUMBER($AY$451),$B$258=1),$AY$451,HLOOKUP(INDIRECT(ADDRESS(2,COLUMN())),OFFSET($BN$2,0,0,ROW()-1,60),ROW()-1,FALSE))</f>
        <v/>
      </c>
      <c r="AZ212" t="str">
        <f ca="1">IF(AND(ISNUMBER($AZ$451),$B$258=1),$AZ$451,HLOOKUP(INDIRECT(ADDRESS(2,COLUMN())),OFFSET($BN$2,0,0,ROW()-1,60),ROW()-1,FALSE))</f>
        <v/>
      </c>
      <c r="BA212" t="str">
        <f ca="1">IF(AND(ISNUMBER($BA$451),$B$258=1),$BA$451,HLOOKUP(INDIRECT(ADDRESS(2,COLUMN())),OFFSET($BN$2,0,0,ROW()-1,60),ROW()-1,FALSE))</f>
        <v/>
      </c>
      <c r="BB212" t="str">
        <f ca="1">IF(AND(ISNUMBER($BB$451),$B$258=1),$BB$451,HLOOKUP(INDIRECT(ADDRESS(2,COLUMN())),OFFSET($BN$2,0,0,ROW()-1,60),ROW()-1,FALSE))</f>
        <v/>
      </c>
      <c r="BC212" t="str">
        <f ca="1">IF(AND(ISNUMBER($BC$451),$B$258=1),$BC$451,HLOOKUP(INDIRECT(ADDRESS(2,COLUMN())),OFFSET($BN$2,0,0,ROW()-1,60),ROW()-1,FALSE))</f>
        <v/>
      </c>
      <c r="BD212" t="str">
        <f ca="1">IF(AND(ISNUMBER($BD$451),$B$258=1),$BD$451,HLOOKUP(INDIRECT(ADDRESS(2,COLUMN())),OFFSET($BN$2,0,0,ROW()-1,60),ROW()-1,FALSE))</f>
        <v/>
      </c>
      <c r="BE212" t="str">
        <f ca="1">IF(AND(ISNUMBER($BE$451),$B$258=1),$BE$451,HLOOKUP(INDIRECT(ADDRESS(2,COLUMN())),OFFSET($BN$2,0,0,ROW()-1,60),ROW()-1,FALSE))</f>
        <v/>
      </c>
      <c r="BF212" t="str">
        <f ca="1">IF(AND(ISNUMBER($BF$451),$B$258=1),$BF$451,HLOOKUP(INDIRECT(ADDRESS(2,COLUMN())),OFFSET($BN$2,0,0,ROW()-1,60),ROW()-1,FALSE))</f>
        <v/>
      </c>
      <c r="BG212" t="str">
        <f ca="1">IF(AND(ISNUMBER($BG$451),$B$258=1),$BG$451,HLOOKUP(INDIRECT(ADDRESS(2,COLUMN())),OFFSET($BN$2,0,0,ROW()-1,60),ROW()-1,FALSE))</f>
        <v/>
      </c>
      <c r="BH212" t="str">
        <f ca="1">IF(AND(ISNUMBER($BH$451),$B$258=1),$BH$451,HLOOKUP(INDIRECT(ADDRESS(2,COLUMN())),OFFSET($BN$2,0,0,ROW()-1,60),ROW()-1,FALSE))</f>
        <v/>
      </c>
      <c r="BI212" t="str">
        <f ca="1">IF(AND(ISNUMBER($BI$451),$B$258=1),$BI$451,HLOOKUP(INDIRECT(ADDRESS(2,COLUMN())),OFFSET($BN$2,0,0,ROW()-1,60),ROW()-1,FALSE))</f>
        <v/>
      </c>
      <c r="BJ212" t="str">
        <f ca="1">IF(AND(ISNUMBER($BJ$451),$B$258=1),$BJ$451,HLOOKUP(INDIRECT(ADDRESS(2,COLUMN())),OFFSET($BN$2,0,0,ROW()-1,60),ROW()-1,FALSE))</f>
        <v/>
      </c>
      <c r="BK212" t="str">
        <f ca="1">IF(AND(ISNUMBER($BK$451),$B$258=1),$BK$451,HLOOKUP(INDIRECT(ADDRESS(2,COLUMN())),OFFSET($BN$2,0,0,ROW()-1,60),ROW()-1,FALSE))</f>
        <v/>
      </c>
      <c r="BL212" t="str">
        <f ca="1">IF(AND(ISNUMBER($BL$451),$B$258=1),$BL$451,HLOOKUP(INDIRECT(ADDRESS(2,COLUMN())),OFFSET($BN$2,0,0,ROW()-1,60),ROW()-1,FALSE))</f>
        <v/>
      </c>
      <c r="BM212" t="str">
        <f ca="1">IF(AND(ISNUMBER($BM$451),$B$258=1),$BM$451,HLOOKUP(INDIRECT(ADDRESS(2,COLUMN())),OFFSET($BN$2,0,0,ROW()-1,60),ROW()-1,FALSE))</f>
        <v/>
      </c>
      <c r="BN212" t="str">
        <f>""</f>
        <v/>
      </c>
      <c r="BO212">
        <f>100.356</f>
        <v>100.35599999999999</v>
      </c>
      <c r="BP212">
        <f>9.41</f>
        <v>9.41</v>
      </c>
      <c r="BQ212">
        <f>91.444</f>
        <v>91.444000000000003</v>
      </c>
      <c r="BR212">
        <f>16.034</f>
        <v>16.033999999999999</v>
      </c>
      <c r="BS212">
        <f>11.231</f>
        <v>11.231</v>
      </c>
      <c r="BT212">
        <f>17.938</f>
        <v>17.937999999999999</v>
      </c>
      <c r="BU212">
        <f>8.148</f>
        <v>8.1479999999999997</v>
      </c>
      <c r="BV212">
        <f>13.827</f>
        <v>13.827</v>
      </c>
      <c r="BW212">
        <f>13.07</f>
        <v>13.07</v>
      </c>
      <c r="BX212">
        <f>11.146</f>
        <v>11.146000000000001</v>
      </c>
      <c r="BY212">
        <f>16.577</f>
        <v>16.577000000000002</v>
      </c>
      <c r="BZ212">
        <f>13.517</f>
        <v>13.516999999999999</v>
      </c>
      <c r="CA212">
        <f>10.413</f>
        <v>10.413</v>
      </c>
      <c r="CB212">
        <f>18.415</f>
        <v>18.414999999999999</v>
      </c>
      <c r="CC212">
        <f>132.719</f>
        <v>132.71899999999999</v>
      </c>
      <c r="CD212">
        <f>27.359</f>
        <v>27.359000000000002</v>
      </c>
      <c r="CE212">
        <f>18.081</f>
        <v>18.081</v>
      </c>
      <c r="CF212">
        <f>82.181</f>
        <v>82.180999999999997</v>
      </c>
      <c r="CG212">
        <f>120.871</f>
        <v>120.871</v>
      </c>
      <c r="CH212">
        <f>120.958</f>
        <v>120.958</v>
      </c>
      <c r="CI212">
        <f>15.956</f>
        <v>15.956</v>
      </c>
      <c r="CJ212">
        <f>8.34</f>
        <v>8.34</v>
      </c>
      <c r="CK212">
        <f>23.977</f>
        <v>23.977</v>
      </c>
      <c r="CL212">
        <f>35.12</f>
        <v>35.119999999999997</v>
      </c>
      <c r="CM212">
        <f>69.491</f>
        <v>69.491</v>
      </c>
      <c r="CN212">
        <f>122.303</f>
        <v>122.303</v>
      </c>
      <c r="CO212">
        <f>154.287</f>
        <v>154.28700000000001</v>
      </c>
      <c r="CP212">
        <f>207.405</f>
        <v>207.405</v>
      </c>
      <c r="CQ212">
        <f>29.27</f>
        <v>29.27</v>
      </c>
      <c r="CR212">
        <f>221.186</f>
        <v>221.18600000000001</v>
      </c>
      <c r="CS212">
        <f>176.886</f>
        <v>176.886</v>
      </c>
      <c r="CT212">
        <f>128.404</f>
        <v>128.404</v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>
      <c r="A213" t="str">
        <f>"    Medical Properties Trust Inc"</f>
        <v xml:space="preserve">    Medical Properties Trust Inc</v>
      </c>
      <c r="B213" t="str">
        <f>"MPW US Equity"</f>
        <v>MPW US Equity</v>
      </c>
      <c r="C213" t="str">
        <f t="shared" si="51"/>
        <v>RR253</v>
      </c>
      <c r="D213" t="str">
        <f t="shared" si="52"/>
        <v>CASH_AND_MARKETABLE_SECURITIES</v>
      </c>
      <c r="E213" t="str">
        <f t="shared" si="53"/>
        <v>动态</v>
      </c>
      <c r="F213" t="str">
        <f ca="1">IF(AND(ISNUMBER($F$452),$B$258=1),$F$452,HLOOKUP(INDIRECT(ADDRESS(2,COLUMN())),OFFSET($BN$2,0,0,ROW()-1,60),ROW()-1,FALSE))</f>
        <v/>
      </c>
      <c r="G213">
        <f ca="1">IF(AND(ISNUMBER($G$452),$B$258=1),$G$452,HLOOKUP(INDIRECT(ADDRESS(2,COLUMN())),OFFSET($BN$2,0,0,ROW()-1,60),ROW()-1,FALSE))</f>
        <v>171.47200000000001</v>
      </c>
      <c r="H213">
        <f ca="1">IF(AND(ISNUMBER($H$452),$B$258=1),$H$452,HLOOKUP(INDIRECT(ADDRESS(2,COLUMN())),OFFSET($BN$2,0,0,ROW()-1,60),ROW()-1,FALSE))</f>
        <v>188.22399999999999</v>
      </c>
      <c r="I213">
        <f ca="1">IF(AND(ISNUMBER($I$452),$B$258=1),$I$452,HLOOKUP(INDIRECT(ADDRESS(2,COLUMN())),OFFSET($BN$2,0,0,ROW()-1,60),ROW()-1,FALSE))</f>
        <v>236.364</v>
      </c>
      <c r="J213">
        <f ca="1">IF(AND(ISNUMBER($J$452),$B$258=1),$J$452,HLOOKUP(INDIRECT(ADDRESS(2,COLUMN())),OFFSET($BN$2,0,0,ROW()-1,60),ROW()-1,FALSE))</f>
        <v>446.94799999999998</v>
      </c>
      <c r="K213">
        <f ca="1">IF(AND(ISNUMBER($K$452),$B$258=1),$K$452,HLOOKUP(INDIRECT(ADDRESS(2,COLUMN())),OFFSET($BN$2,0,0,ROW()-1,60),ROW()-1,FALSE))</f>
        <v>83.24</v>
      </c>
      <c r="L213">
        <f ca="1">IF(AND(ISNUMBER($L$452),$B$258=1),$L$452,HLOOKUP(INDIRECT(ADDRESS(2,COLUMN())),OFFSET($BN$2,0,0,ROW()-1,60),ROW()-1,FALSE))</f>
        <v>1094.9169999999999</v>
      </c>
      <c r="M213">
        <f ca="1">IF(AND(ISNUMBER($M$452),$B$258=1),$M$452,HLOOKUP(INDIRECT(ADDRESS(2,COLUMN())),OFFSET($BN$2,0,0,ROW()-1,60),ROW()-1,FALSE))</f>
        <v>181.56100000000001</v>
      </c>
      <c r="N213">
        <f ca="1">IF(AND(ISNUMBER($N$452),$B$258=1),$N$452,HLOOKUP(INDIRECT(ADDRESS(2,COLUMN())),OFFSET($BN$2,0,0,ROW()-1,60),ROW()-1,FALSE))</f>
        <v>206.41</v>
      </c>
      <c r="O213">
        <f ca="1">IF(AND(ISNUMBER($O$452),$B$258=1),$O$452,HLOOKUP(INDIRECT(ADDRESS(2,COLUMN())),OFFSET($BN$2,0,0,ROW()-1,60),ROW()-1,FALSE))</f>
        <v>195.541</v>
      </c>
      <c r="P213">
        <f ca="1">IF(AND(ISNUMBER($P$452),$B$258=1),$P$452,HLOOKUP(INDIRECT(ADDRESS(2,COLUMN())),OFFSET($BN$2,0,0,ROW()-1,60),ROW()-1,FALSE))</f>
        <v>332.23500000000001</v>
      </c>
      <c r="Q213">
        <f ca="1">IF(AND(ISNUMBER($Q$452),$B$258=1),$Q$452,HLOOKUP(INDIRECT(ADDRESS(2,COLUMN())),OFFSET($BN$2,0,0,ROW()-1,60),ROW()-1,FALSE))</f>
        <v>45.904000000000003</v>
      </c>
      <c r="R213">
        <f ca="1">IF(AND(ISNUMBER($R$452),$B$258=1),$R$452,HLOOKUP(INDIRECT(ADDRESS(2,COLUMN())),OFFSET($BN$2,0,0,ROW()-1,60),ROW()-1,FALSE))</f>
        <v>33.548000000000002</v>
      </c>
      <c r="S213">
        <f ca="1">IF(AND(ISNUMBER($S$452),$B$258=1),$S$452,HLOOKUP(INDIRECT(ADDRESS(2,COLUMN())),OFFSET($BN$2,0,0,ROW()-1,60),ROW()-1,FALSE))</f>
        <v>144.541</v>
      </c>
      <c r="T213">
        <f ca="1">IF(AND(ISNUMBER($T$452),$B$258=1),$T$452,HLOOKUP(INDIRECT(ADDRESS(2,COLUMN())),OFFSET($BN$2,0,0,ROW()-1,60),ROW()-1,FALSE))</f>
        <v>132.81200000000001</v>
      </c>
      <c r="U213">
        <f ca="1">IF(AND(ISNUMBER($U$452),$B$258=1),$U$452,HLOOKUP(INDIRECT(ADDRESS(2,COLUMN())),OFFSET($BN$2,0,0,ROW()-1,60),ROW()-1,FALSE))</f>
        <v>197.023</v>
      </c>
      <c r="V213">
        <f ca="1">IF(AND(ISNUMBER($V$452),$B$258=1),$V$452,HLOOKUP(INDIRECT(ADDRESS(2,COLUMN())),OFFSET($BN$2,0,0,ROW()-1,60),ROW()-1,FALSE))</f>
        <v>50.308999999999997</v>
      </c>
      <c r="W213">
        <f ca="1">IF(AND(ISNUMBER($W$452),$B$258=1),$W$452,HLOOKUP(INDIRECT(ADDRESS(2,COLUMN())),OFFSET($BN$2,0,0,ROW()-1,60),ROW()-1,FALSE))</f>
        <v>45.978999999999999</v>
      </c>
      <c r="X213">
        <f ca="1">IF(AND(ISNUMBER($X$452),$B$258=1),$X$452,HLOOKUP(INDIRECT(ADDRESS(2,COLUMN())),OFFSET($BN$2,0,0,ROW()-1,60),ROW()-1,FALSE))</f>
        <v>12.124000000000001</v>
      </c>
      <c r="Y213">
        <f ca="1">IF(AND(ISNUMBER($Y$452),$B$258=1),$Y$452,HLOOKUP(INDIRECT(ADDRESS(2,COLUMN())),OFFSET($BN$2,0,0,ROW()-1,60),ROW()-1,FALSE))</f>
        <v>26.071999999999999</v>
      </c>
      <c r="Z213">
        <f ca="1">IF(AND(ISNUMBER($Z$452),$B$258=1),$Z$452,HLOOKUP(INDIRECT(ADDRESS(2,COLUMN())),OFFSET($BN$2,0,0,ROW()-1,60),ROW()-1,FALSE))</f>
        <v>75.674999999999997</v>
      </c>
      <c r="AA213">
        <f ca="1">IF(AND(ISNUMBER($AA$452),$B$258=1),$AA$452,HLOOKUP(INDIRECT(ADDRESS(2,COLUMN())),OFFSET($BN$2,0,0,ROW()-1,60),ROW()-1,FALSE))</f>
        <v>37.311</v>
      </c>
      <c r="AB213">
        <f ca="1">IF(AND(ISNUMBER($AB$452),$B$258=1),$AB$452,HLOOKUP(INDIRECT(ADDRESS(2,COLUMN())),OFFSET($BN$2,0,0,ROW()-1,60),ROW()-1,FALSE))</f>
        <v>36.162999999999997</v>
      </c>
      <c r="AC213">
        <f ca="1">IF(AND(ISNUMBER($AC$452),$B$258=1),$AC$452,HLOOKUP(INDIRECT(ADDRESS(2,COLUMN())),OFFSET($BN$2,0,0,ROW()-1,60),ROW()-1,FALSE))</f>
        <v>127.639</v>
      </c>
      <c r="AD213">
        <f ca="1">IF(AND(ISNUMBER($AD$452),$B$258=1),$AD$452,HLOOKUP(INDIRECT(ADDRESS(2,COLUMN())),OFFSET($BN$2,0,0,ROW()-1,60),ROW()-1,FALSE))</f>
        <v>126.5</v>
      </c>
      <c r="AE213">
        <f ca="1">IF(AND(ISNUMBER($AE$452),$B$258=1),$AE$452,HLOOKUP(INDIRECT(ADDRESS(2,COLUMN())),OFFSET($BN$2,0,0,ROW()-1,60),ROW()-1,FALSE))</f>
        <v>102.726</v>
      </c>
      <c r="AF213">
        <f ca="1">IF(AND(ISNUMBER($AF$452),$B$258=1),$AF$452,HLOOKUP(INDIRECT(ADDRESS(2,COLUMN())),OFFSET($BN$2,0,0,ROW()-1,60),ROW()-1,FALSE))</f>
        <v>114.36799999999999</v>
      </c>
      <c r="AG213">
        <f ca="1">IF(AND(ISNUMBER($AG$452),$B$258=1),$AG$452,HLOOKUP(INDIRECT(ADDRESS(2,COLUMN())),OFFSET($BN$2,0,0,ROW()-1,60),ROW()-1,FALSE))</f>
        <v>227.90562499999999</v>
      </c>
      <c r="AH213">
        <f ca="1">IF(AND(ISNUMBER($AH$452),$B$258=1),$AH$452,HLOOKUP(INDIRECT(ADDRESS(2,COLUMN())),OFFSET($BN$2,0,0,ROW()-1,60),ROW()-1,FALSE))</f>
        <v>7.01</v>
      </c>
      <c r="AI213">
        <f ca="1">IF(AND(ISNUMBER($AI$452),$B$258=1),$AI$452,HLOOKUP(INDIRECT(ADDRESS(2,COLUMN())),OFFSET($BN$2,0,0,ROW()-1,60),ROW()-1,FALSE))</f>
        <v>98.408000000000001</v>
      </c>
      <c r="AJ213">
        <f ca="1">IF(AND(ISNUMBER($AJ$452),$B$258=1),$AJ$452,HLOOKUP(INDIRECT(ADDRESS(2,COLUMN())),OFFSET($BN$2,0,0,ROW()-1,60),ROW()-1,FALSE))</f>
        <v>106.48099999999999</v>
      </c>
      <c r="AK213">
        <f ca="1">IF(AND(ISNUMBER($AK$452),$B$258=1),$AK$452,HLOOKUP(INDIRECT(ADDRESS(2,COLUMN())),OFFSET($BN$2,0,0,ROW()-1,60),ROW()-1,FALSE))</f>
        <v>121.637</v>
      </c>
      <c r="AL213">
        <f ca="1">IF(AND(ISNUMBER($AL$452),$B$258=1),$AL$452,HLOOKUP(INDIRECT(ADDRESS(2,COLUMN())),OFFSET($BN$2,0,0,ROW()-1,60),ROW()-1,FALSE))</f>
        <v>10.798</v>
      </c>
      <c r="AM213">
        <f ca="1">IF(AND(ISNUMBER($AM$452),$B$258=1),$AM$452,HLOOKUP(INDIRECT(ADDRESS(2,COLUMN())),OFFSET($BN$2,0,0,ROW()-1,60),ROW()-1,FALSE))</f>
        <v>15.307</v>
      </c>
      <c r="AN213">
        <f ca="1">IF(AND(ISNUMBER($AN$452),$B$258=1),$AN$452,HLOOKUP(INDIRECT(ADDRESS(2,COLUMN())),OFFSET($BN$2,0,0,ROW()-1,60),ROW()-1,FALSE))</f>
        <v>13.093999999999999</v>
      </c>
      <c r="AO213">
        <f ca="1">IF(AND(ISNUMBER($AO$452),$B$258=1),$AO$452,HLOOKUP(INDIRECT(ADDRESS(2,COLUMN())),OFFSET($BN$2,0,0,ROW()-1,60),ROW()-1,FALSE))</f>
        <v>7.9219999999999997</v>
      </c>
      <c r="AP213">
        <f ca="1">IF(AND(ISNUMBER($AP$452),$B$258=1),$AP$452,HLOOKUP(INDIRECT(ADDRESS(2,COLUMN())),OFFSET($BN$2,0,0,ROW()-1,60),ROW()-1,FALSE))</f>
        <v>11.209</v>
      </c>
      <c r="AQ213">
        <f ca="1">IF(AND(ISNUMBER($AQ$452),$B$258=1),$AQ$452,HLOOKUP(INDIRECT(ADDRESS(2,COLUMN())),OFFSET($BN$2,0,0,ROW()-1,60),ROW()-1,FALSE))</f>
        <v>11.747999999999999</v>
      </c>
      <c r="AR213">
        <f ca="1">IF(AND(ISNUMBER($AR$452),$B$258=1),$AR$452,HLOOKUP(INDIRECT(ADDRESS(2,COLUMN())),OFFSET($BN$2,0,0,ROW()-1,60),ROW()-1,FALSE))</f>
        <v>9.6112950000000001</v>
      </c>
      <c r="AS213">
        <f ca="1">IF(AND(ISNUMBER($AS$452),$B$258=1),$AS$452,HLOOKUP(INDIRECT(ADDRESS(2,COLUMN())),OFFSET($BN$2,0,0,ROW()-1,60),ROW()-1,FALSE))</f>
        <v>3.6767479999999999</v>
      </c>
      <c r="AT213">
        <f ca="1">IF(AND(ISNUMBER($AT$452),$B$258=1),$AT$452,HLOOKUP(INDIRECT(ADDRESS(2,COLUMN())),OFFSET($BN$2,0,0,ROW()-1,60),ROW()-1,FALSE))</f>
        <v>147.00175200000001</v>
      </c>
      <c r="AU213">
        <f ca="1">IF(AND(ISNUMBER($AU$452),$B$258=1),$AU$452,HLOOKUP(INDIRECT(ADDRESS(2,COLUMN())),OFFSET($BN$2,0,0,ROW()-1,60),ROW()-1,FALSE))</f>
        <v>94.215000000000003</v>
      </c>
      <c r="AV213">
        <f ca="1">IF(AND(ISNUMBER($AV$452),$B$258=1),$AV$452,HLOOKUP(INDIRECT(ADDRESS(2,COLUMN())),OFFSET($BN$2,0,0,ROW()-1,60),ROW()-1,FALSE))</f>
        <v>7.7203809999999997</v>
      </c>
      <c r="AW213">
        <f ca="1">IF(AND(ISNUMBER($AW$452),$B$258=1),$AW$452,HLOOKUP(INDIRECT(ADDRESS(2,COLUMN())),OFFSET($BN$2,0,0,ROW()-1,60),ROW()-1,FALSE))</f>
        <v>8.5889120000000005</v>
      </c>
      <c r="AX213">
        <f ca="1">IF(AND(ISNUMBER($AX$452),$B$258=1),$AX$452,HLOOKUP(INDIRECT(ADDRESS(2,COLUMN())),OFFSET($BN$2,0,0,ROW()-1,60),ROW()-1,FALSE))</f>
        <v>31.996738000000001</v>
      </c>
      <c r="AY213">
        <f ca="1">IF(AND(ISNUMBER($AY$452),$B$258=1),$AY$452,HLOOKUP(INDIRECT(ADDRESS(2,COLUMN())),OFFSET($BN$2,0,0,ROW()-1,60),ROW()-1,FALSE))</f>
        <v>4.1028729999999998</v>
      </c>
      <c r="AZ213">
        <f ca="1">IF(AND(ISNUMBER($AZ$452),$B$258=1),$AZ$452,HLOOKUP(INDIRECT(ADDRESS(2,COLUMN())),OFFSET($BN$2,0,0,ROW()-1,60),ROW()-1,FALSE))</f>
        <v>1.1870259999999999</v>
      </c>
      <c r="BA213">
        <f ca="1">IF(AND(ISNUMBER($BA$452),$B$258=1),$BA$452,HLOOKUP(INDIRECT(ADDRESS(2,COLUMN())),OFFSET($BN$2,0,0,ROW()-1,60),ROW()-1,FALSE))</f>
        <v>1.8336140000000001</v>
      </c>
      <c r="BB213">
        <f ca="1">IF(AND(ISNUMBER($BB$452),$B$258=1),$BB$452,HLOOKUP(INDIRECT(ADDRESS(2,COLUMN())),OFFSET($BN$2,0,0,ROW()-1,60),ROW()-1,FALSE))</f>
        <v>5.4246129999999999</v>
      </c>
      <c r="BC213">
        <f ca="1">IF(AND(ISNUMBER($BC$452),$B$258=1),$BC$452,HLOOKUP(INDIRECT(ADDRESS(2,COLUMN())),OFFSET($BN$2,0,0,ROW()-1,60),ROW()-1,FALSE))</f>
        <v>59.115831999999997</v>
      </c>
      <c r="BD213">
        <f ca="1">IF(AND(ISNUMBER($BD$452),$B$258=1),$BD$452,HLOOKUP(INDIRECT(ADDRESS(2,COLUMN())),OFFSET($BN$2,0,0,ROW()-1,60),ROW()-1,FALSE))</f>
        <v>100.826702</v>
      </c>
      <c r="BE213">
        <f ca="1">IF(AND(ISNUMBER($BE$452),$B$258=1),$BE$452,HLOOKUP(INDIRECT(ADDRESS(2,COLUMN())),OFFSET($BN$2,0,0,ROW()-1,60),ROW()-1,FALSE))</f>
        <v>34.357864380000002</v>
      </c>
      <c r="BF213">
        <f ca="1">IF(AND(ISNUMBER($BF$452),$B$258=1),$BF$452,HLOOKUP(INDIRECT(ADDRESS(2,COLUMN())),OFFSET($BN$2,0,0,ROW()-1,60),ROW()-1,FALSE))</f>
        <v>82.053001399999999</v>
      </c>
      <c r="BG213" t="str">
        <f ca="1">IF(AND(ISNUMBER($BG$452),$B$258=1),$BG$452,HLOOKUP(INDIRECT(ADDRESS(2,COLUMN())),OFFSET($BN$2,0,0,ROW()-1,60),ROW()-1,FALSE))</f>
        <v/>
      </c>
      <c r="BH213" t="str">
        <f ca="1">IF(AND(ISNUMBER($BH$452),$B$258=1),$BH$452,HLOOKUP(INDIRECT(ADDRESS(2,COLUMN())),OFFSET($BN$2,0,0,ROW()-1,60),ROW()-1,FALSE))</f>
        <v/>
      </c>
      <c r="BI213" t="str">
        <f ca="1">IF(AND(ISNUMBER($BI$452),$B$258=1),$BI$452,HLOOKUP(INDIRECT(ADDRESS(2,COLUMN())),OFFSET($BN$2,0,0,ROW()-1,60),ROW()-1,FALSE))</f>
        <v/>
      </c>
      <c r="BJ213" t="str">
        <f ca="1">IF(AND(ISNUMBER($BJ$452),$B$258=1),$BJ$452,HLOOKUP(INDIRECT(ADDRESS(2,COLUMN())),OFFSET($BN$2,0,0,ROW()-1,60),ROW()-1,FALSE))</f>
        <v/>
      </c>
      <c r="BK213" t="str">
        <f ca="1">IF(AND(ISNUMBER($BK$452),$B$258=1),$BK$452,HLOOKUP(INDIRECT(ADDRESS(2,COLUMN())),OFFSET($BN$2,0,0,ROW()-1,60),ROW()-1,FALSE))</f>
        <v/>
      </c>
      <c r="BL213" t="str">
        <f ca="1">IF(AND(ISNUMBER($BL$452),$B$258=1),$BL$452,HLOOKUP(INDIRECT(ADDRESS(2,COLUMN())),OFFSET($BN$2,0,0,ROW()-1,60),ROW()-1,FALSE))</f>
        <v/>
      </c>
      <c r="BM213" t="str">
        <f ca="1">IF(AND(ISNUMBER($BM$452),$B$258=1),$BM$452,HLOOKUP(INDIRECT(ADDRESS(2,COLUMN())),OFFSET($BN$2,0,0,ROW()-1,60),ROW()-1,FALSE))</f>
        <v/>
      </c>
      <c r="BN213" t="str">
        <f>""</f>
        <v/>
      </c>
      <c r="BO213">
        <f>171.472</f>
        <v>171.47200000000001</v>
      </c>
      <c r="BP213">
        <f>188.224</f>
        <v>188.22399999999999</v>
      </c>
      <c r="BQ213">
        <f>236.364</f>
        <v>236.364</v>
      </c>
      <c r="BR213">
        <f>446.948</f>
        <v>446.94799999999998</v>
      </c>
      <c r="BS213">
        <f>83.24</f>
        <v>83.24</v>
      </c>
      <c r="BT213">
        <f>1094.917</f>
        <v>1094.9169999999999</v>
      </c>
      <c r="BU213">
        <f>181.561</f>
        <v>181.56100000000001</v>
      </c>
      <c r="BV213">
        <f>206.41</f>
        <v>206.41</v>
      </c>
      <c r="BW213">
        <f>195.541</f>
        <v>195.541</v>
      </c>
      <c r="BX213">
        <f>332.235</f>
        <v>332.23500000000001</v>
      </c>
      <c r="BY213">
        <f>45.904</f>
        <v>45.904000000000003</v>
      </c>
      <c r="BZ213">
        <f>33.548</f>
        <v>33.548000000000002</v>
      </c>
      <c r="CA213">
        <f>144.541</f>
        <v>144.541</v>
      </c>
      <c r="CB213">
        <f>132.812</f>
        <v>132.81200000000001</v>
      </c>
      <c r="CC213">
        <f>197.023</f>
        <v>197.023</v>
      </c>
      <c r="CD213">
        <f>50.309</f>
        <v>50.308999999999997</v>
      </c>
      <c r="CE213">
        <f>45.979</f>
        <v>45.978999999999999</v>
      </c>
      <c r="CF213">
        <f>12.124</f>
        <v>12.124000000000001</v>
      </c>
      <c r="CG213">
        <f>26.072</f>
        <v>26.071999999999999</v>
      </c>
      <c r="CH213">
        <f>75.675</f>
        <v>75.674999999999997</v>
      </c>
      <c r="CI213">
        <f>37.311</f>
        <v>37.311</v>
      </c>
      <c r="CJ213">
        <f>36.163</f>
        <v>36.162999999999997</v>
      </c>
      <c r="CK213">
        <f>127.639</f>
        <v>127.639</v>
      </c>
      <c r="CL213">
        <f>126.5</f>
        <v>126.5</v>
      </c>
      <c r="CM213">
        <f>102.726</f>
        <v>102.726</v>
      </c>
      <c r="CN213">
        <f>114.368</f>
        <v>114.36799999999999</v>
      </c>
      <c r="CO213">
        <f>227.905625</f>
        <v>227.90562499999999</v>
      </c>
      <c r="CP213">
        <f>7.01</f>
        <v>7.01</v>
      </c>
      <c r="CQ213">
        <f>98.408</f>
        <v>98.408000000000001</v>
      </c>
      <c r="CR213">
        <f>106.481</f>
        <v>106.48099999999999</v>
      </c>
      <c r="CS213">
        <f>121.637</f>
        <v>121.637</v>
      </c>
      <c r="CT213">
        <f>10.798</f>
        <v>10.798</v>
      </c>
      <c r="CU213">
        <f>15.307</f>
        <v>15.307</v>
      </c>
      <c r="CV213">
        <f>13.094</f>
        <v>13.093999999999999</v>
      </c>
      <c r="CW213">
        <f>7.922</f>
        <v>7.9219999999999997</v>
      </c>
      <c r="CX213">
        <f>11.209</f>
        <v>11.209</v>
      </c>
      <c r="CY213">
        <f>11.748</f>
        <v>11.747999999999999</v>
      </c>
      <c r="CZ213">
        <f>9.611295</f>
        <v>9.6112950000000001</v>
      </c>
      <c r="DA213">
        <f>3.676748</f>
        <v>3.6767479999999999</v>
      </c>
      <c r="DB213">
        <f>147.001752</f>
        <v>147.00175200000001</v>
      </c>
      <c r="DC213">
        <f>94.215</f>
        <v>94.215000000000003</v>
      </c>
      <c r="DD213">
        <f>7.720381</f>
        <v>7.7203809999999997</v>
      </c>
      <c r="DE213">
        <f>8.588912</f>
        <v>8.5889120000000005</v>
      </c>
      <c r="DF213">
        <f>31.996738</f>
        <v>31.996738000000001</v>
      </c>
      <c r="DG213">
        <f>4.102873</f>
        <v>4.1028729999999998</v>
      </c>
      <c r="DH213">
        <f>1.187026</f>
        <v>1.1870259999999999</v>
      </c>
      <c r="DI213">
        <f>1.833614</f>
        <v>1.8336140000000001</v>
      </c>
      <c r="DJ213">
        <f>5.424613</f>
        <v>5.4246129999999999</v>
      </c>
      <c r="DK213">
        <f>59.115832</f>
        <v>59.115831999999997</v>
      </c>
      <c r="DL213">
        <f>100.826702</f>
        <v>100.826702</v>
      </c>
      <c r="DM213">
        <f>34.35786438</f>
        <v>34.357864380000002</v>
      </c>
      <c r="DN213">
        <f>82.0530014</f>
        <v>82.053001399999999</v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>
      <c r="A214" t="str">
        <f>"    Omega Healthcare Investors Inc"</f>
        <v xml:space="preserve">    Omega Healthcare Investors Inc</v>
      </c>
      <c r="B214" t="str">
        <f>"OHI US Equity"</f>
        <v>OHI US Equity</v>
      </c>
      <c r="C214" t="str">
        <f t="shared" si="51"/>
        <v>RR253</v>
      </c>
      <c r="D214" t="str">
        <f t="shared" si="52"/>
        <v>CASH_AND_MARKETABLE_SECURITIES</v>
      </c>
      <c r="E214" t="str">
        <f t="shared" si="53"/>
        <v>动态</v>
      </c>
      <c r="F214" t="str">
        <f ca="1">IF(AND(ISNUMBER($F$453),$B$258=1),$F$453,HLOOKUP(INDIRECT(ADDRESS(2,COLUMN())),OFFSET($BN$2,0,0,ROW()-1,60),ROW()-1,FALSE))</f>
        <v/>
      </c>
      <c r="G214">
        <f ca="1">IF(AND(ISNUMBER($G$453),$B$258=1),$G$453,HLOOKUP(INDIRECT(ADDRESS(2,COLUMN())),OFFSET($BN$2,0,0,ROW()-1,60),ROW()-1,FALSE))</f>
        <v>85.936999999999998</v>
      </c>
      <c r="H214">
        <f ca="1">IF(AND(ISNUMBER($H$453),$B$258=1),$H$453,HLOOKUP(INDIRECT(ADDRESS(2,COLUMN())),OFFSET($BN$2,0,0,ROW()-1,60),ROW()-1,FALSE))</f>
        <v>24.318000000000001</v>
      </c>
      <c r="I214">
        <f ca="1">IF(AND(ISNUMBER($I$453),$B$258=1),$I$453,HLOOKUP(INDIRECT(ADDRESS(2,COLUMN())),OFFSET($BN$2,0,0,ROW()-1,60),ROW()-1,FALSE))</f>
        <v>21.030999999999999</v>
      </c>
      <c r="J214">
        <f ca="1">IF(AND(ISNUMBER($J$453),$B$258=1),$J$453,HLOOKUP(INDIRECT(ADDRESS(2,COLUMN())),OFFSET($BN$2,0,0,ROW()-1,60),ROW()-1,FALSE))</f>
        <v>40.348999999999997</v>
      </c>
      <c r="K214">
        <f ca="1">IF(AND(ISNUMBER($K$453),$B$258=1),$K$453,HLOOKUP(INDIRECT(ADDRESS(2,COLUMN())),OFFSET($BN$2,0,0,ROW()-1,60),ROW()-1,FALSE))</f>
        <v>93.686999999999998</v>
      </c>
      <c r="L214">
        <f ca="1">IF(AND(ISNUMBER($L$453),$B$258=1),$L$453,HLOOKUP(INDIRECT(ADDRESS(2,COLUMN())),OFFSET($BN$2,0,0,ROW()-1,60),ROW()-1,FALSE))</f>
        <v>32.567</v>
      </c>
      <c r="M214">
        <f ca="1">IF(AND(ISNUMBER($M$453),$B$258=1),$M$453,HLOOKUP(INDIRECT(ADDRESS(2,COLUMN())),OFFSET($BN$2,0,0,ROW()-1,60),ROW()-1,FALSE))</f>
        <v>32.959000000000003</v>
      </c>
      <c r="N214">
        <f ca="1">IF(AND(ISNUMBER($N$453),$B$258=1),$N$453,HLOOKUP(INDIRECT(ADDRESS(2,COLUMN())),OFFSET($BN$2,0,0,ROW()-1,60),ROW()-1,FALSE))</f>
        <v>9.407</v>
      </c>
      <c r="O214">
        <f ca="1">IF(AND(ISNUMBER($O$453),$B$258=1),$O$453,HLOOKUP(INDIRECT(ADDRESS(2,COLUMN())),OFFSET($BN$2,0,0,ROW()-1,60),ROW()-1,FALSE))</f>
        <v>5.4240000000000004</v>
      </c>
      <c r="P214">
        <f ca="1">IF(AND(ISNUMBER($P$453),$B$258=1),$P$453,HLOOKUP(INDIRECT(ADDRESS(2,COLUMN())),OFFSET($BN$2,0,0,ROW()-1,60),ROW()-1,FALSE))</f>
        <v>15.319000000000001</v>
      </c>
      <c r="Q214">
        <f ca="1">IF(AND(ISNUMBER($Q$453),$B$258=1),$Q$453,HLOOKUP(INDIRECT(ADDRESS(2,COLUMN())),OFFSET($BN$2,0,0,ROW()-1,60),ROW()-1,FALSE))</f>
        <v>25.154</v>
      </c>
      <c r="R214">
        <f ca="1">IF(AND(ISNUMBER($R$453),$B$258=1),$R$453,HLOOKUP(INDIRECT(ADDRESS(2,COLUMN())),OFFSET($BN$2,0,0,ROW()-1,60),ROW()-1,FALSE))</f>
        <v>700.14300000000003</v>
      </c>
      <c r="S214">
        <f ca="1">IF(AND(ISNUMBER($S$453),$B$258=1),$S$453,HLOOKUP(INDIRECT(ADDRESS(2,COLUMN())),OFFSET($BN$2,0,0,ROW()-1,60),ROW()-1,FALSE))</f>
        <v>4.4889999999999999</v>
      </c>
      <c r="T214">
        <f ca="1">IF(AND(ISNUMBER($T$453),$B$258=1),$T$453,HLOOKUP(INDIRECT(ADDRESS(2,COLUMN())),OFFSET($BN$2,0,0,ROW()-1,60),ROW()-1,FALSE))</f>
        <v>0.45200000000000001</v>
      </c>
      <c r="U214">
        <f ca="1">IF(AND(ISNUMBER($U$453),$B$258=1),$U$453,HLOOKUP(INDIRECT(ADDRESS(2,COLUMN())),OFFSET($BN$2,0,0,ROW()-1,60),ROW()-1,FALSE))</f>
        <v>28.689</v>
      </c>
      <c r="V214">
        <f ca="1">IF(AND(ISNUMBER($V$453),$B$258=1),$V$453,HLOOKUP(INDIRECT(ADDRESS(2,COLUMN())),OFFSET($BN$2,0,0,ROW()-1,60),ROW()-1,FALSE))</f>
        <v>20.373999999999999</v>
      </c>
      <c r="W214">
        <f ca="1">IF(AND(ISNUMBER($W$453),$B$258=1),$W$453,HLOOKUP(INDIRECT(ADDRESS(2,COLUMN())),OFFSET($BN$2,0,0,ROW()-1,60),ROW()-1,FALSE))</f>
        <v>2.6160000000000001</v>
      </c>
      <c r="X214">
        <f ca="1">IF(AND(ISNUMBER($X$453),$B$258=1),$X$453,HLOOKUP(INDIRECT(ADDRESS(2,COLUMN())),OFFSET($BN$2,0,0,ROW()-1,60),ROW()-1,FALSE))</f>
        <v>67.757000000000005</v>
      </c>
      <c r="Y214">
        <f ca="1">IF(AND(ISNUMBER($Y$453),$B$258=1),$Y$453,HLOOKUP(INDIRECT(ADDRESS(2,COLUMN())),OFFSET($BN$2,0,0,ROW()-1,60),ROW()-1,FALSE))</f>
        <v>7.0389999999999997</v>
      </c>
      <c r="Z214">
        <f ca="1">IF(AND(ISNUMBER($Z$453),$B$258=1),$Z$453,HLOOKUP(INDIRECT(ADDRESS(2,COLUMN())),OFFSET($BN$2,0,0,ROW()-1,60),ROW()-1,FALSE))</f>
        <v>25.611000000000001</v>
      </c>
      <c r="AA214">
        <f ca="1">IF(AND(ISNUMBER($AA$453),$B$258=1),$AA$453,HLOOKUP(INDIRECT(ADDRESS(2,COLUMN())),OFFSET($BN$2,0,0,ROW()-1,60),ROW()-1,FALSE))</f>
        <v>1.7110000000000001</v>
      </c>
      <c r="AB214">
        <f ca="1">IF(AND(ISNUMBER($AB$453),$B$258=1),$AB$453,HLOOKUP(INDIRECT(ADDRESS(2,COLUMN())),OFFSET($BN$2,0,0,ROW()-1,60),ROW()-1,FALSE))</f>
        <v>6.9509999999999996</v>
      </c>
      <c r="AC214">
        <f ca="1">IF(AND(ISNUMBER($AC$453),$B$258=1),$AC$453,HLOOKUP(INDIRECT(ADDRESS(2,COLUMN())),OFFSET($BN$2,0,0,ROW()-1,60),ROW()-1,FALSE))</f>
        <v>2.8610000000000002</v>
      </c>
      <c r="AD214">
        <f ca="1">IF(AND(ISNUMBER($AD$453),$B$258=1),$AD$453,HLOOKUP(INDIRECT(ADDRESS(2,COLUMN())),OFFSET($BN$2,0,0,ROW()-1,60),ROW()-1,FALSE))</f>
        <v>2.7170000000000001</v>
      </c>
      <c r="AE214">
        <f ca="1">IF(AND(ISNUMBER($AE$453),$B$258=1),$AE$453,HLOOKUP(INDIRECT(ADDRESS(2,COLUMN())),OFFSET($BN$2,0,0,ROW()-1,60),ROW()-1,FALSE))</f>
        <v>0.35099999999999998</v>
      </c>
      <c r="AF214">
        <f ca="1">IF(AND(ISNUMBER($AF$453),$B$258=1),$AF$453,HLOOKUP(INDIRECT(ADDRESS(2,COLUMN())),OFFSET($BN$2,0,0,ROW()-1,60),ROW()-1,FALSE))</f>
        <v>10.73</v>
      </c>
      <c r="AG214">
        <f ca="1">IF(AND(ISNUMBER($AG$453),$B$258=1),$AG$453,HLOOKUP(INDIRECT(ADDRESS(2,COLUMN())),OFFSET($BN$2,0,0,ROW()-1,60),ROW()-1,FALSE))</f>
        <v>4.9960000000000004</v>
      </c>
      <c r="AH214">
        <f ca="1">IF(AND(ISNUMBER($AH$453),$B$258=1),$AH$453,HLOOKUP(INDIRECT(ADDRESS(2,COLUMN())),OFFSET($BN$2,0,0,ROW()-1,60),ROW()-1,FALSE))</f>
        <v>3.3809999999999998</v>
      </c>
      <c r="AI214">
        <f ca="1">IF(AND(ISNUMBER($AI$453),$B$258=1),$AI$453,HLOOKUP(INDIRECT(ADDRESS(2,COLUMN())),OFFSET($BN$2,0,0,ROW()-1,60),ROW()-1,FALSE))</f>
        <v>6.9210000000000003</v>
      </c>
      <c r="AJ214">
        <f ca="1">IF(AND(ISNUMBER($AJ$453),$B$258=1),$AJ$453,HLOOKUP(INDIRECT(ADDRESS(2,COLUMN())),OFFSET($BN$2,0,0,ROW()-1,60),ROW()-1,FALSE))</f>
        <v>1.1919999999999999</v>
      </c>
      <c r="AK214">
        <f ca="1">IF(AND(ISNUMBER($AK$453),$B$258=1),$AK$453,HLOOKUP(INDIRECT(ADDRESS(2,COLUMN())),OFFSET($BN$2,0,0,ROW()-1,60),ROW()-1,FALSE))</f>
        <v>1.9570000000000001</v>
      </c>
      <c r="AL214">
        <f ca="1">IF(AND(ISNUMBER($AL$453),$B$258=1),$AL$453,HLOOKUP(INDIRECT(ADDRESS(2,COLUMN())),OFFSET($BN$2,0,0,ROW()-1,60),ROW()-1,FALSE))</f>
        <v>75.194000000000003</v>
      </c>
      <c r="AM214">
        <f ca="1">IF(AND(ISNUMBER($AM$453),$B$258=1),$AM$453,HLOOKUP(INDIRECT(ADDRESS(2,COLUMN())),OFFSET($BN$2,0,0,ROW()-1,60),ROW()-1,FALSE))</f>
        <v>2.17</v>
      </c>
      <c r="AN214">
        <f ca="1">IF(AND(ISNUMBER($AN$453),$B$258=1),$AN$453,HLOOKUP(INDIRECT(ADDRESS(2,COLUMN())),OFFSET($BN$2,0,0,ROW()-1,60),ROW()-1,FALSE))</f>
        <v>0.64600000000000002</v>
      </c>
      <c r="AO214">
        <f ca="1">IF(AND(ISNUMBER($AO$453),$B$258=1),$AO$453,HLOOKUP(INDIRECT(ADDRESS(2,COLUMN())),OFFSET($BN$2,0,0,ROW()-1,60),ROW()-1,FALSE))</f>
        <v>4.923</v>
      </c>
      <c r="AP214">
        <f ca="1">IF(AND(ISNUMBER($AP$453),$B$258=1),$AP$453,HLOOKUP(INDIRECT(ADDRESS(2,COLUMN())),OFFSET($BN$2,0,0,ROW()-1,60),ROW()-1,FALSE))</f>
        <v>10.215</v>
      </c>
      <c r="AQ214">
        <f ca="1">IF(AND(ISNUMBER($AQ$453),$B$258=1),$AQ$453,HLOOKUP(INDIRECT(ADDRESS(2,COLUMN())),OFFSET($BN$2,0,0,ROW()-1,60),ROW()-1,FALSE))</f>
        <v>0.20899999999999999</v>
      </c>
      <c r="AR214">
        <f ca="1">IF(AND(ISNUMBER($AR$453),$B$258=1),$AR$453,HLOOKUP(INDIRECT(ADDRESS(2,COLUMN())),OFFSET($BN$2,0,0,ROW()-1,60),ROW()-1,FALSE))</f>
        <v>3.79</v>
      </c>
      <c r="AS214">
        <f ca="1">IF(AND(ISNUMBER($AS$453),$B$258=1),$AS$453,HLOOKUP(INDIRECT(ADDRESS(2,COLUMN())),OFFSET($BN$2,0,0,ROW()-1,60),ROW()-1,FALSE))</f>
        <v>2.165</v>
      </c>
      <c r="AT214">
        <f ca="1">IF(AND(ISNUMBER($AT$453),$B$258=1),$AT$453,HLOOKUP(INDIRECT(ADDRESS(2,COLUMN())),OFFSET($BN$2,0,0,ROW()-1,60),ROW()-1,FALSE))</f>
        <v>1.516</v>
      </c>
      <c r="AU214">
        <f ca="1">IF(AND(ISNUMBER($AU$453),$B$258=1),$AU$453,HLOOKUP(INDIRECT(ADDRESS(2,COLUMN())),OFFSET($BN$2,0,0,ROW()-1,60),ROW()-1,FALSE))</f>
        <v>1.9790000000000001</v>
      </c>
      <c r="AV214">
        <f ca="1">IF(AND(ISNUMBER($AV$453),$B$258=1),$AV$453,HLOOKUP(INDIRECT(ADDRESS(2,COLUMN())),OFFSET($BN$2,0,0,ROW()-1,60),ROW()-1,FALSE))</f>
        <v>0.60799999999999998</v>
      </c>
      <c r="AW214">
        <f ca="1">IF(AND(ISNUMBER($AW$453),$B$258=1),$AW$453,HLOOKUP(INDIRECT(ADDRESS(2,COLUMN())),OFFSET($BN$2,0,0,ROW()-1,60),ROW()-1,FALSE))</f>
        <v>2.484</v>
      </c>
      <c r="AX214">
        <f ca="1">IF(AND(ISNUMBER($AX$453),$B$258=1),$AX$453,HLOOKUP(INDIRECT(ADDRESS(2,COLUMN())),OFFSET($BN$2,0,0,ROW()-1,60),ROW()-1,FALSE))</f>
        <v>2.6549999999999998</v>
      </c>
      <c r="AY214">
        <f ca="1">IF(AND(ISNUMBER($AY$453),$B$258=1),$AY$453,HLOOKUP(INDIRECT(ADDRESS(2,COLUMN())),OFFSET($BN$2,0,0,ROW()-1,60),ROW()-1,FALSE))</f>
        <v>0.72899999999999998</v>
      </c>
      <c r="AZ214">
        <f ca="1">IF(AND(ISNUMBER($AZ$453),$B$258=1),$AZ$453,HLOOKUP(INDIRECT(ADDRESS(2,COLUMN())),OFFSET($BN$2,0,0,ROW()-1,60),ROW()-1,FALSE))</f>
        <v>0</v>
      </c>
      <c r="BA214">
        <f ca="1">IF(AND(ISNUMBER($BA$453),$B$258=1),$BA$453,HLOOKUP(INDIRECT(ADDRESS(2,COLUMN())),OFFSET($BN$2,0,0,ROW()-1,60),ROW()-1,FALSE))</f>
        <v>14.053000000000001</v>
      </c>
      <c r="BB214">
        <f ca="1">IF(AND(ISNUMBER($BB$453),$B$258=1),$BB$453,HLOOKUP(INDIRECT(ADDRESS(2,COLUMN())),OFFSET($BN$2,0,0,ROW()-1,60),ROW()-1,FALSE))</f>
        <v>0.40300000000000002</v>
      </c>
      <c r="BC214">
        <f ca="1">IF(AND(ISNUMBER($BC$453),$B$258=1),$BC$453,HLOOKUP(INDIRECT(ADDRESS(2,COLUMN())),OFFSET($BN$2,0,0,ROW()-1,60),ROW()-1,FALSE))</f>
        <v>3.948</v>
      </c>
      <c r="BD214">
        <f ca="1">IF(AND(ISNUMBER($BD$453),$B$258=1),$BD$453,HLOOKUP(INDIRECT(ADDRESS(2,COLUMN())),OFFSET($BN$2,0,0,ROW()-1,60),ROW()-1,FALSE))</f>
        <v>0.76800000000000002</v>
      </c>
      <c r="BE214">
        <f ca="1">IF(AND(ISNUMBER($BE$453),$B$258=1),$BE$453,HLOOKUP(INDIRECT(ADDRESS(2,COLUMN())),OFFSET($BN$2,0,0,ROW()-1,60),ROW()-1,FALSE))</f>
        <v>0.53400000000000003</v>
      </c>
      <c r="BF214">
        <f ca="1">IF(AND(ISNUMBER($BF$453),$B$258=1),$BF$453,HLOOKUP(INDIRECT(ADDRESS(2,COLUMN())),OFFSET($BN$2,0,0,ROW()-1,60),ROW()-1,FALSE))</f>
        <v>9.8460000000000001</v>
      </c>
      <c r="BG214">
        <f ca="1">IF(AND(ISNUMBER($BG$453),$B$258=1),$BG$453,HLOOKUP(INDIRECT(ADDRESS(2,COLUMN())),OFFSET($BN$2,0,0,ROW()-1,60),ROW()-1,FALSE))</f>
        <v>12.083</v>
      </c>
      <c r="BH214">
        <f ca="1">IF(AND(ISNUMBER($BH$453),$B$258=1),$BH$453,HLOOKUP(INDIRECT(ADDRESS(2,COLUMN())),OFFSET($BN$2,0,0,ROW()-1,60),ROW()-1,FALSE))</f>
        <v>3.3029999729999999</v>
      </c>
      <c r="BI214">
        <f ca="1">IF(AND(ISNUMBER($BI$453),$B$258=1),$BI$453,HLOOKUP(INDIRECT(ADDRESS(2,COLUMN())),OFFSET($BN$2,0,0,ROW()-1,60),ROW()-1,FALSE))</f>
        <v>2.6619999409999999</v>
      </c>
      <c r="BJ214">
        <f ca="1">IF(AND(ISNUMBER($BJ$453),$B$258=1),$BJ$453,HLOOKUP(INDIRECT(ADDRESS(2,COLUMN())),OFFSET($BN$2,0,0,ROW()-1,60),ROW()-1,FALSE))</f>
        <v>62.314998629999998</v>
      </c>
      <c r="BK214">
        <f ca="1">IF(AND(ISNUMBER($BK$453),$B$258=1),$BK$453,HLOOKUP(INDIRECT(ADDRESS(2,COLUMN())),OFFSET($BN$2,0,0,ROW()-1,60),ROW()-1,FALSE))</f>
        <v>3.0939999999999999</v>
      </c>
      <c r="BL214">
        <f ca="1">IF(AND(ISNUMBER($BL$453),$B$258=1),$BL$453,HLOOKUP(INDIRECT(ADDRESS(2,COLUMN())),OFFSET($BN$2,0,0,ROW()-1,60),ROW()-1,FALSE))</f>
        <v>6.0789999960000003</v>
      </c>
      <c r="BM214">
        <f ca="1">IF(AND(ISNUMBER($BM$453),$B$258=1),$BM$453,HLOOKUP(INDIRECT(ADDRESS(2,COLUMN())),OFFSET($BN$2,0,0,ROW()-1,60),ROW()-1,FALSE))</f>
        <v>45.48500061</v>
      </c>
      <c r="BN214" t="str">
        <f>""</f>
        <v/>
      </c>
      <c r="BO214">
        <f>85.937</f>
        <v>85.936999999999998</v>
      </c>
      <c r="BP214">
        <f>24.318</f>
        <v>24.318000000000001</v>
      </c>
      <c r="BQ214">
        <f>21.031</f>
        <v>21.030999999999999</v>
      </c>
      <c r="BR214">
        <f>40.349</f>
        <v>40.348999999999997</v>
      </c>
      <c r="BS214">
        <f>93.687</f>
        <v>93.686999999999998</v>
      </c>
      <c r="BT214">
        <f>32.567</f>
        <v>32.567</v>
      </c>
      <c r="BU214">
        <f>32.959</f>
        <v>32.959000000000003</v>
      </c>
      <c r="BV214">
        <f>9.407</f>
        <v>9.407</v>
      </c>
      <c r="BW214">
        <f>5.424</f>
        <v>5.4240000000000004</v>
      </c>
      <c r="BX214">
        <f>15.319</f>
        <v>15.319000000000001</v>
      </c>
      <c r="BY214">
        <f>25.154</f>
        <v>25.154</v>
      </c>
      <c r="BZ214">
        <f>700.143</f>
        <v>700.14300000000003</v>
      </c>
      <c r="CA214">
        <f>4.489</f>
        <v>4.4889999999999999</v>
      </c>
      <c r="CB214">
        <f>0.452</f>
        <v>0.45200000000000001</v>
      </c>
      <c r="CC214">
        <f>28.689</f>
        <v>28.689</v>
      </c>
      <c r="CD214">
        <f>20.374</f>
        <v>20.373999999999999</v>
      </c>
      <c r="CE214">
        <f>2.616</f>
        <v>2.6160000000000001</v>
      </c>
      <c r="CF214">
        <f>67.757</f>
        <v>67.757000000000005</v>
      </c>
      <c r="CG214">
        <f>7.039</f>
        <v>7.0389999999999997</v>
      </c>
      <c r="CH214">
        <f>25.611</f>
        <v>25.611000000000001</v>
      </c>
      <c r="CI214">
        <f>1.711</f>
        <v>1.7110000000000001</v>
      </c>
      <c r="CJ214">
        <f>6.951</f>
        <v>6.9509999999999996</v>
      </c>
      <c r="CK214">
        <f>2.861</f>
        <v>2.8610000000000002</v>
      </c>
      <c r="CL214">
        <f>2.717</f>
        <v>2.7170000000000001</v>
      </c>
      <c r="CM214">
        <f>0.351</f>
        <v>0.35099999999999998</v>
      </c>
      <c r="CN214">
        <f>10.73</f>
        <v>10.73</v>
      </c>
      <c r="CO214">
        <f>4.996</f>
        <v>4.9960000000000004</v>
      </c>
      <c r="CP214">
        <f>3.381</f>
        <v>3.3809999999999998</v>
      </c>
      <c r="CQ214">
        <f>6.921</f>
        <v>6.9210000000000003</v>
      </c>
      <c r="CR214">
        <f>1.192</f>
        <v>1.1919999999999999</v>
      </c>
      <c r="CS214">
        <f>1.957</f>
        <v>1.9570000000000001</v>
      </c>
      <c r="CT214">
        <f>75.194</f>
        <v>75.194000000000003</v>
      </c>
      <c r="CU214">
        <f>2.17</f>
        <v>2.17</v>
      </c>
      <c r="CV214">
        <f>0.646</f>
        <v>0.64600000000000002</v>
      </c>
      <c r="CW214">
        <f>4.923</f>
        <v>4.923</v>
      </c>
      <c r="CX214">
        <f>10.215</f>
        <v>10.215</v>
      </c>
      <c r="CY214">
        <f>0.209</f>
        <v>0.20899999999999999</v>
      </c>
      <c r="CZ214">
        <f>3.79</f>
        <v>3.79</v>
      </c>
      <c r="DA214">
        <f>2.165</f>
        <v>2.165</v>
      </c>
      <c r="DB214">
        <f>1.516</f>
        <v>1.516</v>
      </c>
      <c r="DC214">
        <f>1.979</f>
        <v>1.9790000000000001</v>
      </c>
      <c r="DD214">
        <f>0.608</f>
        <v>0.60799999999999998</v>
      </c>
      <c r="DE214">
        <f>2.484</f>
        <v>2.484</v>
      </c>
      <c r="DF214">
        <f>2.655</f>
        <v>2.6549999999999998</v>
      </c>
      <c r="DG214">
        <f>0.729</f>
        <v>0.72899999999999998</v>
      </c>
      <c r="DH214">
        <f>0</f>
        <v>0</v>
      </c>
      <c r="DI214">
        <f>14.053</f>
        <v>14.053000000000001</v>
      </c>
      <c r="DJ214">
        <f>0.403</f>
        <v>0.40300000000000002</v>
      </c>
      <c r="DK214">
        <f>3.948</f>
        <v>3.948</v>
      </c>
      <c r="DL214">
        <f>0.768</f>
        <v>0.76800000000000002</v>
      </c>
      <c r="DM214">
        <f>0.534</f>
        <v>0.53400000000000003</v>
      </c>
      <c r="DN214">
        <f>9.846</f>
        <v>9.8460000000000001</v>
      </c>
      <c r="DO214">
        <f>12.083</f>
        <v>12.083</v>
      </c>
      <c r="DP214">
        <f>3.302999973</f>
        <v>3.3029999729999999</v>
      </c>
      <c r="DQ214">
        <f>2.661999941</f>
        <v>2.6619999409999999</v>
      </c>
      <c r="DR214">
        <f>62.31499863</f>
        <v>62.314998629999998</v>
      </c>
      <c r="DS214">
        <f>3.094</f>
        <v>3.0939999999999999</v>
      </c>
      <c r="DT214">
        <f>6.078999996</f>
        <v>6.0789999960000003</v>
      </c>
      <c r="DU214">
        <f>45.48500061</f>
        <v>45.48500061</v>
      </c>
    </row>
    <row r="215" spans="1:125">
      <c r="A215" t="str">
        <f>"    Sabra Health Care REIT Inc"</f>
        <v xml:space="preserve">    Sabra Health Care REIT Inc</v>
      </c>
      <c r="B215" t="str">
        <f>"SBRA US Equity"</f>
        <v>SBRA US Equity</v>
      </c>
      <c r="C215" t="str">
        <f t="shared" si="51"/>
        <v>RR253</v>
      </c>
      <c r="D215" t="str">
        <f t="shared" si="52"/>
        <v>CASH_AND_MARKETABLE_SECURITIES</v>
      </c>
      <c r="E215" t="str">
        <f t="shared" si="53"/>
        <v>动态</v>
      </c>
      <c r="F215" t="str">
        <f ca="1">IF(AND(ISNUMBER($F$454),$B$258=1),$F$454,HLOOKUP(INDIRECT(ADDRESS(2,COLUMN())),OFFSET($BN$2,0,0,ROW()-1,60),ROW()-1,FALSE))</f>
        <v/>
      </c>
      <c r="G215">
        <f ca="1">IF(AND(ISNUMBER($G$454),$B$258=1),$G$454,HLOOKUP(INDIRECT(ADDRESS(2,COLUMN())),OFFSET($BN$2,0,0,ROW()-1,60),ROW()-1,FALSE))</f>
        <v>518.63199999999995</v>
      </c>
      <c r="H215">
        <f ca="1">IF(AND(ISNUMBER($H$454),$B$258=1),$H$454,HLOOKUP(INDIRECT(ADDRESS(2,COLUMN())),OFFSET($BN$2,0,0,ROW()-1,60),ROW()-1,FALSE))</f>
        <v>30.873000000000001</v>
      </c>
      <c r="I215">
        <f ca="1">IF(AND(ISNUMBER($I$454),$B$258=1),$I$454,HLOOKUP(INDIRECT(ADDRESS(2,COLUMN())),OFFSET($BN$2,0,0,ROW()-1,60),ROW()-1,FALSE))</f>
        <v>13.234999999999999</v>
      </c>
      <c r="J215">
        <f ca="1">IF(AND(ISNUMBER($J$454),$B$258=1),$J$454,HLOOKUP(INDIRECT(ADDRESS(2,COLUMN())),OFFSET($BN$2,0,0,ROW()-1,60),ROW()-1,FALSE))</f>
        <v>12.814</v>
      </c>
      <c r="K215">
        <f ca="1">IF(AND(ISNUMBER($K$454),$B$258=1),$K$454,HLOOKUP(INDIRECT(ADDRESS(2,COLUMN())),OFFSET($BN$2,0,0,ROW()-1,60),ROW()-1,FALSE))</f>
        <v>25.663</v>
      </c>
      <c r="L215">
        <f ca="1">IF(AND(ISNUMBER($L$454),$B$258=1),$L$454,HLOOKUP(INDIRECT(ADDRESS(2,COLUMN())),OFFSET($BN$2,0,0,ROW()-1,60),ROW()-1,FALSE))</f>
        <v>19.673999999999999</v>
      </c>
      <c r="M215">
        <f ca="1">IF(AND(ISNUMBER($M$454),$B$258=1),$M$454,HLOOKUP(INDIRECT(ADDRESS(2,COLUMN())),OFFSET($BN$2,0,0,ROW()-1,60),ROW()-1,FALSE))</f>
        <v>103.86799999999999</v>
      </c>
      <c r="N215">
        <f ca="1">IF(AND(ISNUMBER($N$454),$B$258=1),$N$454,HLOOKUP(INDIRECT(ADDRESS(2,COLUMN())),OFFSET($BN$2,0,0,ROW()-1,60),ROW()-1,FALSE))</f>
        <v>9.1329999999999991</v>
      </c>
      <c r="O215">
        <f ca="1">IF(AND(ISNUMBER($O$454),$B$258=1),$O$454,HLOOKUP(INDIRECT(ADDRESS(2,COLUMN())),OFFSET($BN$2,0,0,ROW()-1,60),ROW()-1,FALSE))</f>
        <v>7.4340000000000002</v>
      </c>
      <c r="P215">
        <f ca="1">IF(AND(ISNUMBER($P$454),$B$258=1),$P$454,HLOOKUP(INDIRECT(ADDRESS(2,COLUMN())),OFFSET($BN$2,0,0,ROW()-1,60),ROW()-1,FALSE))</f>
        <v>31.472999999999999</v>
      </c>
      <c r="Q215">
        <f ca="1">IF(AND(ISNUMBER($Q$454),$B$258=1),$Q$454,HLOOKUP(INDIRECT(ADDRESS(2,COLUMN())),OFFSET($BN$2,0,0,ROW()-1,60),ROW()-1,FALSE))</f>
        <v>6.0419999999999998</v>
      </c>
      <c r="R215">
        <f ca="1">IF(AND(ISNUMBER($R$454),$B$258=1),$R$454,HLOOKUP(INDIRECT(ADDRESS(2,COLUMN())),OFFSET($BN$2,0,0,ROW()-1,60),ROW()-1,FALSE))</f>
        <v>4.1710000000000003</v>
      </c>
      <c r="S215">
        <f ca="1">IF(AND(ISNUMBER($S$454),$B$258=1),$S$454,HLOOKUP(INDIRECT(ADDRESS(2,COLUMN())),OFFSET($BN$2,0,0,ROW()-1,60),ROW()-1,FALSE))</f>
        <v>61.792999999999999</v>
      </c>
      <c r="T215">
        <f ca="1">IF(AND(ISNUMBER($T$454),$B$258=1),$T$454,HLOOKUP(INDIRECT(ADDRESS(2,COLUMN())),OFFSET($BN$2,0,0,ROW()-1,60),ROW()-1,FALSE))</f>
        <v>25.478999999999999</v>
      </c>
      <c r="U215">
        <f ca="1">IF(AND(ISNUMBER($U$454),$B$258=1),$U$454,HLOOKUP(INDIRECT(ADDRESS(2,COLUMN())),OFFSET($BN$2,0,0,ROW()-1,60),ROW()-1,FALSE))</f>
        <v>15.085000000000001</v>
      </c>
      <c r="V215">
        <f ca="1">IF(AND(ISNUMBER($V$454),$B$258=1),$V$454,HLOOKUP(INDIRECT(ADDRESS(2,COLUMN())),OFFSET($BN$2,0,0,ROW()-1,60),ROW()-1,FALSE))</f>
        <v>4.2859999999999996</v>
      </c>
      <c r="W215">
        <f ca="1">IF(AND(ISNUMBER($W$454),$B$258=1),$W$454,HLOOKUP(INDIRECT(ADDRESS(2,COLUMN())),OFFSET($BN$2,0,0,ROW()-1,60),ROW()-1,FALSE))</f>
        <v>4.3079999999999998</v>
      </c>
      <c r="X215">
        <f ca="1">IF(AND(ISNUMBER($X$454),$B$258=1),$X$454,HLOOKUP(INDIRECT(ADDRESS(2,COLUMN())),OFFSET($BN$2,0,0,ROW()-1,60),ROW()-1,FALSE))</f>
        <v>96.641000000000005</v>
      </c>
      <c r="Y215">
        <f ca="1">IF(AND(ISNUMBER($Y$454),$B$258=1),$Y$454,HLOOKUP(INDIRECT(ADDRESS(2,COLUMN())),OFFSET($BN$2,0,0,ROW()-1,60),ROW()-1,FALSE))</f>
        <v>92.77</v>
      </c>
      <c r="Z215">
        <f ca="1">IF(AND(ISNUMBER($Z$454),$B$258=1),$Z$454,HLOOKUP(INDIRECT(ADDRESS(2,COLUMN())),OFFSET($BN$2,0,0,ROW()-1,60),ROW()-1,FALSE))</f>
        <v>53.564999999999998</v>
      </c>
      <c r="AA215">
        <f ca="1">IF(AND(ISNUMBER($AA$454),$B$258=1),$AA$454,HLOOKUP(INDIRECT(ADDRESS(2,COLUMN())),OFFSET($BN$2,0,0,ROW()-1,60),ROW()-1,FALSE))</f>
        <v>17.100999999999999</v>
      </c>
      <c r="AB215">
        <f ca="1">IF(AND(ISNUMBER($AB$454),$B$258=1),$AB$454,HLOOKUP(INDIRECT(ADDRESS(2,COLUMN())),OFFSET($BN$2,0,0,ROW()-1,60),ROW()-1,FALSE))</f>
        <v>30.477</v>
      </c>
      <c r="AC215">
        <f ca="1">IF(AND(ISNUMBER($AC$454),$B$258=1),$AC$454,HLOOKUP(INDIRECT(ADDRESS(2,COLUMN())),OFFSET($BN$2,0,0,ROW()-1,60),ROW()-1,FALSE))</f>
        <v>3.11</v>
      </c>
      <c r="AD215">
        <f ca="1">IF(AND(ISNUMBER($AD$454),$B$258=1),$AD$454,HLOOKUP(INDIRECT(ADDRESS(2,COLUMN())),OFFSET($BN$2,0,0,ROW()-1,60),ROW()-1,FALSE))</f>
        <v>2.6749999999999998</v>
      </c>
      <c r="AE215">
        <f ca="1">IF(AND(ISNUMBER($AE$454),$B$258=1),$AE$454,HLOOKUP(INDIRECT(ADDRESS(2,COLUMN())),OFFSET($BN$2,0,0,ROW()-1,60),ROW()-1,FALSE))</f>
        <v>42.25</v>
      </c>
      <c r="AF215">
        <f ca="1">IF(AND(ISNUMBER($AF$454),$B$258=1),$AF$454,HLOOKUP(INDIRECT(ADDRESS(2,COLUMN())),OFFSET($BN$2,0,0,ROW()-1,60),ROW()-1,FALSE))</f>
        <v>56.417000000000002</v>
      </c>
      <c r="AG215">
        <f ca="1">IF(AND(ISNUMBER($AG$454),$B$258=1),$AG$454,HLOOKUP(INDIRECT(ADDRESS(2,COLUMN())),OFFSET($BN$2,0,0,ROW()-1,60),ROW()-1,FALSE))</f>
        <v>3.4540000000000002</v>
      </c>
      <c r="AH215">
        <f ca="1">IF(AND(ISNUMBER($AH$454),$B$258=1),$AH$454,HLOOKUP(INDIRECT(ADDRESS(2,COLUMN())),OFFSET($BN$2,0,0,ROW()-1,60),ROW()-1,FALSE))</f>
        <v>80.209999999999994</v>
      </c>
      <c r="AI215" t="str">
        <f ca="1">IF(AND(ISNUMBER($AI$454),$B$258=1),$AI$454,HLOOKUP(INDIRECT(ADDRESS(2,COLUMN())),OFFSET($BN$2,0,0,ROW()-1,60),ROW()-1,FALSE))</f>
        <v/>
      </c>
      <c r="AJ215" t="str">
        <f ca="1">IF(AND(ISNUMBER($AJ$454),$B$258=1),$AJ$454,HLOOKUP(INDIRECT(ADDRESS(2,COLUMN())),OFFSET($BN$2,0,0,ROW()-1,60),ROW()-1,FALSE))</f>
        <v/>
      </c>
      <c r="AK215" t="str">
        <f ca="1">IF(AND(ISNUMBER($AK$454),$B$258=1),$AK$454,HLOOKUP(INDIRECT(ADDRESS(2,COLUMN())),OFFSET($BN$2,0,0,ROW()-1,60),ROW()-1,FALSE))</f>
        <v/>
      </c>
      <c r="AL215" t="str">
        <f ca="1">IF(AND(ISNUMBER($AL$454),$B$258=1),$AL$454,HLOOKUP(INDIRECT(ADDRESS(2,COLUMN())),OFFSET($BN$2,0,0,ROW()-1,60),ROW()-1,FALSE))</f>
        <v/>
      </c>
      <c r="AM215" t="str">
        <f ca="1">IF(AND(ISNUMBER($AM$454),$B$258=1),$AM$454,HLOOKUP(INDIRECT(ADDRESS(2,COLUMN())),OFFSET($BN$2,0,0,ROW()-1,60),ROW()-1,FALSE))</f>
        <v/>
      </c>
      <c r="AN215" t="str">
        <f ca="1">IF(AND(ISNUMBER($AN$454),$B$258=1),$AN$454,HLOOKUP(INDIRECT(ADDRESS(2,COLUMN())),OFFSET($BN$2,0,0,ROW()-1,60),ROW()-1,FALSE))</f>
        <v/>
      </c>
      <c r="AO215" t="str">
        <f ca="1">IF(AND(ISNUMBER($AO$454),$B$258=1),$AO$454,HLOOKUP(INDIRECT(ADDRESS(2,COLUMN())),OFFSET($BN$2,0,0,ROW()-1,60),ROW()-1,FALSE))</f>
        <v/>
      </c>
      <c r="AP215" t="str">
        <f ca="1">IF(AND(ISNUMBER($AP$454),$B$258=1),$AP$454,HLOOKUP(INDIRECT(ADDRESS(2,COLUMN())),OFFSET($BN$2,0,0,ROW()-1,60),ROW()-1,FALSE))</f>
        <v/>
      </c>
      <c r="AQ215" t="str">
        <f ca="1">IF(AND(ISNUMBER($AQ$454),$B$258=1),$AQ$454,HLOOKUP(INDIRECT(ADDRESS(2,COLUMN())),OFFSET($BN$2,0,0,ROW()-1,60),ROW()-1,FALSE))</f>
        <v/>
      </c>
      <c r="AR215" t="str">
        <f ca="1">IF(AND(ISNUMBER($AR$454),$B$258=1),$AR$454,HLOOKUP(INDIRECT(ADDRESS(2,COLUMN())),OFFSET($BN$2,0,0,ROW()-1,60),ROW()-1,FALSE))</f>
        <v/>
      </c>
      <c r="AS215" t="str">
        <f ca="1">IF(AND(ISNUMBER($AS$454),$B$258=1),$AS$454,HLOOKUP(INDIRECT(ADDRESS(2,COLUMN())),OFFSET($BN$2,0,0,ROW()-1,60),ROW()-1,FALSE))</f>
        <v/>
      </c>
      <c r="AT215" t="str">
        <f ca="1">IF(AND(ISNUMBER($AT$454),$B$258=1),$AT$454,HLOOKUP(INDIRECT(ADDRESS(2,COLUMN())),OFFSET($BN$2,0,0,ROW()-1,60),ROW()-1,FALSE))</f>
        <v/>
      </c>
      <c r="AU215" t="str">
        <f ca="1">IF(AND(ISNUMBER($AU$454),$B$258=1),$AU$454,HLOOKUP(INDIRECT(ADDRESS(2,COLUMN())),OFFSET($BN$2,0,0,ROW()-1,60),ROW()-1,FALSE))</f>
        <v/>
      </c>
      <c r="AV215" t="str">
        <f ca="1">IF(AND(ISNUMBER($AV$454),$B$258=1),$AV$454,HLOOKUP(INDIRECT(ADDRESS(2,COLUMN())),OFFSET($BN$2,0,0,ROW()-1,60),ROW()-1,FALSE))</f>
        <v/>
      </c>
      <c r="AW215" t="str">
        <f ca="1">IF(AND(ISNUMBER($AW$454),$B$258=1),$AW$454,HLOOKUP(INDIRECT(ADDRESS(2,COLUMN())),OFFSET($BN$2,0,0,ROW()-1,60),ROW()-1,FALSE))</f>
        <v/>
      </c>
      <c r="AX215" t="str">
        <f ca="1">IF(AND(ISNUMBER($AX$454),$B$258=1),$AX$454,HLOOKUP(INDIRECT(ADDRESS(2,COLUMN())),OFFSET($BN$2,0,0,ROW()-1,60),ROW()-1,FALSE))</f>
        <v/>
      </c>
      <c r="AY215" t="str">
        <f ca="1">IF(AND(ISNUMBER($AY$454),$B$258=1),$AY$454,HLOOKUP(INDIRECT(ADDRESS(2,COLUMN())),OFFSET($BN$2,0,0,ROW()-1,60),ROW()-1,FALSE))</f>
        <v/>
      </c>
      <c r="AZ215" t="str">
        <f ca="1">IF(AND(ISNUMBER($AZ$454),$B$258=1),$AZ$454,HLOOKUP(INDIRECT(ADDRESS(2,COLUMN())),OFFSET($BN$2,0,0,ROW()-1,60),ROW()-1,FALSE))</f>
        <v/>
      </c>
      <c r="BA215" t="str">
        <f ca="1">IF(AND(ISNUMBER($BA$454),$B$258=1),$BA$454,HLOOKUP(INDIRECT(ADDRESS(2,COLUMN())),OFFSET($BN$2,0,0,ROW()-1,60),ROW()-1,FALSE))</f>
        <v/>
      </c>
      <c r="BB215" t="str">
        <f ca="1">IF(AND(ISNUMBER($BB$454),$B$258=1),$BB$454,HLOOKUP(INDIRECT(ADDRESS(2,COLUMN())),OFFSET($BN$2,0,0,ROW()-1,60),ROW()-1,FALSE))</f>
        <v/>
      </c>
      <c r="BC215" t="str">
        <f ca="1">IF(AND(ISNUMBER($BC$454),$B$258=1),$BC$454,HLOOKUP(INDIRECT(ADDRESS(2,COLUMN())),OFFSET($BN$2,0,0,ROW()-1,60),ROW()-1,FALSE))</f>
        <v/>
      </c>
      <c r="BD215" t="str">
        <f ca="1">IF(AND(ISNUMBER($BD$454),$B$258=1),$BD$454,HLOOKUP(INDIRECT(ADDRESS(2,COLUMN())),OFFSET($BN$2,0,0,ROW()-1,60),ROW()-1,FALSE))</f>
        <v/>
      </c>
      <c r="BE215" t="str">
        <f ca="1">IF(AND(ISNUMBER($BE$454),$B$258=1),$BE$454,HLOOKUP(INDIRECT(ADDRESS(2,COLUMN())),OFFSET($BN$2,0,0,ROW()-1,60),ROW()-1,FALSE))</f>
        <v/>
      </c>
      <c r="BF215" t="str">
        <f ca="1">IF(AND(ISNUMBER($BF$454),$B$258=1),$BF$454,HLOOKUP(INDIRECT(ADDRESS(2,COLUMN())),OFFSET($BN$2,0,0,ROW()-1,60),ROW()-1,FALSE))</f>
        <v/>
      </c>
      <c r="BG215" t="str">
        <f ca="1">IF(AND(ISNUMBER($BG$454),$B$258=1),$BG$454,HLOOKUP(INDIRECT(ADDRESS(2,COLUMN())),OFFSET($BN$2,0,0,ROW()-1,60),ROW()-1,FALSE))</f>
        <v/>
      </c>
      <c r="BH215" t="str">
        <f ca="1">IF(AND(ISNUMBER($BH$454),$B$258=1),$BH$454,HLOOKUP(INDIRECT(ADDRESS(2,COLUMN())),OFFSET($BN$2,0,0,ROW()-1,60),ROW()-1,FALSE))</f>
        <v/>
      </c>
      <c r="BI215" t="str">
        <f ca="1">IF(AND(ISNUMBER($BI$454),$B$258=1),$BI$454,HLOOKUP(INDIRECT(ADDRESS(2,COLUMN())),OFFSET($BN$2,0,0,ROW()-1,60),ROW()-1,FALSE))</f>
        <v/>
      </c>
      <c r="BJ215" t="str">
        <f ca="1">IF(AND(ISNUMBER($BJ$454),$B$258=1),$BJ$454,HLOOKUP(INDIRECT(ADDRESS(2,COLUMN())),OFFSET($BN$2,0,0,ROW()-1,60),ROW()-1,FALSE))</f>
        <v/>
      </c>
      <c r="BK215" t="str">
        <f ca="1">IF(AND(ISNUMBER($BK$454),$B$258=1),$BK$454,HLOOKUP(INDIRECT(ADDRESS(2,COLUMN())),OFFSET($BN$2,0,0,ROW()-1,60),ROW()-1,FALSE))</f>
        <v/>
      </c>
      <c r="BL215" t="str">
        <f ca="1">IF(AND(ISNUMBER($BL$454),$B$258=1),$BL$454,HLOOKUP(INDIRECT(ADDRESS(2,COLUMN())),OFFSET($BN$2,0,0,ROW()-1,60),ROW()-1,FALSE))</f>
        <v/>
      </c>
      <c r="BM215" t="str">
        <f ca="1">IF(AND(ISNUMBER($BM$454),$B$258=1),$BM$454,HLOOKUP(INDIRECT(ADDRESS(2,COLUMN())),OFFSET($BN$2,0,0,ROW()-1,60),ROW()-1,FALSE))</f>
        <v/>
      </c>
      <c r="BN215" t="str">
        <f>""</f>
        <v/>
      </c>
      <c r="BO215">
        <f>518.632</f>
        <v>518.63199999999995</v>
      </c>
      <c r="BP215">
        <f>30.873</f>
        <v>30.873000000000001</v>
      </c>
      <c r="BQ215">
        <f>13.235</f>
        <v>13.234999999999999</v>
      </c>
      <c r="BR215">
        <f>12.814</f>
        <v>12.814</v>
      </c>
      <c r="BS215">
        <f>25.663</f>
        <v>25.663</v>
      </c>
      <c r="BT215">
        <f>19.674</f>
        <v>19.673999999999999</v>
      </c>
      <c r="BU215">
        <f>103.868</f>
        <v>103.86799999999999</v>
      </c>
      <c r="BV215">
        <f>9.133</f>
        <v>9.1329999999999991</v>
      </c>
      <c r="BW215">
        <f>7.434</f>
        <v>7.4340000000000002</v>
      </c>
      <c r="BX215">
        <f>31.473</f>
        <v>31.472999999999999</v>
      </c>
      <c r="BY215">
        <f>6.042</f>
        <v>6.0419999999999998</v>
      </c>
      <c r="BZ215">
        <f>4.171</f>
        <v>4.1710000000000003</v>
      </c>
      <c r="CA215">
        <f>61.793</f>
        <v>61.792999999999999</v>
      </c>
      <c r="CB215">
        <f>25.479</f>
        <v>25.478999999999999</v>
      </c>
      <c r="CC215">
        <f>15.085</f>
        <v>15.085000000000001</v>
      </c>
      <c r="CD215">
        <f>4.286</f>
        <v>4.2859999999999996</v>
      </c>
      <c r="CE215">
        <f>4.308</f>
        <v>4.3079999999999998</v>
      </c>
      <c r="CF215">
        <f>96.641</f>
        <v>96.641000000000005</v>
      </c>
      <c r="CG215">
        <f>92.77</f>
        <v>92.77</v>
      </c>
      <c r="CH215">
        <f>53.565</f>
        <v>53.564999999999998</v>
      </c>
      <c r="CI215">
        <f>17.101</f>
        <v>17.100999999999999</v>
      </c>
      <c r="CJ215">
        <f>30.477</f>
        <v>30.477</v>
      </c>
      <c r="CK215">
        <f>3.11</f>
        <v>3.11</v>
      </c>
      <c r="CL215">
        <f>2.675</f>
        <v>2.6749999999999998</v>
      </c>
      <c r="CM215">
        <f>42.25</f>
        <v>42.25</v>
      </c>
      <c r="CN215">
        <f>56.417</f>
        <v>56.417000000000002</v>
      </c>
      <c r="CO215">
        <f>3.454</f>
        <v>3.4540000000000002</v>
      </c>
      <c r="CP215">
        <f>80.21</f>
        <v>80.209999999999994</v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>
      <c r="A216" t="str">
        <f>"    Senior Housing Properties Trus"</f>
        <v xml:space="preserve">    Senior Housing Properties Trus</v>
      </c>
      <c r="B216" t="str">
        <f>"SNH US Equity"</f>
        <v>SNH US Equity</v>
      </c>
      <c r="C216" t="str">
        <f t="shared" si="51"/>
        <v>RR253</v>
      </c>
      <c r="D216" t="str">
        <f t="shared" si="52"/>
        <v>CASH_AND_MARKETABLE_SECURITIES</v>
      </c>
      <c r="E216" t="str">
        <f t="shared" si="53"/>
        <v>动态</v>
      </c>
      <c r="F216" t="str">
        <f ca="1">IF(AND(ISNUMBER($F$455),$B$258=1),$F$455,HLOOKUP(INDIRECT(ADDRESS(2,COLUMN())),OFFSET($BN$2,0,0,ROW()-1,60),ROW()-1,FALSE))</f>
        <v/>
      </c>
      <c r="G216">
        <f ca="1">IF(AND(ISNUMBER($G$455),$B$258=1),$G$455,HLOOKUP(INDIRECT(ADDRESS(2,COLUMN())),OFFSET($BN$2,0,0,ROW()-1,60),ROW()-1,FALSE))</f>
        <v>31.238</v>
      </c>
      <c r="H216">
        <f ca="1">IF(AND(ISNUMBER($H$455),$B$258=1),$H$455,HLOOKUP(INDIRECT(ADDRESS(2,COLUMN())),OFFSET($BN$2,0,0,ROW()-1,60),ROW()-1,FALSE))</f>
        <v>28.87</v>
      </c>
      <c r="I216">
        <f ca="1">IF(AND(ISNUMBER($I$455),$B$258=1),$I$455,HLOOKUP(INDIRECT(ADDRESS(2,COLUMN())),OFFSET($BN$2,0,0,ROW()-1,60),ROW()-1,FALSE))</f>
        <v>27.16</v>
      </c>
      <c r="J216">
        <f ca="1">IF(AND(ISNUMBER($J$455),$B$258=1),$J$455,HLOOKUP(INDIRECT(ADDRESS(2,COLUMN())),OFFSET($BN$2,0,0,ROW()-1,60),ROW()-1,FALSE))</f>
        <v>32.271999999999998</v>
      </c>
      <c r="K216">
        <f ca="1">IF(AND(ISNUMBER($K$455),$B$258=1),$K$455,HLOOKUP(INDIRECT(ADDRESS(2,COLUMN())),OFFSET($BN$2,0,0,ROW()-1,60),ROW()-1,FALSE))</f>
        <v>31.748999999999999</v>
      </c>
      <c r="L216">
        <f ca="1">IF(AND(ISNUMBER($L$455),$B$258=1),$L$455,HLOOKUP(INDIRECT(ADDRESS(2,COLUMN())),OFFSET($BN$2,0,0,ROW()-1,60),ROW()-1,FALSE))</f>
        <v>40.773000000000003</v>
      </c>
      <c r="M216">
        <f ca="1">IF(AND(ISNUMBER($M$455),$B$258=1),$M$455,HLOOKUP(INDIRECT(ADDRESS(2,COLUMN())),OFFSET($BN$2,0,0,ROW()-1,60),ROW()-1,FALSE))</f>
        <v>25.632999999999999</v>
      </c>
      <c r="N216">
        <f ca="1">IF(AND(ISNUMBER($N$455),$B$258=1),$N$455,HLOOKUP(INDIRECT(ADDRESS(2,COLUMN())),OFFSET($BN$2,0,0,ROW()-1,60),ROW()-1,FALSE))</f>
        <v>39.198999999999998</v>
      </c>
      <c r="O216">
        <f ca="1">IF(AND(ISNUMBER($O$455),$B$258=1),$O$455,HLOOKUP(INDIRECT(ADDRESS(2,COLUMN())),OFFSET($BN$2,0,0,ROW()-1,60),ROW()-1,FALSE))</f>
        <v>37.655999999999999</v>
      </c>
      <c r="P216">
        <f ca="1">IF(AND(ISNUMBER($P$455),$B$258=1),$P$455,HLOOKUP(INDIRECT(ADDRESS(2,COLUMN())),OFFSET($BN$2,0,0,ROW()-1,60),ROW()-1,FALSE))</f>
        <v>61.408000000000001</v>
      </c>
      <c r="Q216">
        <f ca="1">IF(AND(ISNUMBER($Q$455),$B$258=1),$Q$455,HLOOKUP(INDIRECT(ADDRESS(2,COLUMN())),OFFSET($BN$2,0,0,ROW()-1,60),ROW()-1,FALSE))</f>
        <v>52.231000000000002</v>
      </c>
      <c r="R216">
        <f ca="1">IF(AND(ISNUMBER($R$455),$B$258=1),$R$455,HLOOKUP(INDIRECT(ADDRESS(2,COLUMN())),OFFSET($BN$2,0,0,ROW()-1,60),ROW()-1,FALSE))</f>
        <v>77.793999999999997</v>
      </c>
      <c r="S216">
        <f ca="1">IF(AND(ISNUMBER($S$455),$B$258=1),$S$455,HLOOKUP(INDIRECT(ADDRESS(2,COLUMN())),OFFSET($BN$2,0,0,ROW()-1,60),ROW()-1,FALSE))</f>
        <v>27.594000000000001</v>
      </c>
      <c r="T216">
        <f ca="1">IF(AND(ISNUMBER($T$455),$B$258=1),$T$455,HLOOKUP(INDIRECT(ADDRESS(2,COLUMN())),OFFSET($BN$2,0,0,ROW()-1,60),ROW()-1,FALSE))</f>
        <v>80.75</v>
      </c>
      <c r="U216">
        <f ca="1">IF(AND(ISNUMBER($U$455),$B$258=1),$U$455,HLOOKUP(INDIRECT(ADDRESS(2,COLUMN())),OFFSET($BN$2,0,0,ROW()-1,60),ROW()-1,FALSE))</f>
        <v>79.391999999999996</v>
      </c>
      <c r="V216">
        <f ca="1">IF(AND(ISNUMBER($V$455),$B$258=1),$V$455,HLOOKUP(INDIRECT(ADDRESS(2,COLUMN())),OFFSET($BN$2,0,0,ROW()-1,60),ROW()-1,FALSE))</f>
        <v>32.966999999999999</v>
      </c>
      <c r="W216">
        <f ca="1">IF(AND(ISNUMBER($W$455),$B$258=1),$W$455,HLOOKUP(INDIRECT(ADDRESS(2,COLUMN())),OFFSET($BN$2,0,0,ROW()-1,60),ROW()-1,FALSE))</f>
        <v>39.232999999999997</v>
      </c>
      <c r="X216">
        <f ca="1">IF(AND(ISNUMBER($X$455),$B$258=1),$X$455,HLOOKUP(INDIRECT(ADDRESS(2,COLUMN())),OFFSET($BN$2,0,0,ROW()-1,60),ROW()-1,FALSE))</f>
        <v>52.258000000000003</v>
      </c>
      <c r="Y216">
        <f ca="1">IF(AND(ISNUMBER($Y$455),$B$258=1),$Y$455,HLOOKUP(INDIRECT(ADDRESS(2,COLUMN())),OFFSET($BN$2,0,0,ROW()-1,60),ROW()-1,FALSE))</f>
        <v>37.335999999999999</v>
      </c>
      <c r="Z216">
        <f ca="1">IF(AND(ISNUMBER($Z$455),$B$258=1),$Z$455,HLOOKUP(INDIRECT(ADDRESS(2,COLUMN())),OFFSET($BN$2,0,0,ROW()-1,60),ROW()-1,FALSE))</f>
        <v>38.988999999999997</v>
      </c>
      <c r="AA216">
        <f ca="1">IF(AND(ISNUMBER($AA$455),$B$258=1),$AA$455,HLOOKUP(INDIRECT(ADDRESS(2,COLUMN())),OFFSET($BN$2,0,0,ROW()-1,60),ROW()-1,FALSE))</f>
        <v>42.381999999999998</v>
      </c>
      <c r="AB216">
        <f ca="1">IF(AND(ISNUMBER($AB$455),$B$258=1),$AB$455,HLOOKUP(INDIRECT(ADDRESS(2,COLUMN())),OFFSET($BN$2,0,0,ROW()-1,60),ROW()-1,FALSE))</f>
        <v>20.984999999999999</v>
      </c>
      <c r="AC216">
        <f ca="1">IF(AND(ISNUMBER($AC$455),$B$258=1),$AC$455,HLOOKUP(INDIRECT(ADDRESS(2,COLUMN())),OFFSET($BN$2,0,0,ROW()-1,60),ROW()-1,FALSE))</f>
        <v>20.405000000000001</v>
      </c>
      <c r="AD216">
        <f ca="1">IF(AND(ISNUMBER($AD$455),$B$258=1),$AD$455,HLOOKUP(INDIRECT(ADDRESS(2,COLUMN())),OFFSET($BN$2,0,0,ROW()-1,60),ROW()-1,FALSE))</f>
        <v>25.302</v>
      </c>
      <c r="AE216">
        <f ca="1">IF(AND(ISNUMBER($AE$455),$B$258=1),$AE$455,HLOOKUP(INDIRECT(ADDRESS(2,COLUMN())),OFFSET($BN$2,0,0,ROW()-1,60),ROW()-1,FALSE))</f>
        <v>23.56</v>
      </c>
      <c r="AF216">
        <f ca="1">IF(AND(ISNUMBER($AF$455),$B$258=1),$AF$455,HLOOKUP(INDIRECT(ADDRESS(2,COLUMN())),OFFSET($BN$2,0,0,ROW()-1,60),ROW()-1,FALSE))</f>
        <v>26.844999999999999</v>
      </c>
      <c r="AG216">
        <f ca="1">IF(AND(ISNUMBER($AG$455),$B$258=1),$AG$455,HLOOKUP(INDIRECT(ADDRESS(2,COLUMN())),OFFSET($BN$2,0,0,ROW()-1,60),ROW()-1,FALSE))</f>
        <v>28.082000000000001</v>
      </c>
      <c r="AH216">
        <f ca="1">IF(AND(ISNUMBER($AH$455),$B$258=1),$AH$455,HLOOKUP(INDIRECT(ADDRESS(2,COLUMN())),OFFSET($BN$2,0,0,ROW()-1,60),ROW()-1,FALSE))</f>
        <v>14.81</v>
      </c>
      <c r="AI216">
        <f ca="1">IF(AND(ISNUMBER($AI$455),$B$258=1),$AI$455,HLOOKUP(INDIRECT(ADDRESS(2,COLUMN())),OFFSET($BN$2,0,0,ROW()-1,60),ROW()-1,FALSE))</f>
        <v>10.866</v>
      </c>
      <c r="AJ216">
        <f ca="1">IF(AND(ISNUMBER($AJ$455),$B$258=1),$AJ$455,HLOOKUP(INDIRECT(ADDRESS(2,COLUMN())),OFFSET($BN$2,0,0,ROW()-1,60),ROW()-1,FALSE))</f>
        <v>8.5129999999999999</v>
      </c>
      <c r="AK216">
        <f ca="1">IF(AND(ISNUMBER($AK$455),$B$258=1),$AK$455,HLOOKUP(INDIRECT(ADDRESS(2,COLUMN())),OFFSET($BN$2,0,0,ROW()-1,60),ROW()-1,FALSE))</f>
        <v>25.23</v>
      </c>
      <c r="AL216">
        <f ca="1">IF(AND(ISNUMBER($AL$455),$B$258=1),$AL$455,HLOOKUP(INDIRECT(ADDRESS(2,COLUMN())),OFFSET($BN$2,0,0,ROW()-1,60),ROW()-1,FALSE))</f>
        <v>5.4859999999999998</v>
      </c>
      <c r="AM216">
        <f ca="1">IF(AND(ISNUMBER($AM$455),$B$258=1),$AM$455,HLOOKUP(INDIRECT(ADDRESS(2,COLUMN())),OFFSET($BN$2,0,0,ROW()-1,60),ROW()-1,FALSE))</f>
        <v>10.494</v>
      </c>
      <c r="AN216">
        <f ca="1">IF(AND(ISNUMBER($AN$455),$B$258=1),$AN$455,HLOOKUP(INDIRECT(ADDRESS(2,COLUMN())),OFFSET($BN$2,0,0,ROW()-1,60),ROW()-1,FALSE))</f>
        <v>72.486999999999995</v>
      </c>
      <c r="AO216">
        <f ca="1">IF(AND(ISNUMBER($AO$455),$B$258=1),$AO$455,HLOOKUP(INDIRECT(ADDRESS(2,COLUMN())),OFFSET($BN$2,0,0,ROW()-1,60),ROW()-1,FALSE))</f>
        <v>5.3730000000000002</v>
      </c>
      <c r="AP216">
        <f ca="1">IF(AND(ISNUMBER($AP$455),$B$258=1),$AP$455,HLOOKUP(INDIRECT(ADDRESS(2,COLUMN())),OFFSET($BN$2,0,0,ROW()-1,60),ROW()-1,FALSE))</f>
        <v>5.5659999999999998</v>
      </c>
      <c r="AQ216">
        <f ca="1">IF(AND(ISNUMBER($AQ$455),$B$258=1),$AQ$455,HLOOKUP(INDIRECT(ADDRESS(2,COLUMN())),OFFSET($BN$2,0,0,ROW()-1,60),ROW()-1,FALSE))</f>
        <v>5.99</v>
      </c>
      <c r="AR216">
        <f ca="1">IF(AND(ISNUMBER($AR$455),$B$258=1),$AR$455,HLOOKUP(INDIRECT(ADDRESS(2,COLUMN())),OFFSET($BN$2,0,0,ROW()-1,60),ROW()-1,FALSE))</f>
        <v>7.1909999999999998</v>
      </c>
      <c r="AS216">
        <f ca="1">IF(AND(ISNUMBER($AS$455),$B$258=1),$AS$455,HLOOKUP(INDIRECT(ADDRESS(2,COLUMN())),OFFSET($BN$2,0,0,ROW()-1,60),ROW()-1,FALSE))</f>
        <v>185.94</v>
      </c>
      <c r="AT216">
        <f ca="1">IF(AND(ISNUMBER($AT$455),$B$258=1),$AT$455,HLOOKUP(INDIRECT(ADDRESS(2,COLUMN())),OFFSET($BN$2,0,0,ROW()-1,60),ROW()-1,FALSE))</f>
        <v>5.1920000000000002</v>
      </c>
      <c r="AU216">
        <f ca="1">IF(AND(ISNUMBER($AU$455),$B$258=1),$AU$455,HLOOKUP(INDIRECT(ADDRESS(2,COLUMN())),OFFSET($BN$2,0,0,ROW()-1,60),ROW()-1,FALSE))</f>
        <v>43.521000000000001</v>
      </c>
      <c r="AV216">
        <f ca="1">IF(AND(ISNUMBER($AV$455),$B$258=1),$AV$455,HLOOKUP(INDIRECT(ADDRESS(2,COLUMN())),OFFSET($BN$2,0,0,ROW()-1,60),ROW()-1,FALSE))</f>
        <v>3.645</v>
      </c>
      <c r="AW216">
        <f ca="1">IF(AND(ISNUMBER($AW$455),$B$258=1),$AW$455,HLOOKUP(INDIRECT(ADDRESS(2,COLUMN())),OFFSET($BN$2,0,0,ROW()-1,60),ROW()-1,FALSE))</f>
        <v>8.9239999999999995</v>
      </c>
      <c r="AX216">
        <f ca="1">IF(AND(ISNUMBER($AX$455),$B$258=1),$AX$455,HLOOKUP(INDIRECT(ADDRESS(2,COLUMN())),OFFSET($BN$2,0,0,ROW()-1,60),ROW()-1,FALSE))</f>
        <v>17.358000000000001</v>
      </c>
      <c r="AY216">
        <f ca="1">IF(AND(ISNUMBER($AY$455),$B$258=1),$AY$455,HLOOKUP(INDIRECT(ADDRESS(2,COLUMN())),OFFSET($BN$2,0,0,ROW()-1,60),ROW()-1,FALSE))</f>
        <v>5.4640000000000004</v>
      </c>
      <c r="AZ216">
        <f ca="1">IF(AND(ISNUMBER($AZ$455),$B$258=1),$AZ$455,HLOOKUP(INDIRECT(ADDRESS(2,COLUMN())),OFFSET($BN$2,0,0,ROW()-1,60),ROW()-1,FALSE))</f>
        <v>1.5269999999999999</v>
      </c>
      <c r="BA216">
        <f ca="1">IF(AND(ISNUMBER($BA$455),$B$258=1),$BA$455,HLOOKUP(INDIRECT(ADDRESS(2,COLUMN())),OFFSET($BN$2,0,0,ROW()-1,60),ROW()-1,FALSE))</f>
        <v>2.7469999999999999</v>
      </c>
      <c r="BB216">
        <f ca="1">IF(AND(ISNUMBER($BB$455),$B$258=1),$BB$455,HLOOKUP(INDIRECT(ADDRESS(2,COLUMN())),OFFSET($BN$2,0,0,ROW()-1,60),ROW()-1,FALSE))</f>
        <v>1.2470000000000001</v>
      </c>
      <c r="BC216">
        <f ca="1">IF(AND(ISNUMBER($BC$455),$B$258=1),$BC$455,HLOOKUP(INDIRECT(ADDRESS(2,COLUMN())),OFFSET($BN$2,0,0,ROW()-1,60),ROW()-1,FALSE))</f>
        <v>14.641999999999999</v>
      </c>
      <c r="BD216">
        <f ca="1">IF(AND(ISNUMBER($BD$455),$B$258=1),$BD$455,HLOOKUP(INDIRECT(ADDRESS(2,COLUMN())),OFFSET($BN$2,0,0,ROW()-1,60),ROW()-1,FALSE))</f>
        <v>1.8559999469999999</v>
      </c>
      <c r="BE216">
        <f ca="1">IF(AND(ISNUMBER($BE$455),$B$258=1),$BE$455,HLOOKUP(INDIRECT(ADDRESS(2,COLUMN())),OFFSET($BN$2,0,0,ROW()-1,60),ROW()-1,FALSE))</f>
        <v>7.2069997790000002</v>
      </c>
      <c r="BF216">
        <f ca="1">IF(AND(ISNUMBER($BF$455),$B$258=1),$BF$455,HLOOKUP(INDIRECT(ADDRESS(2,COLUMN())),OFFSET($BN$2,0,0,ROW()-1,60),ROW()-1,FALSE))</f>
        <v>3.5639998909999999</v>
      </c>
      <c r="BG216">
        <f ca="1">IF(AND(ISNUMBER($BG$455),$B$258=1),$BG$455,HLOOKUP(INDIRECT(ADDRESS(2,COLUMN())),OFFSET($BN$2,0,0,ROW()-1,60),ROW()-1,FALSE))</f>
        <v>3.4089999999999998</v>
      </c>
      <c r="BH216">
        <f ca="1">IF(AND(ISNUMBER($BH$455),$B$258=1),$BH$455,HLOOKUP(INDIRECT(ADDRESS(2,COLUMN())),OFFSET($BN$2,0,0,ROW()-1,60),ROW()-1,FALSE))</f>
        <v>2.8940000530000001</v>
      </c>
      <c r="BI216">
        <f ca="1">IF(AND(ISNUMBER($BI$455),$B$258=1),$BI$455,HLOOKUP(INDIRECT(ADDRESS(2,COLUMN())),OFFSET($BN$2,0,0,ROW()-1,60),ROW()-1,FALSE))</f>
        <v>4.8140001300000002</v>
      </c>
      <c r="BJ216">
        <f ca="1">IF(AND(ISNUMBER($BJ$455),$B$258=1),$BJ$455,HLOOKUP(INDIRECT(ADDRESS(2,COLUMN())),OFFSET($BN$2,0,0,ROW()-1,60),ROW()-1,FALSE))</f>
        <v>3.7990000249999998</v>
      </c>
      <c r="BK216">
        <f ca="1">IF(AND(ISNUMBER($BK$455),$B$258=1),$BK$455,HLOOKUP(INDIRECT(ADDRESS(2,COLUMN())),OFFSET($BN$2,0,0,ROW()-1,60),ROW()-1,FALSE))</f>
        <v>3.5299999710000001</v>
      </c>
      <c r="BL216">
        <f ca="1">IF(AND(ISNUMBER($BL$455),$B$258=1),$BL$455,HLOOKUP(INDIRECT(ADDRESS(2,COLUMN())),OFFSET($BN$2,0,0,ROW()-1,60),ROW()-1,FALSE))</f>
        <v>4.88</v>
      </c>
      <c r="BM216">
        <f ca="1">IF(AND(ISNUMBER($BM$455),$B$258=1),$BM$455,HLOOKUP(INDIRECT(ADDRESS(2,COLUMN())),OFFSET($BN$2,0,0,ROW()-1,60),ROW()-1,FALSE))</f>
        <v>5.46</v>
      </c>
      <c r="BN216" t="str">
        <f>""</f>
        <v/>
      </c>
      <c r="BO216">
        <f>31.238</f>
        <v>31.238</v>
      </c>
      <c r="BP216">
        <f>28.87</f>
        <v>28.87</v>
      </c>
      <c r="BQ216">
        <f>27.16</f>
        <v>27.16</v>
      </c>
      <c r="BR216">
        <f>32.272</f>
        <v>32.271999999999998</v>
      </c>
      <c r="BS216">
        <f>31.749</f>
        <v>31.748999999999999</v>
      </c>
      <c r="BT216">
        <f>40.773</f>
        <v>40.773000000000003</v>
      </c>
      <c r="BU216">
        <f>25.633</f>
        <v>25.632999999999999</v>
      </c>
      <c r="BV216">
        <f>39.199</f>
        <v>39.198999999999998</v>
      </c>
      <c r="BW216">
        <f>37.656</f>
        <v>37.655999999999999</v>
      </c>
      <c r="BX216">
        <f>61.408</f>
        <v>61.408000000000001</v>
      </c>
      <c r="BY216">
        <f>52.231</f>
        <v>52.231000000000002</v>
      </c>
      <c r="BZ216">
        <f>77.794</f>
        <v>77.793999999999997</v>
      </c>
      <c r="CA216">
        <f>27.594</f>
        <v>27.594000000000001</v>
      </c>
      <c r="CB216">
        <f>80.75</f>
        <v>80.75</v>
      </c>
      <c r="CC216">
        <f>79.392</f>
        <v>79.391999999999996</v>
      </c>
      <c r="CD216">
        <f>32.967</f>
        <v>32.966999999999999</v>
      </c>
      <c r="CE216">
        <f>39.233</f>
        <v>39.232999999999997</v>
      </c>
      <c r="CF216">
        <f>52.258</f>
        <v>52.258000000000003</v>
      </c>
      <c r="CG216">
        <f>37.336</f>
        <v>37.335999999999999</v>
      </c>
      <c r="CH216">
        <f>38.989</f>
        <v>38.988999999999997</v>
      </c>
      <c r="CI216">
        <f>42.382</f>
        <v>42.381999999999998</v>
      </c>
      <c r="CJ216">
        <f>20.985</f>
        <v>20.984999999999999</v>
      </c>
      <c r="CK216">
        <f>20.405</f>
        <v>20.405000000000001</v>
      </c>
      <c r="CL216">
        <f>25.302</f>
        <v>25.302</v>
      </c>
      <c r="CM216">
        <f>23.56</f>
        <v>23.56</v>
      </c>
      <c r="CN216">
        <f>26.845</f>
        <v>26.844999999999999</v>
      </c>
      <c r="CO216">
        <f>28.082</f>
        <v>28.082000000000001</v>
      </c>
      <c r="CP216">
        <f>14.81</f>
        <v>14.81</v>
      </c>
      <c r="CQ216">
        <f>10.866</f>
        <v>10.866</v>
      </c>
      <c r="CR216">
        <f>8.513</f>
        <v>8.5129999999999999</v>
      </c>
      <c r="CS216">
        <f>25.23</f>
        <v>25.23</v>
      </c>
      <c r="CT216">
        <f>5.486</f>
        <v>5.4859999999999998</v>
      </c>
      <c r="CU216">
        <f>10.494</f>
        <v>10.494</v>
      </c>
      <c r="CV216">
        <f>72.487</f>
        <v>72.486999999999995</v>
      </c>
      <c r="CW216">
        <f>5.373</f>
        <v>5.3730000000000002</v>
      </c>
      <c r="CX216">
        <f>5.566</f>
        <v>5.5659999999999998</v>
      </c>
      <c r="CY216">
        <f>5.99</f>
        <v>5.99</v>
      </c>
      <c r="CZ216">
        <f>7.191</f>
        <v>7.1909999999999998</v>
      </c>
      <c r="DA216">
        <f>185.94</f>
        <v>185.94</v>
      </c>
      <c r="DB216">
        <f>5.192</f>
        <v>5.1920000000000002</v>
      </c>
      <c r="DC216">
        <f>43.521</f>
        <v>43.521000000000001</v>
      </c>
      <c r="DD216">
        <f>3.645</f>
        <v>3.645</v>
      </c>
      <c r="DE216">
        <f>8.924</f>
        <v>8.9239999999999995</v>
      </c>
      <c r="DF216">
        <f>17.358</f>
        <v>17.358000000000001</v>
      </c>
      <c r="DG216">
        <f>5.464</f>
        <v>5.4640000000000004</v>
      </c>
      <c r="DH216">
        <f>1.527</f>
        <v>1.5269999999999999</v>
      </c>
      <c r="DI216">
        <f>2.747</f>
        <v>2.7469999999999999</v>
      </c>
      <c r="DJ216">
        <f>1.247</f>
        <v>1.2470000000000001</v>
      </c>
      <c r="DK216">
        <f>14.642</f>
        <v>14.641999999999999</v>
      </c>
      <c r="DL216">
        <f>1.855999947</f>
        <v>1.8559999469999999</v>
      </c>
      <c r="DM216">
        <f>7.206999779</f>
        <v>7.2069997790000002</v>
      </c>
      <c r="DN216">
        <f>3.563999891</f>
        <v>3.5639998909999999</v>
      </c>
      <c r="DO216">
        <f>3.409</f>
        <v>3.4089999999999998</v>
      </c>
      <c r="DP216">
        <f>2.894000053</f>
        <v>2.8940000530000001</v>
      </c>
      <c r="DQ216">
        <f>4.81400013</f>
        <v>4.8140001300000002</v>
      </c>
      <c r="DR216">
        <f>3.799000025</f>
        <v>3.7990000249999998</v>
      </c>
      <c r="DS216">
        <f>3.529999971</f>
        <v>3.5299999710000001</v>
      </c>
      <c r="DT216">
        <f>4.88</f>
        <v>4.88</v>
      </c>
      <c r="DU216">
        <f>5.46</f>
        <v>5.46</v>
      </c>
    </row>
    <row r="217" spans="1:125">
      <c r="A217" t="str">
        <f>"    Ventas Inc"</f>
        <v xml:space="preserve">    Ventas Inc</v>
      </c>
      <c r="B217" t="str">
        <f>"VTR US Equity"</f>
        <v>VTR US Equity</v>
      </c>
      <c r="C217" t="str">
        <f t="shared" si="51"/>
        <v>RR253</v>
      </c>
      <c r="D217" t="str">
        <f t="shared" si="52"/>
        <v>CASH_AND_MARKETABLE_SECURITIES</v>
      </c>
      <c r="E217" t="str">
        <f t="shared" si="53"/>
        <v>动态</v>
      </c>
      <c r="F217" t="str">
        <f ca="1">IF(AND(ISNUMBER($F$456),$B$258=1),$F$456,HLOOKUP(INDIRECT(ADDRESS(2,COLUMN())),OFFSET($BN$2,0,0,ROW()-1,60),ROW()-1,FALSE))</f>
        <v/>
      </c>
      <c r="G217">
        <f ca="1">IF(AND(ISNUMBER($G$456),$B$258=1),$G$456,HLOOKUP(INDIRECT(ADDRESS(2,COLUMN())),OFFSET($BN$2,0,0,ROW()-1,60),ROW()-1,FALSE))</f>
        <v>81.355000000000004</v>
      </c>
      <c r="H217">
        <f ca="1">IF(AND(ISNUMBER($H$456),$B$258=1),$H$456,HLOOKUP(INDIRECT(ADDRESS(2,COLUMN())),OFFSET($BN$2,0,0,ROW()-1,60),ROW()-1,FALSE))</f>
        <v>85.063000000000002</v>
      </c>
      <c r="I217">
        <f ca="1">IF(AND(ISNUMBER($I$456),$B$258=1),$I$456,HLOOKUP(INDIRECT(ADDRESS(2,COLUMN())),OFFSET($BN$2,0,0,ROW()-1,60),ROW()-1,FALSE))</f>
        <v>103.35299999999999</v>
      </c>
      <c r="J217">
        <f ca="1">IF(AND(ISNUMBER($J$456),$B$258=1),$J$456,HLOOKUP(INDIRECT(ADDRESS(2,COLUMN())),OFFSET($BN$2,0,0,ROW()-1,60),ROW()-1,FALSE))</f>
        <v>91.284000000000006</v>
      </c>
      <c r="K217">
        <f ca="1">IF(AND(ISNUMBER($K$456),$B$258=1),$K$456,HLOOKUP(INDIRECT(ADDRESS(2,COLUMN())),OFFSET($BN$2,0,0,ROW()-1,60),ROW()-1,FALSE))</f>
        <v>286.70699999999999</v>
      </c>
      <c r="L217">
        <f ca="1">IF(AND(ISNUMBER($L$456),$B$258=1),$L$456,HLOOKUP(INDIRECT(ADDRESS(2,COLUMN())),OFFSET($BN$2,0,0,ROW()-1,60),ROW()-1,FALSE))</f>
        <v>89.278999999999996</v>
      </c>
      <c r="M217">
        <f ca="1">IF(AND(ISNUMBER($M$456),$B$258=1),$M$456,HLOOKUP(INDIRECT(ADDRESS(2,COLUMN())),OFFSET($BN$2,0,0,ROW()-1,60),ROW()-1,FALSE))</f>
        <v>57.322000000000003</v>
      </c>
      <c r="N217">
        <f ca="1">IF(AND(ISNUMBER($N$456),$B$258=1),$N$456,HLOOKUP(INDIRECT(ADDRESS(2,COLUMN())),OFFSET($BN$2,0,0,ROW()-1,60),ROW()-1,FALSE))</f>
        <v>51.701000000000001</v>
      </c>
      <c r="O217">
        <f ca="1">IF(AND(ISNUMBER($O$456),$B$258=1),$O$456,HLOOKUP(INDIRECT(ADDRESS(2,COLUMN())),OFFSET($BN$2,0,0,ROW()-1,60),ROW()-1,FALSE))</f>
        <v>53.023000000000003</v>
      </c>
      <c r="P217">
        <f ca="1">IF(AND(ISNUMBER($P$456),$B$258=1),$P$456,HLOOKUP(INDIRECT(ADDRESS(2,COLUMN())),OFFSET($BN$2,0,0,ROW()-1,60),ROW()-1,FALSE))</f>
        <v>65.230999999999995</v>
      </c>
      <c r="Q217">
        <f ca="1">IF(AND(ISNUMBER($Q$456),$B$258=1),$Q$456,HLOOKUP(INDIRECT(ADDRESS(2,COLUMN())),OFFSET($BN$2,0,0,ROW()-1,60),ROW()-1,FALSE))</f>
        <v>60.531999999999996</v>
      </c>
      <c r="R217">
        <f ca="1">IF(AND(ISNUMBER($R$456),$B$258=1),$R$456,HLOOKUP(INDIRECT(ADDRESS(2,COLUMN())),OFFSET($BN$2,0,0,ROW()-1,60),ROW()-1,FALSE))</f>
        <v>120.22499999999999</v>
      </c>
      <c r="S217">
        <f ca="1">IF(AND(ISNUMBER($S$456),$B$258=1),$S$456,HLOOKUP(INDIRECT(ADDRESS(2,COLUMN())),OFFSET($BN$2,0,0,ROW()-1,60),ROW()-1,FALSE))</f>
        <v>55.347999999999999</v>
      </c>
      <c r="T217">
        <f ca="1">IF(AND(ISNUMBER($T$456),$B$258=1),$T$456,HLOOKUP(INDIRECT(ADDRESS(2,COLUMN())),OFFSET($BN$2,0,0,ROW()-1,60),ROW()-1,FALSE))</f>
        <v>64.594999999999999</v>
      </c>
      <c r="U217">
        <f ca="1">IF(AND(ISNUMBER($U$456),$B$258=1),$U$456,HLOOKUP(INDIRECT(ADDRESS(2,COLUMN())),OFFSET($BN$2,0,0,ROW()-1,60),ROW()-1,FALSE))</f>
        <v>86.635000000000005</v>
      </c>
      <c r="V217">
        <f ca="1">IF(AND(ISNUMBER($V$456),$B$258=1),$V$456,HLOOKUP(INDIRECT(ADDRESS(2,COLUMN())),OFFSET($BN$2,0,0,ROW()-1,60),ROW()-1,FALSE))</f>
        <v>59.790999999999997</v>
      </c>
      <c r="W217">
        <f ca="1">IF(AND(ISNUMBER($W$456),$B$258=1),$W$456,HLOOKUP(INDIRECT(ADDRESS(2,COLUMN())),OFFSET($BN$2,0,0,ROW()-1,60),ROW()-1,FALSE))</f>
        <v>94.816000000000003</v>
      </c>
      <c r="X217">
        <f ca="1">IF(AND(ISNUMBER($X$456),$B$258=1),$X$456,HLOOKUP(INDIRECT(ADDRESS(2,COLUMN())),OFFSET($BN$2,0,0,ROW()-1,60),ROW()-1,FALSE))</f>
        <v>54.671999999999997</v>
      </c>
      <c r="Y217">
        <f ca="1">IF(AND(ISNUMBER($Y$456),$B$258=1),$Y$456,HLOOKUP(INDIRECT(ADDRESS(2,COLUMN())),OFFSET($BN$2,0,0,ROW()-1,60),ROW()-1,FALSE))</f>
        <v>62.420999999999999</v>
      </c>
      <c r="Z217">
        <f ca="1">IF(AND(ISNUMBER($Z$456),$B$258=1),$Z$456,HLOOKUP(INDIRECT(ADDRESS(2,COLUMN())),OFFSET($BN$2,0,0,ROW()-1,60),ROW()-1,FALSE))</f>
        <v>57.69</v>
      </c>
      <c r="AA217">
        <f ca="1">IF(AND(ISNUMBER($AA$456),$B$258=1),$AA$456,HLOOKUP(INDIRECT(ADDRESS(2,COLUMN())),OFFSET($BN$2,0,0,ROW()-1,60),ROW()-1,FALSE))</f>
        <v>67.908000000000001</v>
      </c>
      <c r="AB217">
        <f ca="1">IF(AND(ISNUMBER($AB$456),$B$258=1),$AB$456,HLOOKUP(INDIRECT(ADDRESS(2,COLUMN())),OFFSET($BN$2,0,0,ROW()-1,60),ROW()-1,FALSE))</f>
        <v>58.53</v>
      </c>
      <c r="AC217">
        <f ca="1">IF(AND(ISNUMBER($AC$456),$B$258=1),$AC$456,HLOOKUP(INDIRECT(ADDRESS(2,COLUMN())),OFFSET($BN$2,0,0,ROW()-1,60),ROW()-1,FALSE))</f>
        <v>52.802999999999997</v>
      </c>
      <c r="AD217">
        <f ca="1">IF(AND(ISNUMBER($AD$456),$B$258=1),$AD$456,HLOOKUP(INDIRECT(ADDRESS(2,COLUMN())),OFFSET($BN$2,0,0,ROW()-1,60),ROW()-1,FALSE))</f>
        <v>53.223999999999997</v>
      </c>
      <c r="AE217">
        <f ca="1">IF(AND(ISNUMBER($AE$456),$B$258=1),$AE$456,HLOOKUP(INDIRECT(ADDRESS(2,COLUMN())),OFFSET($BN$2,0,0,ROW()-1,60),ROW()-1,FALSE))</f>
        <v>45.807000000000002</v>
      </c>
      <c r="AF217">
        <f ca="1">IF(AND(ISNUMBER($AF$456),$B$258=1),$AF$456,HLOOKUP(INDIRECT(ADDRESS(2,COLUMN())),OFFSET($BN$2,0,0,ROW()-1,60),ROW()-1,FALSE))</f>
        <v>57.481999999999999</v>
      </c>
      <c r="AG217">
        <f ca="1">IF(AND(ISNUMBER($AG$456),$B$258=1),$AG$456,HLOOKUP(INDIRECT(ADDRESS(2,COLUMN())),OFFSET($BN$2,0,0,ROW()-1,60),ROW()-1,FALSE))</f>
        <v>26.702000000000002</v>
      </c>
      <c r="AH217">
        <f ca="1">IF(AND(ISNUMBER($AH$456),$B$258=1),$AH$456,HLOOKUP(INDIRECT(ADDRESS(2,COLUMN())),OFFSET($BN$2,0,0,ROW()-1,60),ROW()-1,FALSE))</f>
        <v>41.899000000000001</v>
      </c>
      <c r="AI217">
        <f ca="1">IF(AND(ISNUMBER($AI$456),$B$258=1),$AI$456,HLOOKUP(INDIRECT(ADDRESS(2,COLUMN())),OFFSET($BN$2,0,0,ROW()-1,60),ROW()-1,FALSE))</f>
        <v>21.812000000000001</v>
      </c>
      <c r="AJ217">
        <f ca="1">IF(AND(ISNUMBER($AJ$456),$B$258=1),$AJ$456,HLOOKUP(INDIRECT(ADDRESS(2,COLUMN())),OFFSET($BN$2,0,0,ROW()-1,60),ROW()-1,FALSE))</f>
        <v>33.79</v>
      </c>
      <c r="AK217">
        <f ca="1">IF(AND(ISNUMBER($AK$456),$B$258=1),$AK$456,HLOOKUP(INDIRECT(ADDRESS(2,COLUMN())),OFFSET($BN$2,0,0,ROW()-1,60),ROW()-1,FALSE))</f>
        <v>27.794</v>
      </c>
      <c r="AL217">
        <f ca="1">IF(AND(ISNUMBER($AL$456),$B$258=1),$AL$456,HLOOKUP(INDIRECT(ADDRESS(2,COLUMN())),OFFSET($BN$2,0,0,ROW()-1,60),ROW()-1,FALSE))</f>
        <v>132.72900000000001</v>
      </c>
      <c r="AM217">
        <f ca="1">IF(AND(ISNUMBER($AM$456),$B$258=1),$AM$456,HLOOKUP(INDIRECT(ADDRESS(2,COLUMN())),OFFSET($BN$2,0,0,ROW()-1,60),ROW()-1,FALSE))</f>
        <v>107.39700000000001</v>
      </c>
      <c r="AN217">
        <f ca="1">IF(AND(ISNUMBER($AN$456),$B$258=1),$AN$456,HLOOKUP(INDIRECT(ADDRESS(2,COLUMN())),OFFSET($BN$2,0,0,ROW()-1,60),ROW()-1,FALSE))</f>
        <v>70.888999999999996</v>
      </c>
      <c r="AO217">
        <f ca="1">IF(AND(ISNUMBER($AO$456),$B$258=1),$AO$456,HLOOKUP(INDIRECT(ADDRESS(2,COLUMN())),OFFSET($BN$2,0,0,ROW()-1,60),ROW()-1,FALSE))</f>
        <v>46.523000000000003</v>
      </c>
      <c r="AP217">
        <f ca="1">IF(AND(ISNUMBER($AP$456),$B$258=1),$AP$456,HLOOKUP(INDIRECT(ADDRESS(2,COLUMN())),OFFSET($BN$2,0,0,ROW()-1,60),ROW()-1,FALSE))</f>
        <v>95.805999999999997</v>
      </c>
      <c r="AQ217">
        <f ca="1">IF(AND(ISNUMBER($AQ$456),$B$258=1),$AQ$456,HLOOKUP(INDIRECT(ADDRESS(2,COLUMN())),OFFSET($BN$2,0,0,ROW()-1,60),ROW()-1,FALSE))</f>
        <v>176.81200000000001</v>
      </c>
      <c r="AR217">
        <f ca="1">IF(AND(ISNUMBER($AR$456),$B$258=1),$AR$456,HLOOKUP(INDIRECT(ADDRESS(2,COLUMN())),OFFSET($BN$2,0,0,ROW()-1,60),ROW()-1,FALSE))</f>
        <v>115.923</v>
      </c>
      <c r="AS217">
        <f ca="1">IF(AND(ISNUMBER($AS$456),$B$258=1),$AS$456,HLOOKUP(INDIRECT(ADDRESS(2,COLUMN())),OFFSET($BN$2,0,0,ROW()-1,60),ROW()-1,FALSE))</f>
        <v>29.268000000000001</v>
      </c>
      <c r="AT217">
        <f ca="1">IF(AND(ISNUMBER($AT$456),$B$258=1),$AT$456,HLOOKUP(INDIRECT(ADDRESS(2,COLUMN())),OFFSET($BN$2,0,0,ROW()-1,60),ROW()-1,FALSE))</f>
        <v>51.347000000000001</v>
      </c>
      <c r="AU217">
        <f ca="1">IF(AND(ISNUMBER($AU$456),$B$258=1),$AU$456,HLOOKUP(INDIRECT(ADDRESS(2,COLUMN())),OFFSET($BN$2,0,0,ROW()-1,60),ROW()-1,FALSE))</f>
        <v>28.334</v>
      </c>
      <c r="AV217">
        <f ca="1">IF(AND(ISNUMBER($AV$456),$B$258=1),$AV$456,HLOOKUP(INDIRECT(ADDRESS(2,COLUMN())),OFFSET($BN$2,0,0,ROW()-1,60),ROW()-1,FALSE))</f>
        <v>28.573</v>
      </c>
      <c r="AW217">
        <f ca="1">IF(AND(ISNUMBER($AW$456),$B$258=1),$AW$456,HLOOKUP(INDIRECT(ADDRESS(2,COLUMN())),OFFSET($BN$2,0,0,ROW()-1,60),ROW()-1,FALSE))</f>
        <v>30.138000000000002</v>
      </c>
      <c r="AX217">
        <f ca="1">IF(AND(ISNUMBER($AX$456),$B$258=1),$AX$456,HLOOKUP(INDIRECT(ADDRESS(2,COLUMN())),OFFSET($BN$2,0,0,ROW()-1,60),ROW()-1,FALSE))</f>
        <v>0</v>
      </c>
      <c r="AY217">
        <f ca="1">IF(AND(ISNUMBER($AY$456),$B$258=1),$AY$456,HLOOKUP(INDIRECT(ADDRESS(2,COLUMN())),OFFSET($BN$2,0,0,ROW()-1,60),ROW()-1,FALSE))</f>
        <v>1.246</v>
      </c>
      <c r="AZ217">
        <f ca="1">IF(AND(ISNUMBER($AZ$456),$B$258=1),$AZ$456,HLOOKUP(INDIRECT(ADDRESS(2,COLUMN())),OFFSET($BN$2,0,0,ROW()-1,60),ROW()-1,FALSE))</f>
        <v>1.9350000000000001</v>
      </c>
      <c r="BA217">
        <f ca="1">IF(AND(ISNUMBER($BA$456),$B$258=1),$BA$456,HLOOKUP(INDIRECT(ADDRESS(2,COLUMN())),OFFSET($BN$2,0,0,ROW()-1,60),ROW()-1,FALSE))</f>
        <v>1.9319999999999999</v>
      </c>
      <c r="BB217">
        <f ca="1">IF(AND(ISNUMBER($BB$456),$B$258=1),$BB$456,HLOOKUP(INDIRECT(ADDRESS(2,COLUMN())),OFFSET($BN$2,0,0,ROW()-1,60),ROW()-1,FALSE))</f>
        <v>1.466</v>
      </c>
      <c r="BC217">
        <f ca="1">IF(AND(ISNUMBER($BC$456),$B$258=1),$BC$456,HLOOKUP(INDIRECT(ADDRESS(2,COLUMN())),OFFSET($BN$2,0,0,ROW()-1,60),ROW()-1,FALSE))</f>
        <v>1.641</v>
      </c>
      <c r="BD217">
        <f ca="1">IF(AND(ISNUMBER($BD$456),$B$258=1),$BD$456,HLOOKUP(INDIRECT(ADDRESS(2,COLUMN())),OFFSET($BN$2,0,0,ROW()-1,60),ROW()-1,FALSE))</f>
        <v>5.7640000000000002</v>
      </c>
      <c r="BE217">
        <f ca="1">IF(AND(ISNUMBER($BE$456),$B$258=1),$BE$456,HLOOKUP(INDIRECT(ADDRESS(2,COLUMN())),OFFSET($BN$2,0,0,ROW()-1,60),ROW()-1,FALSE))</f>
        <v>0.80200000000000005</v>
      </c>
      <c r="BF217">
        <f ca="1">IF(AND(ISNUMBER($BF$456),$B$258=1),$BF$456,HLOOKUP(INDIRECT(ADDRESS(2,COLUMN())),OFFSET($BN$2,0,0,ROW()-1,60),ROW()-1,FALSE))</f>
        <v>1.7789999999999999</v>
      </c>
      <c r="BG217">
        <f ca="1">IF(AND(ISNUMBER($BG$456),$B$258=1),$BG$456,HLOOKUP(INDIRECT(ADDRESS(2,COLUMN())),OFFSET($BN$2,0,0,ROW()-1,60),ROW()-1,FALSE))</f>
        <v>3.3650000000000002</v>
      </c>
      <c r="BH217">
        <f ca="1">IF(AND(ISNUMBER($BH$456),$B$258=1),$BH$456,HLOOKUP(INDIRECT(ADDRESS(2,COLUMN())),OFFSET($BN$2,0,0,ROW()-1,60),ROW()-1,FALSE))</f>
        <v>3.8050000000000002</v>
      </c>
      <c r="BI217">
        <f ca="1">IF(AND(ISNUMBER($BI$456),$B$258=1),$BI$456,HLOOKUP(INDIRECT(ADDRESS(2,COLUMN())),OFFSET($BN$2,0,0,ROW()-1,60),ROW()-1,FALSE))</f>
        <v>8.8800000000000008</v>
      </c>
      <c r="BJ217">
        <f ca="1">IF(AND(ISNUMBER($BJ$456),$B$258=1),$BJ$456,HLOOKUP(INDIRECT(ADDRESS(2,COLUMN())),OFFSET($BN$2,0,0,ROW()-1,60),ROW()-1,FALSE))</f>
        <v>1.7230000000000001</v>
      </c>
      <c r="BK217">
        <f ca="1">IF(AND(ISNUMBER($BK$456),$B$258=1),$BK$456,HLOOKUP(INDIRECT(ADDRESS(2,COLUMN())),OFFSET($BN$2,0,0,ROW()-1,60),ROW()-1,FALSE))</f>
        <v>82.103996280000004</v>
      </c>
      <c r="BL217">
        <f ca="1">IF(AND(ISNUMBER($BL$456),$B$258=1),$BL$456,HLOOKUP(INDIRECT(ADDRESS(2,COLUMN())),OFFSET($BN$2,0,0,ROW()-1,60),ROW()-1,FALSE))</f>
        <v>10.09500027</v>
      </c>
      <c r="BM217">
        <f ca="1">IF(AND(ISNUMBER($BM$456),$B$258=1),$BM$456,HLOOKUP(INDIRECT(ADDRESS(2,COLUMN())),OFFSET($BN$2,0,0,ROW()-1,60),ROW()-1,FALSE))</f>
        <v>9.173</v>
      </c>
      <c r="BN217" t="str">
        <f>""</f>
        <v/>
      </c>
      <c r="BO217">
        <f>81.355</f>
        <v>81.355000000000004</v>
      </c>
      <c r="BP217">
        <f>85.063</f>
        <v>85.063000000000002</v>
      </c>
      <c r="BQ217">
        <f>103.353</f>
        <v>103.35299999999999</v>
      </c>
      <c r="BR217">
        <f>91.284</f>
        <v>91.284000000000006</v>
      </c>
      <c r="BS217">
        <f>286.707</f>
        <v>286.70699999999999</v>
      </c>
      <c r="BT217">
        <f>89.279</f>
        <v>89.278999999999996</v>
      </c>
      <c r="BU217">
        <f>57.322</f>
        <v>57.322000000000003</v>
      </c>
      <c r="BV217">
        <f>51.701</f>
        <v>51.701000000000001</v>
      </c>
      <c r="BW217">
        <f>53.023</f>
        <v>53.023000000000003</v>
      </c>
      <c r="BX217">
        <f>65.231</f>
        <v>65.230999999999995</v>
      </c>
      <c r="BY217">
        <f>60.532</f>
        <v>60.531999999999996</v>
      </c>
      <c r="BZ217">
        <f>120.225</f>
        <v>120.22499999999999</v>
      </c>
      <c r="CA217">
        <f>55.348</f>
        <v>55.347999999999999</v>
      </c>
      <c r="CB217">
        <f>64.595</f>
        <v>64.594999999999999</v>
      </c>
      <c r="CC217">
        <f>86.635</f>
        <v>86.635000000000005</v>
      </c>
      <c r="CD217">
        <f>59.791</f>
        <v>59.790999999999997</v>
      </c>
      <c r="CE217">
        <f>94.816</f>
        <v>94.816000000000003</v>
      </c>
      <c r="CF217">
        <f>54.672</f>
        <v>54.671999999999997</v>
      </c>
      <c r="CG217">
        <f>62.421</f>
        <v>62.420999999999999</v>
      </c>
      <c r="CH217">
        <f>57.69</f>
        <v>57.69</v>
      </c>
      <c r="CI217">
        <f>67.908</f>
        <v>67.908000000000001</v>
      </c>
      <c r="CJ217">
        <f>58.53</f>
        <v>58.53</v>
      </c>
      <c r="CK217">
        <f>52.803</f>
        <v>52.802999999999997</v>
      </c>
      <c r="CL217">
        <f>53.224</f>
        <v>53.223999999999997</v>
      </c>
      <c r="CM217">
        <f>45.807</f>
        <v>45.807000000000002</v>
      </c>
      <c r="CN217">
        <f>57.482</f>
        <v>57.481999999999999</v>
      </c>
      <c r="CO217">
        <f>26.702</f>
        <v>26.702000000000002</v>
      </c>
      <c r="CP217">
        <f>41.899</f>
        <v>41.899000000000001</v>
      </c>
      <c r="CQ217">
        <f>21.812</f>
        <v>21.812000000000001</v>
      </c>
      <c r="CR217">
        <f>33.79</f>
        <v>33.79</v>
      </c>
      <c r="CS217">
        <f>27.794</f>
        <v>27.794</v>
      </c>
      <c r="CT217">
        <f>132.729</f>
        <v>132.72900000000001</v>
      </c>
      <c r="CU217">
        <f>107.397</f>
        <v>107.39700000000001</v>
      </c>
      <c r="CV217">
        <f>70.889</f>
        <v>70.888999999999996</v>
      </c>
      <c r="CW217">
        <f>46.523</f>
        <v>46.523000000000003</v>
      </c>
      <c r="CX217">
        <f>95.806</f>
        <v>95.805999999999997</v>
      </c>
      <c r="CY217">
        <f>176.812</f>
        <v>176.81200000000001</v>
      </c>
      <c r="CZ217">
        <f>115.923</f>
        <v>115.923</v>
      </c>
      <c r="DA217">
        <f>29.268</f>
        <v>29.268000000000001</v>
      </c>
      <c r="DB217">
        <f>51.347</f>
        <v>51.347000000000001</v>
      </c>
      <c r="DC217">
        <f>28.334</f>
        <v>28.334</v>
      </c>
      <c r="DD217">
        <f>28.573</f>
        <v>28.573</v>
      </c>
      <c r="DE217">
        <f>30.138</f>
        <v>30.138000000000002</v>
      </c>
      <c r="DF217">
        <f>0</f>
        <v>0</v>
      </c>
      <c r="DG217">
        <f>1.246</f>
        <v>1.246</v>
      </c>
      <c r="DH217">
        <f>1.935</f>
        <v>1.9350000000000001</v>
      </c>
      <c r="DI217">
        <f>1.932</f>
        <v>1.9319999999999999</v>
      </c>
      <c r="DJ217">
        <f>1.466</f>
        <v>1.466</v>
      </c>
      <c r="DK217">
        <f>1.641</f>
        <v>1.641</v>
      </c>
      <c r="DL217">
        <f>5.764</f>
        <v>5.7640000000000002</v>
      </c>
      <c r="DM217">
        <f>0.802</f>
        <v>0.80200000000000005</v>
      </c>
      <c r="DN217">
        <f>1.779</f>
        <v>1.7789999999999999</v>
      </c>
      <c r="DO217">
        <f>3.365</f>
        <v>3.3650000000000002</v>
      </c>
      <c r="DP217">
        <f>3.805</f>
        <v>3.8050000000000002</v>
      </c>
      <c r="DQ217">
        <f>8.88</f>
        <v>8.8800000000000008</v>
      </c>
      <c r="DR217">
        <f>1.723</f>
        <v>1.7230000000000001</v>
      </c>
      <c r="DS217">
        <f>82.10399628</f>
        <v>82.103996280000004</v>
      </c>
      <c r="DT217">
        <f>10.09500027</f>
        <v>10.09500027</v>
      </c>
      <c r="DU217">
        <f>9.173</f>
        <v>9.173</v>
      </c>
    </row>
    <row r="218" spans="1:125">
      <c r="A218" t="str">
        <f>"    Welltower Inc"</f>
        <v xml:space="preserve">    Welltower Inc</v>
      </c>
      <c r="B218" t="str">
        <f>"HCN US Equity"</f>
        <v>HCN US Equity</v>
      </c>
      <c r="C218" t="str">
        <f t="shared" si="51"/>
        <v>RR253</v>
      </c>
      <c r="D218" t="str">
        <f t="shared" si="52"/>
        <v>CASH_AND_MARKETABLE_SECURITIES</v>
      </c>
      <c r="E218" t="str">
        <f t="shared" si="53"/>
        <v>动态</v>
      </c>
      <c r="F218" t="str">
        <f ca="1">IF(AND(ISNUMBER($F$457),$B$258=1),$F$457,HLOOKUP(INDIRECT(ADDRESS(2,COLUMN())),OFFSET($BN$2,0,0,ROW()-1,60),ROW()-1,FALSE))</f>
        <v/>
      </c>
      <c r="G218">
        <f ca="1">IF(AND(ISNUMBER($G$457),$B$258=1),$G$457,HLOOKUP(INDIRECT(ADDRESS(2,COLUMN())),OFFSET($BN$2,0,0,ROW()-1,60),ROW()-1,FALSE))</f>
        <v>243.77699999999999</v>
      </c>
      <c r="H218">
        <f ca="1">IF(AND(ISNUMBER($H$457),$B$258=1),$H$457,HLOOKUP(INDIRECT(ADDRESS(2,COLUMN())),OFFSET($BN$2,0,0,ROW()-1,60),ROW()-1,FALSE))</f>
        <v>236.24700000000001</v>
      </c>
      <c r="I218">
        <f ca="1">IF(AND(ISNUMBER($I$457),$B$258=1),$I$457,HLOOKUP(INDIRECT(ADDRESS(2,COLUMN())),OFFSET($BN$2,0,0,ROW()-1,60),ROW()-1,FALSE))</f>
        <v>442.28399999999999</v>
      </c>
      <c r="J218">
        <f ca="1">IF(AND(ISNUMBER($J$457),$B$258=1),$J$457,HLOOKUP(INDIRECT(ADDRESS(2,COLUMN())),OFFSET($BN$2,0,0,ROW()-1,60),ROW()-1,FALSE))</f>
        <v>380.36</v>
      </c>
      <c r="K218">
        <f ca="1">IF(AND(ISNUMBER($K$457),$B$258=1),$K$457,HLOOKUP(INDIRECT(ADDRESS(2,COLUMN())),OFFSET($BN$2,0,0,ROW()-1,60),ROW()-1,FALSE))</f>
        <v>419.37799999999999</v>
      </c>
      <c r="L218">
        <f ca="1">IF(AND(ISNUMBER($L$457),$B$258=1),$L$457,HLOOKUP(INDIRECT(ADDRESS(2,COLUMN())),OFFSET($BN$2,0,0,ROW()-1,60),ROW()-1,FALSE))</f>
        <v>428.61700000000002</v>
      </c>
      <c r="M218">
        <f ca="1">IF(AND(ISNUMBER($M$457),$B$258=1),$M$457,HLOOKUP(INDIRECT(ADDRESS(2,COLUMN())),OFFSET($BN$2,0,0,ROW()-1,60),ROW()-1,FALSE))</f>
        <v>466.58499999999998</v>
      </c>
      <c r="N218">
        <f ca="1">IF(AND(ISNUMBER($N$457),$B$258=1),$N$457,HLOOKUP(INDIRECT(ADDRESS(2,COLUMN())),OFFSET($BN$2,0,0,ROW()-1,60),ROW()-1,FALSE))</f>
        <v>355.94900000000001</v>
      </c>
      <c r="O218">
        <f ca="1">IF(AND(ISNUMBER($O$457),$B$258=1),$O$457,HLOOKUP(INDIRECT(ADDRESS(2,COLUMN())),OFFSET($BN$2,0,0,ROW()-1,60),ROW()-1,FALSE))</f>
        <v>360.90800000000002</v>
      </c>
      <c r="P218">
        <f ca="1">IF(AND(ISNUMBER($P$457),$B$258=1),$P$457,HLOOKUP(INDIRECT(ADDRESS(2,COLUMN())),OFFSET($BN$2,0,0,ROW()-1,60),ROW()-1,FALSE))</f>
        <v>292.04199999999997</v>
      </c>
      <c r="Q218">
        <f ca="1">IF(AND(ISNUMBER($Q$457),$B$258=1),$Q$457,HLOOKUP(INDIRECT(ADDRESS(2,COLUMN())),OFFSET($BN$2,0,0,ROW()-1,60),ROW()-1,FALSE))</f>
        <v>217.94200000000001</v>
      </c>
      <c r="R218">
        <f ca="1">IF(AND(ISNUMBER($R$457),$B$258=1),$R$457,HLOOKUP(INDIRECT(ADDRESS(2,COLUMN())),OFFSET($BN$2,0,0,ROW()-1,60),ROW()-1,FALSE))</f>
        <v>202.273</v>
      </c>
      <c r="S218">
        <f ca="1">IF(AND(ISNUMBER($S$457),$B$258=1),$S$457,HLOOKUP(INDIRECT(ADDRESS(2,COLUMN())),OFFSET($BN$2,0,0,ROW()-1,60),ROW()-1,FALSE))</f>
        <v>473.726</v>
      </c>
      <c r="T218">
        <f ca="1">IF(AND(ISNUMBER($T$457),$B$258=1),$T$457,HLOOKUP(INDIRECT(ADDRESS(2,COLUMN())),OFFSET($BN$2,0,0,ROW()-1,60),ROW()-1,FALSE))</f>
        <v>998.678</v>
      </c>
      <c r="U218">
        <f ca="1">IF(AND(ISNUMBER($U$457),$B$258=1),$U$457,HLOOKUP(INDIRECT(ADDRESS(2,COLUMN())),OFFSET($BN$2,0,0,ROW()-1,60),ROW()-1,FALSE))</f>
        <v>207.35400000000001</v>
      </c>
      <c r="V218">
        <f ca="1">IF(AND(ISNUMBER($V$457),$B$258=1),$V$457,HLOOKUP(INDIRECT(ADDRESS(2,COLUMN())),OFFSET($BN$2,0,0,ROW()-1,60),ROW()-1,FALSE))</f>
        <v>185.928</v>
      </c>
      <c r="W218">
        <f ca="1">IF(AND(ISNUMBER($W$457),$B$258=1),$W$457,HLOOKUP(INDIRECT(ADDRESS(2,COLUMN())),OFFSET($BN$2,0,0,ROW()-1,60),ROW()-1,FALSE))</f>
        <v>158.78</v>
      </c>
      <c r="X218">
        <f ca="1">IF(AND(ISNUMBER($X$457),$B$258=1),$X$457,HLOOKUP(INDIRECT(ADDRESS(2,COLUMN())),OFFSET($BN$2,0,0,ROW()-1,60),ROW()-1,FALSE))</f>
        <v>164.83799999999999</v>
      </c>
      <c r="Y218">
        <f ca="1">IF(AND(ISNUMBER($Y$457),$B$258=1),$Y$457,HLOOKUP(INDIRECT(ADDRESS(2,COLUMN())),OFFSET($BN$2,0,0,ROW()-1,60),ROW()-1,FALSE))</f>
        <v>512.47199999999998</v>
      </c>
      <c r="Z218">
        <f ca="1">IF(AND(ISNUMBER($Z$457),$B$258=1),$Z$457,HLOOKUP(INDIRECT(ADDRESS(2,COLUMN())),OFFSET($BN$2,0,0,ROW()-1,60),ROW()-1,FALSE))</f>
        <v>269.84199999999998</v>
      </c>
      <c r="AA218">
        <f ca="1">IF(AND(ISNUMBER($AA$457),$B$258=1),$AA$457,HLOOKUP(INDIRECT(ADDRESS(2,COLUMN())),OFFSET($BN$2,0,0,ROW()-1,60),ROW()-1,FALSE))</f>
        <v>1033.7639999999999</v>
      </c>
      <c r="AB218">
        <f ca="1">IF(AND(ISNUMBER($AB$457),$B$258=1),$AB$457,HLOOKUP(INDIRECT(ADDRESS(2,COLUMN())),OFFSET($BN$2,0,0,ROW()-1,60),ROW()-1,FALSE))</f>
        <v>1382.252</v>
      </c>
      <c r="AC218">
        <f ca="1">IF(AND(ISNUMBER($AC$457),$B$258=1),$AC$457,HLOOKUP(INDIRECT(ADDRESS(2,COLUMN())),OFFSET($BN$2,0,0,ROW()-1,60),ROW()-1,FALSE))</f>
        <v>204.89500000000001</v>
      </c>
      <c r="AD218">
        <f ca="1">IF(AND(ISNUMBER($AD$457),$B$258=1),$AD$457,HLOOKUP(INDIRECT(ADDRESS(2,COLUMN())),OFFSET($BN$2,0,0,ROW()-1,60),ROW()-1,FALSE))</f>
        <v>469.21699999999998</v>
      </c>
      <c r="AE218">
        <f ca="1">IF(AND(ISNUMBER($AE$457),$B$258=1),$AE$457,HLOOKUP(INDIRECT(ADDRESS(2,COLUMN())),OFFSET($BN$2,0,0,ROW()-1,60),ROW()-1,FALSE))</f>
        <v>163.482</v>
      </c>
      <c r="AF218">
        <f ca="1">IF(AND(ISNUMBER($AF$457),$B$258=1),$AF$457,HLOOKUP(INDIRECT(ADDRESS(2,COLUMN())),OFFSET($BN$2,0,0,ROW()-1,60),ROW()-1,FALSE))</f>
        <v>136.67599999999999</v>
      </c>
      <c r="AG218">
        <f ca="1">IF(AND(ISNUMBER($AG$457),$B$258=1),$AG$457,HLOOKUP(INDIRECT(ADDRESS(2,COLUMN())),OFFSET($BN$2,0,0,ROW()-1,60),ROW()-1,FALSE))</f>
        <v>328.75799999999998</v>
      </c>
      <c r="AH218">
        <f ca="1">IF(AND(ISNUMBER($AH$457),$B$258=1),$AH$457,HLOOKUP(INDIRECT(ADDRESS(2,COLUMN())),OFFSET($BN$2,0,0,ROW()-1,60),ROW()-1,FALSE))</f>
        <v>2667.9949999999999</v>
      </c>
      <c r="AI218">
        <f ca="1">IF(AND(ISNUMBER($AI$457),$B$258=1),$AI$457,HLOOKUP(INDIRECT(ADDRESS(2,COLUMN())),OFFSET($BN$2,0,0,ROW()-1,60),ROW()-1,FALSE))</f>
        <v>131.57</v>
      </c>
      <c r="AJ218">
        <f ca="1">IF(AND(ISNUMBER($AJ$457),$B$258=1),$AJ$457,HLOOKUP(INDIRECT(ADDRESS(2,COLUMN())),OFFSET($BN$2,0,0,ROW()-1,60),ROW()-1,FALSE))</f>
        <v>181.14699999999999</v>
      </c>
      <c r="AK218">
        <f ca="1">IF(AND(ISNUMBER($AK$457),$B$258=1),$AK$457,HLOOKUP(INDIRECT(ADDRESS(2,COLUMN())),OFFSET($BN$2,0,0,ROW()-1,60),ROW()-1,FALSE))</f>
        <v>55.423000000000002</v>
      </c>
      <c r="AL218">
        <f ca="1">IF(AND(ISNUMBER($AL$457),$B$258=1),$AL$457,HLOOKUP(INDIRECT(ADDRESS(2,COLUMN())),OFFSET($BN$2,0,0,ROW()-1,60),ROW()-1,FALSE))</f>
        <v>36.558</v>
      </c>
      <c r="AM218">
        <f ca="1">IF(AND(ISNUMBER($AM$457),$B$258=1),$AM$457,HLOOKUP(INDIRECT(ADDRESS(2,COLUMN())),OFFSET($BN$2,0,0,ROW()-1,60),ROW()-1,FALSE))</f>
        <v>35.475999999999999</v>
      </c>
      <c r="AN218">
        <f ca="1">IF(AND(ISNUMBER($AN$457),$B$258=1),$AN$457,HLOOKUP(INDIRECT(ADDRESS(2,COLUMN())),OFFSET($BN$2,0,0,ROW()-1,60),ROW()-1,FALSE))</f>
        <v>102.35299999999999</v>
      </c>
      <c r="AO218">
        <f ca="1">IF(AND(ISNUMBER($AO$457),$B$258=1),$AO$457,HLOOKUP(INDIRECT(ADDRESS(2,COLUMN())),OFFSET($BN$2,0,0,ROW()-1,60),ROW()-1,FALSE))</f>
        <v>79.504999999999995</v>
      </c>
      <c r="AP218">
        <f ca="1">IF(AND(ISNUMBER($AP$457),$B$258=1),$AP$457,HLOOKUP(INDIRECT(ADDRESS(2,COLUMN())),OFFSET($BN$2,0,0,ROW()-1,60),ROW()-1,FALSE))</f>
        <v>19.18</v>
      </c>
      <c r="AQ218">
        <f ca="1">IF(AND(ISNUMBER($AQ$457),$B$258=1),$AQ$457,HLOOKUP(INDIRECT(ADDRESS(2,COLUMN())),OFFSET($BN$2,0,0,ROW()-1,60),ROW()-1,FALSE))</f>
        <v>23.37</v>
      </c>
      <c r="AR218">
        <f ca="1">IF(AND(ISNUMBER($AR$457),$B$258=1),$AR$457,HLOOKUP(INDIRECT(ADDRESS(2,COLUMN())),OFFSET($BN$2,0,0,ROW()-1,60),ROW()-1,FALSE))</f>
        <v>18.273</v>
      </c>
      <c r="AS218">
        <f ca="1">IF(AND(ISNUMBER($AS$457),$B$258=1),$AS$457,HLOOKUP(INDIRECT(ADDRESS(2,COLUMN())),OFFSET($BN$2,0,0,ROW()-1,60),ROW()-1,FALSE))</f>
        <v>25.077999999999999</v>
      </c>
      <c r="AT218">
        <f ca="1">IF(AND(ISNUMBER($AT$457),$B$258=1),$AT$457,HLOOKUP(INDIRECT(ADDRESS(2,COLUMN())),OFFSET($BN$2,0,0,ROW()-1,60),ROW()-1,FALSE))</f>
        <v>32.281999999999996</v>
      </c>
      <c r="AU218">
        <f ca="1">IF(AND(ISNUMBER($AU$457),$B$258=1),$AU$457,HLOOKUP(INDIRECT(ADDRESS(2,COLUMN())),OFFSET($BN$2,0,0,ROW()-1,60),ROW()-1,FALSE))</f>
        <v>30.268999999999998</v>
      </c>
      <c r="AV218">
        <f ca="1">IF(AND(ISNUMBER($AV$457),$B$258=1),$AV$457,HLOOKUP(INDIRECT(ADDRESS(2,COLUMN())),OFFSET($BN$2,0,0,ROW()-1,60),ROW()-1,FALSE))</f>
        <v>31.44</v>
      </c>
      <c r="AW218">
        <f ca="1">IF(AND(ISNUMBER($AW$457),$B$258=1),$AW$457,HLOOKUP(INDIRECT(ADDRESS(2,COLUMN())),OFFSET($BN$2,0,0,ROW()-1,60),ROW()-1,FALSE))</f>
        <v>38.472000000000001</v>
      </c>
      <c r="AX218">
        <f ca="1">IF(AND(ISNUMBER($AX$457),$B$258=1),$AX$457,HLOOKUP(INDIRECT(ADDRESS(2,COLUMN())),OFFSET($BN$2,0,0,ROW()-1,60),ROW()-1,FALSE))</f>
        <v>31.292999999999999</v>
      </c>
      <c r="AY218">
        <f ca="1">IF(AND(ISNUMBER($AY$457),$B$258=1),$AY$457,HLOOKUP(INDIRECT(ADDRESS(2,COLUMN())),OFFSET($BN$2,0,0,ROW()-1,60),ROW()-1,FALSE))</f>
        <v>36.216000000000001</v>
      </c>
      <c r="AZ218">
        <f ca="1">IF(AND(ISNUMBER($AZ$457),$B$258=1),$AZ$457,HLOOKUP(INDIRECT(ADDRESS(2,COLUMN())),OFFSET($BN$2,0,0,ROW()-1,60),ROW()-1,FALSE))</f>
        <v>15.49</v>
      </c>
      <c r="BA218">
        <f ca="1">IF(AND(ISNUMBER($BA$457),$B$258=1),$BA$457,HLOOKUP(INDIRECT(ADDRESS(2,COLUMN())),OFFSET($BN$2,0,0,ROW()-1,60),ROW()-1,FALSE))</f>
        <v>15.2</v>
      </c>
      <c r="BB218">
        <f ca="1">IF(AND(ISNUMBER($BB$457),$B$258=1),$BB$457,HLOOKUP(INDIRECT(ADDRESS(2,COLUMN())),OFFSET($BN$2,0,0,ROW()-1,60),ROW()-1,FALSE))</f>
        <v>25.757999999999999</v>
      </c>
      <c r="BC218">
        <f ca="1">IF(AND(ISNUMBER($BC$457),$B$258=1),$BC$457,HLOOKUP(INDIRECT(ADDRESS(2,COLUMN())),OFFSET($BN$2,0,0,ROW()-1,60),ROW()-1,FALSE))</f>
        <v>36.237000000000002</v>
      </c>
      <c r="BD218">
        <f ca="1">IF(AND(ISNUMBER($BD$457),$B$258=1),$BD$457,HLOOKUP(INDIRECT(ADDRESS(2,COLUMN())),OFFSET($BN$2,0,0,ROW()-1,60),ROW()-1,FALSE))</f>
        <v>27.119</v>
      </c>
      <c r="BE218">
        <f ca="1">IF(AND(ISNUMBER($BE$457),$B$258=1),$BE$457,HLOOKUP(INDIRECT(ADDRESS(2,COLUMN())),OFFSET($BN$2,0,0,ROW()-1,60),ROW()-1,FALSE))</f>
        <v>15.067</v>
      </c>
      <c r="BF218">
        <f ca="1">IF(AND(ISNUMBER($BF$457),$B$258=1),$BF$457,HLOOKUP(INDIRECT(ADDRESS(2,COLUMN())),OFFSET($BN$2,0,0,ROW()-1,60),ROW()-1,FALSE))</f>
        <v>17.428999999999998</v>
      </c>
      <c r="BG218">
        <f ca="1">IF(AND(ISNUMBER($BG$457),$B$258=1),$BG$457,HLOOKUP(INDIRECT(ADDRESS(2,COLUMN())),OFFSET($BN$2,0,0,ROW()-1,60),ROW()-1,FALSE))</f>
        <v>19.763000000000002</v>
      </c>
      <c r="BH218">
        <f ca="1">IF(AND(ISNUMBER($BH$457),$B$258=1),$BH$457,HLOOKUP(INDIRECT(ADDRESS(2,COLUMN())),OFFSET($BN$2,0,0,ROW()-1,60),ROW()-1,FALSE))</f>
        <v>15.419</v>
      </c>
      <c r="BI218">
        <f ca="1">IF(AND(ISNUMBER($BI$457),$B$258=1),$BI$457,HLOOKUP(INDIRECT(ADDRESS(2,COLUMN())),OFFSET($BN$2,0,0,ROW()-1,60),ROW()-1,FALSE))</f>
        <v>33.99</v>
      </c>
      <c r="BJ218">
        <f ca="1">IF(AND(ISNUMBER($BJ$457),$B$258=1),$BJ$457,HLOOKUP(INDIRECT(ADDRESS(2,COLUMN())),OFFSET($BN$2,0,0,ROW()-1,60),ROW()-1,FALSE))</f>
        <v>47.063000000000002</v>
      </c>
      <c r="BK218">
        <f ca="1">IF(AND(ISNUMBER($BK$457),$B$258=1),$BK$457,HLOOKUP(INDIRECT(ADDRESS(2,COLUMN())),OFFSET($BN$2,0,0,ROW()-1,60),ROW()-1,FALSE))</f>
        <v>124.496</v>
      </c>
      <c r="BL218">
        <f ca="1">IF(AND(ISNUMBER($BL$457),$B$258=1),$BL$457,HLOOKUP(INDIRECT(ADDRESS(2,COLUMN())),OFFSET($BN$2,0,0,ROW()-1,60),ROW()-1,FALSE))</f>
        <v>8.1720000000000006</v>
      </c>
      <c r="BM218">
        <f ca="1">IF(AND(ISNUMBER($BM$457),$B$258=1),$BM$457,HLOOKUP(INDIRECT(ADDRESS(2,COLUMN())),OFFSET($BN$2,0,0,ROW()-1,60),ROW()-1,FALSE))</f>
        <v>7.9530000000000003</v>
      </c>
      <c r="BN218" t="str">
        <f>""</f>
        <v/>
      </c>
      <c r="BO218">
        <f>243.777</f>
        <v>243.77699999999999</v>
      </c>
      <c r="BP218">
        <f>236.247</f>
        <v>236.24700000000001</v>
      </c>
      <c r="BQ218">
        <f>442.284</f>
        <v>442.28399999999999</v>
      </c>
      <c r="BR218">
        <f>380.36</f>
        <v>380.36</v>
      </c>
      <c r="BS218">
        <f>419.378</f>
        <v>419.37799999999999</v>
      </c>
      <c r="BT218">
        <f>428.617</f>
        <v>428.61700000000002</v>
      </c>
      <c r="BU218">
        <f>466.585</f>
        <v>466.58499999999998</v>
      </c>
      <c r="BV218">
        <f>355.949</f>
        <v>355.94900000000001</v>
      </c>
      <c r="BW218">
        <f>360.908</f>
        <v>360.90800000000002</v>
      </c>
      <c r="BX218">
        <f>292.042</f>
        <v>292.04199999999997</v>
      </c>
      <c r="BY218">
        <f>217.942</f>
        <v>217.94200000000001</v>
      </c>
      <c r="BZ218">
        <f>202.273</f>
        <v>202.273</v>
      </c>
      <c r="CA218">
        <f>473.726</f>
        <v>473.726</v>
      </c>
      <c r="CB218">
        <f>998.678</f>
        <v>998.678</v>
      </c>
      <c r="CC218">
        <f>207.354</f>
        <v>207.35400000000001</v>
      </c>
      <c r="CD218">
        <f>185.928</f>
        <v>185.928</v>
      </c>
      <c r="CE218">
        <f>158.78</f>
        <v>158.78</v>
      </c>
      <c r="CF218">
        <f>164.838</f>
        <v>164.83799999999999</v>
      </c>
      <c r="CG218">
        <f>512.472</f>
        <v>512.47199999999998</v>
      </c>
      <c r="CH218">
        <f>269.842</f>
        <v>269.84199999999998</v>
      </c>
      <c r="CI218">
        <f>1033.764</f>
        <v>1033.7639999999999</v>
      </c>
      <c r="CJ218">
        <f>1382.252</f>
        <v>1382.252</v>
      </c>
      <c r="CK218">
        <f>204.895</f>
        <v>204.89500000000001</v>
      </c>
      <c r="CL218">
        <f>469.217</f>
        <v>469.21699999999998</v>
      </c>
      <c r="CM218">
        <f>163.482</f>
        <v>163.482</v>
      </c>
      <c r="CN218">
        <f>136.676</f>
        <v>136.67599999999999</v>
      </c>
      <c r="CO218">
        <f>328.758</f>
        <v>328.75799999999998</v>
      </c>
      <c r="CP218">
        <f>2667.995</f>
        <v>2667.9949999999999</v>
      </c>
      <c r="CQ218">
        <f>131.57</f>
        <v>131.57</v>
      </c>
      <c r="CR218">
        <f>181.147</f>
        <v>181.14699999999999</v>
      </c>
      <c r="CS218">
        <f>55.423</f>
        <v>55.423000000000002</v>
      </c>
      <c r="CT218">
        <f>36.558</f>
        <v>36.558</v>
      </c>
      <c r="CU218">
        <f>35.476</f>
        <v>35.475999999999999</v>
      </c>
      <c r="CV218">
        <f>102.353</f>
        <v>102.35299999999999</v>
      </c>
      <c r="CW218">
        <f>79.505</f>
        <v>79.504999999999995</v>
      </c>
      <c r="CX218">
        <f>19.18</f>
        <v>19.18</v>
      </c>
      <c r="CY218">
        <f>23.37</f>
        <v>23.37</v>
      </c>
      <c r="CZ218">
        <f>18.273</f>
        <v>18.273</v>
      </c>
      <c r="DA218">
        <f>25.078</f>
        <v>25.077999999999999</v>
      </c>
      <c r="DB218">
        <f>32.282</f>
        <v>32.281999999999996</v>
      </c>
      <c r="DC218">
        <f>30.269</f>
        <v>30.268999999999998</v>
      </c>
      <c r="DD218">
        <f>31.44</f>
        <v>31.44</v>
      </c>
      <c r="DE218">
        <f>38.472</f>
        <v>38.472000000000001</v>
      </c>
      <c r="DF218">
        <f>31.293</f>
        <v>31.292999999999999</v>
      </c>
      <c r="DG218">
        <f>36.216</f>
        <v>36.216000000000001</v>
      </c>
      <c r="DH218">
        <f>15.49</f>
        <v>15.49</v>
      </c>
      <c r="DI218">
        <f>15.2</f>
        <v>15.2</v>
      </c>
      <c r="DJ218">
        <f>25.758</f>
        <v>25.757999999999999</v>
      </c>
      <c r="DK218">
        <f>36.237</f>
        <v>36.237000000000002</v>
      </c>
      <c r="DL218">
        <f>27.119</f>
        <v>27.119</v>
      </c>
      <c r="DM218">
        <f>15.067</f>
        <v>15.067</v>
      </c>
      <c r="DN218">
        <f>17.429</f>
        <v>17.428999999999998</v>
      </c>
      <c r="DO218">
        <f>19.763</f>
        <v>19.763000000000002</v>
      </c>
      <c r="DP218">
        <f>15.419</f>
        <v>15.419</v>
      </c>
      <c r="DQ218">
        <f>33.99</f>
        <v>33.99</v>
      </c>
      <c r="DR218">
        <f>47.063</f>
        <v>47.063000000000002</v>
      </c>
      <c r="DS218">
        <f>124.496</f>
        <v>124.496</v>
      </c>
      <c r="DT218">
        <f>8.172</f>
        <v>8.1720000000000006</v>
      </c>
      <c r="DU218">
        <f>7.953</f>
        <v>7.9530000000000003</v>
      </c>
    </row>
    <row r="219" spans="1:125">
      <c r="A219" t="str">
        <f>"自由现金流减去资本支出"</f>
        <v>自由现金流减去资本支出</v>
      </c>
      <c r="B219" t="str">
        <f>""</f>
        <v/>
      </c>
      <c r="E219" t="str">
        <f>"Median"</f>
        <v>Median</v>
      </c>
      <c r="F219" t="str">
        <f ca="1">IF(ISERROR(IF(MEDIAN($F$220:$F$230) = 0, "", MEDIAN($F$220:$F$230))), "", (IF(MEDIAN($F$220:$F$230) = 0, "", MEDIAN($F$220:$F$230))))</f>
        <v/>
      </c>
      <c r="G219">
        <f ca="1">IF(ISERROR(IF(MEDIAN($G$220:$G$230) = 0, "", MEDIAN($G$220:$G$230))), "", (IF(MEDIAN($G$220:$G$230) = 0, "", MEDIAN($G$220:$G$230))))</f>
        <v>-21.164500000000004</v>
      </c>
      <c r="H219">
        <f ca="1">IF(ISERROR(IF(MEDIAN($H$220:$H$230) = 0, "", MEDIAN($H$220:$H$230))), "", (IF(MEDIAN($H$220:$H$230) = 0, "", MEDIAN($H$220:$H$230))))</f>
        <v>-19.675000000000001</v>
      </c>
      <c r="I219">
        <f ca="1">IF(ISERROR(IF(MEDIAN($I$220:$I$230) = 0, "", MEDIAN($I$220:$I$230))), "", (IF(MEDIAN($I$220:$I$230) = 0, "", MEDIAN($I$220:$I$230))))</f>
        <v>54.375</v>
      </c>
      <c r="J219">
        <f ca="1">IF(ISERROR(IF(MEDIAN($J$220:$J$230) = 0, "", MEDIAN($J$220:$J$230))), "", (IF(MEDIAN($J$220:$J$230) = 0, "", MEDIAN($J$220:$J$230))))</f>
        <v>34.119</v>
      </c>
      <c r="K219">
        <f ca="1">IF(ISERROR(IF(MEDIAN($K$220:$K$230) = 0, "", MEDIAN($K$220:$K$230))), "", (IF(MEDIAN($K$220:$K$230) = 0, "", MEDIAN($K$220:$K$230))))</f>
        <v>19.297999999999998</v>
      </c>
      <c r="L219">
        <f ca="1">IF(ISERROR(IF(MEDIAN($L$220:$L$230) = 0, "", MEDIAN($L$220:$L$230))), "", (IF(MEDIAN($L$220:$L$230) = 0, "", MEDIAN($L$220:$L$230))))</f>
        <v>-66.114999999999995</v>
      </c>
      <c r="M219">
        <f ca="1">IF(ISERROR(IF(MEDIAN($M$220:$M$230) = 0, "", MEDIAN($M$220:$M$230))), "", (IF(MEDIAN($M$220:$M$230) = 0, "", MEDIAN($M$220:$M$230))))</f>
        <v>42.945999999999998</v>
      </c>
      <c r="N219">
        <f ca="1">IF(ISERROR(IF(MEDIAN($N$220:$N$230) = 0, "", MEDIAN($N$220:$N$230))), "", (IF(MEDIAN($N$220:$N$230) = 0, "", MEDIAN($N$220:$N$230))))</f>
        <v>31.628</v>
      </c>
      <c r="O219">
        <f ca="1">IF(ISERROR(IF(MEDIAN($O$220:$O$230) = 0, "", MEDIAN($O$220:$O$230))), "", (IF(MEDIAN($O$220:$O$230) = 0, "", MEDIAN($O$220:$O$230))))</f>
        <v>40.496000000000002</v>
      </c>
      <c r="P219">
        <f ca="1">IF(ISERROR(IF(MEDIAN($P$220:$P$230) = 0, "", MEDIAN($P$220:$P$230))), "", (IF(MEDIAN($P$220:$P$230) = 0, "", MEDIAN($P$220:$P$230))))</f>
        <v>17.93</v>
      </c>
      <c r="Q219">
        <f ca="1">IF(ISERROR(IF(MEDIAN($Q$220:$Q$230) = 0, "", MEDIAN($Q$220:$Q$230))), "", (IF(MEDIAN($Q$220:$Q$230) = 0, "", MEDIAN($Q$220:$Q$230))))</f>
        <v>-107.04949999999999</v>
      </c>
      <c r="R219">
        <f ca="1">IF(ISERROR(IF(MEDIAN($R$220:$R$230) = 0, "", MEDIAN($R$220:$R$230))), "", (IF(MEDIAN($R$220:$R$230) = 0, "", MEDIAN($R$220:$R$230))))</f>
        <v>-58.042000000000002</v>
      </c>
      <c r="S219">
        <f ca="1">IF(ISERROR(IF(MEDIAN($S$220:$S$230) = 0, "", MEDIAN($S$220:$S$230))), "", (IF(MEDIAN($S$220:$S$230) = 0, "", MEDIAN($S$220:$S$230))))</f>
        <v>-13.842500000000001</v>
      </c>
      <c r="T219">
        <f ca="1">IF(ISERROR(IF(MEDIAN($T$220:$T$230) = 0, "", MEDIAN($T$220:$T$230))), "", (IF(MEDIAN($T$220:$T$230) = 0, "", MEDIAN($T$220:$T$230))))</f>
        <v>19.226500000000001</v>
      </c>
      <c r="U219">
        <f ca="1">IF(ISERROR(IF(MEDIAN($U$220:$U$230) = 0, "", MEDIAN($U$220:$U$230))), "", (IF(MEDIAN($U$220:$U$230) = 0, "", MEDIAN($U$220:$U$230))))</f>
        <v>27.075499999999998</v>
      </c>
      <c r="V219">
        <f ca="1">IF(ISERROR(IF(MEDIAN($V$220:$V$230) = 0, "", MEDIAN($V$220:$V$230))), "", (IF(MEDIAN($V$220:$V$230) = 0, "", MEDIAN($V$220:$V$230))))</f>
        <v>25.422499999999999</v>
      </c>
      <c r="W219">
        <f ca="1">IF(ISERROR(IF(MEDIAN($W$220:$W$230) = 0, "", MEDIAN($W$220:$W$230))), "", (IF(MEDIAN($W$220:$W$230) = 0, "", MEDIAN($W$220:$W$230))))</f>
        <v>5.5285000000000002</v>
      </c>
      <c r="X219">
        <f ca="1">IF(ISERROR(IF(MEDIAN($X$220:$X$230) = 0, "", MEDIAN($X$220:$X$230))), "", (IF(MEDIAN($X$220:$X$230) = 0, "", MEDIAN($X$220:$X$230))))</f>
        <v>-15.573999999999998</v>
      </c>
      <c r="Y219">
        <f ca="1">IF(ISERROR(IF(MEDIAN($Y$220:$Y$230) = 0, "", MEDIAN($Y$220:$Y$230))), "", (IF(MEDIAN($Y$220:$Y$230) = 0, "", MEDIAN($Y$220:$Y$230))))</f>
        <v>23.875500000000002</v>
      </c>
      <c r="Z219">
        <f ca="1">IF(ISERROR(IF(MEDIAN($Z$220:$Z$230) = 0, "", MEDIAN($Z$220:$Z$230))), "", (IF(MEDIAN($Z$220:$Z$230) = 0, "", MEDIAN($Z$220:$Z$230))))</f>
        <v>17.564</v>
      </c>
      <c r="AA219">
        <f ca="1">IF(ISERROR(IF(MEDIAN($AA$220:$AA$230) = 0, "", MEDIAN($AA$220:$AA$230))), "", (IF(MEDIAN($AA$220:$AA$230) = 0, "", MEDIAN($AA$220:$AA$230))))</f>
        <v>-51.058500000000002</v>
      </c>
      <c r="AB219">
        <f ca="1">IF(ISERROR(IF(MEDIAN($AB$220:$AB$230) = 0, "", MEDIAN($AB$220:$AB$230))), "", (IF(MEDIAN($AB$220:$AB$230) = 0, "", MEDIAN($AB$220:$AB$230))))</f>
        <v>-52.030999999999999</v>
      </c>
      <c r="AC219">
        <f ca="1">IF(ISERROR(IF(MEDIAN($AC$220:$AC$230) = 0, "", MEDIAN($AC$220:$AC$230))), "", (IF(MEDIAN($AC$220:$AC$230) = 0, "", MEDIAN($AC$220:$AC$230))))</f>
        <v>-14.864000000000001</v>
      </c>
      <c r="AD219">
        <f ca="1">IF(ISERROR(IF(MEDIAN($AD$220:$AD$230) = 0, "", MEDIAN($AD$220:$AD$230))), "", (IF(MEDIAN($AD$220:$AD$230) = 0, "", MEDIAN($AD$220:$AD$230))))</f>
        <v>18.334499999999998</v>
      </c>
      <c r="AE219">
        <f ca="1">IF(ISERROR(IF(MEDIAN($AE$220:$AE$230) = 0, "", MEDIAN($AE$220:$AE$230))), "", (IF(MEDIAN($AE$220:$AE$230) = 0, "", MEDIAN($AE$220:$AE$230))))</f>
        <v>-21.173000000000002</v>
      </c>
      <c r="AF219">
        <f ca="1">IF(ISERROR(IF(MEDIAN($AF$220:$AF$230) = 0, "", MEDIAN($AF$220:$AF$230))), "", (IF(MEDIAN($AF$220:$AF$230) = 0, "", MEDIAN($AF$220:$AF$230))))</f>
        <v>4.4844999999999988</v>
      </c>
      <c r="AG219">
        <f ca="1">IF(ISERROR(IF(MEDIAN($AG$220:$AG$230) = 0, "", MEDIAN($AG$220:$AG$230))), "", (IF(MEDIAN($AG$220:$AG$230) = 0, "", MEDIAN($AG$220:$AG$230))))</f>
        <v>-3.8904999999999994</v>
      </c>
      <c r="AH219">
        <f ca="1">IF(ISERROR(IF(MEDIAN($AH$220:$AH$230) = 0, "", MEDIAN($AH$220:$AH$230))), "", (IF(MEDIAN($AH$220:$AH$230) = 0, "", MEDIAN($AH$220:$AH$230))))</f>
        <v>-1.7454999999999998</v>
      </c>
      <c r="AI219">
        <f ca="1">IF(ISERROR(IF(MEDIAN($AI$220:$AI$230) = 0, "", MEDIAN($AI$220:$AI$230))), "", (IF(MEDIAN($AI$220:$AI$230) = 0, "", MEDIAN($AI$220:$AI$230))))</f>
        <v>-15.440000000000001</v>
      </c>
      <c r="AJ219">
        <f ca="1">IF(ISERROR(IF(MEDIAN($AJ$220:$AJ$230) = 0, "", MEDIAN($AJ$220:$AJ$230))), "", (IF(MEDIAN($AJ$220:$AJ$230) = 0, "", MEDIAN($AJ$220:$AJ$230))))</f>
        <v>15.170999999999999</v>
      </c>
      <c r="AK219">
        <f ca="1">IF(ISERROR(IF(MEDIAN($AK$220:$AK$230) = 0, "", MEDIAN($AK$220:$AK$230))), "", (IF(MEDIAN($AK$220:$AK$230) = 0, "", MEDIAN($AK$220:$AK$230))))</f>
        <v>-7.585</v>
      </c>
      <c r="AL219">
        <f ca="1">IF(ISERROR(IF(MEDIAN($AL$220:$AL$230) = 0, "", MEDIAN($AL$220:$AL$230))), "", (IF(MEDIAN($AL$220:$AL$230) = 0, "", MEDIAN($AL$220:$AL$230))))</f>
        <v>9.6219999999999999</v>
      </c>
      <c r="AM219">
        <f ca="1">IF(ISERROR(IF(MEDIAN($AM$220:$AM$230) = 0, "", MEDIAN($AM$220:$AM$230))), "", (IF(MEDIAN($AM$220:$AM$230) = 0, "", MEDIAN($AM$220:$AM$230))))</f>
        <v>-58.7395</v>
      </c>
      <c r="AN219">
        <f ca="1">IF(ISERROR(IF(MEDIAN($AN$220:$AN$230) = 0, "", MEDIAN($AN$220:$AN$230))), "", (IF(MEDIAN($AN$220:$AN$230) = 0, "", MEDIAN($AN$220:$AN$230))))</f>
        <v>10.7165</v>
      </c>
      <c r="AO219">
        <f ca="1">IF(ISERROR(IF(MEDIAN($AO$220:$AO$230) = 0, "", MEDIAN($AO$220:$AO$230))), "", (IF(MEDIAN($AO$220:$AO$230) = 0, "", MEDIAN($AO$220:$AO$230))))</f>
        <v>-0.71699999999999964</v>
      </c>
      <c r="AP219">
        <f ca="1">IF(ISERROR(IF(MEDIAN($AP$220:$AP$230) = 0, "", MEDIAN($AP$220:$AP$230))), "", (IF(MEDIAN($AP$220:$AP$230) = 0, "", MEDIAN($AP$220:$AP$230))))</f>
        <v>18.676000000000002</v>
      </c>
      <c r="AQ219">
        <f ca="1">IF(ISERROR(IF(MEDIAN($AQ$220:$AQ$230) = 0, "", MEDIAN($AQ$220:$AQ$230))), "", (IF(MEDIAN($AQ$220:$AQ$230) = 0, "", MEDIAN($AQ$220:$AQ$230))))</f>
        <v>-43.424999999999997</v>
      </c>
      <c r="AR219">
        <f ca="1">IF(ISERROR(IF(MEDIAN($AR$220:$AR$230) = 0, "", MEDIAN($AR$220:$AR$230))), "", (IF(MEDIAN($AR$220:$AR$230) = 0, "", MEDIAN($AR$220:$AR$230))))</f>
        <v>-67.076999999999998</v>
      </c>
      <c r="AS219">
        <f ca="1">IF(ISERROR(IF(MEDIAN($AS$220:$AS$230) = 0, "", MEDIAN($AS$220:$AS$230))), "", (IF(MEDIAN($AS$220:$AS$230) = 0, "", MEDIAN($AS$220:$AS$230))))</f>
        <v>-38.671999999999997</v>
      </c>
      <c r="AT219">
        <f ca="1">IF(ISERROR(IF(MEDIAN($AT$220:$AT$230) = 0, "", MEDIAN($AT$220:$AT$230))), "", (IF(MEDIAN($AT$220:$AT$230) = 0, "", MEDIAN($AT$220:$AT$230))))</f>
        <v>13.001000000000001</v>
      </c>
      <c r="AU219">
        <f ca="1">IF(ISERROR(IF(MEDIAN($AU$220:$AU$230) = 0, "", MEDIAN($AU$220:$AU$230))), "", (IF(MEDIAN($AU$220:$AU$230) = 0, "", MEDIAN($AU$220:$AU$230))))</f>
        <v>-18.082000000000001</v>
      </c>
      <c r="AV219">
        <f ca="1">IF(ISERROR(IF(MEDIAN($AV$220:$AV$230) = 0, "", MEDIAN($AV$220:$AV$230))), "", (IF(MEDIAN($AV$220:$AV$230) = 0, "", MEDIAN($AV$220:$AV$230))))</f>
        <v>-31.993000000000002</v>
      </c>
      <c r="AW219">
        <f ca="1">IF(ISERROR(IF(MEDIAN($AW$220:$AW$230) = 0, "", MEDIAN($AW$220:$AW$230))), "", (IF(MEDIAN($AW$220:$AW$230) = 0, "", MEDIAN($AW$220:$AW$230))))</f>
        <v>-15.929883500000001</v>
      </c>
      <c r="AX219">
        <f ca="1">IF(ISERROR(IF(MEDIAN($AX$220:$AX$230) = 0, "", MEDIAN($AX$220:$AX$230))), "", (IF(MEDIAN($AX$220:$AX$230) = 0, "", MEDIAN($AX$220:$AX$230))))</f>
        <v>1.7360125000000011</v>
      </c>
      <c r="AY219">
        <f ca="1">IF(ISERROR(IF(MEDIAN($AY$220:$AY$230) = 0, "", MEDIAN($AY$220:$AY$230))), "", (IF(MEDIAN($AY$220:$AY$230) = 0, "", MEDIAN($AY$220:$AY$230))))</f>
        <v>-71.945499999999996</v>
      </c>
      <c r="AZ219">
        <f ca="1">IF(ISERROR(IF(MEDIAN($AZ$220:$AZ$230) = 0, "", MEDIAN($AZ$220:$AZ$230))), "", (IF(MEDIAN($AZ$220:$AZ$230) = 0, "", MEDIAN($AZ$220:$AZ$230))))</f>
        <v>-46.95</v>
      </c>
      <c r="BA219">
        <f ca="1">IF(ISERROR(IF(MEDIAN($BA$220:$BA$230) = 0, "", MEDIAN($BA$220:$BA$230))), "", (IF(MEDIAN($BA$220:$BA$230) = 0, "", MEDIAN($BA$220:$BA$230))))</f>
        <v>-8.728745</v>
      </c>
      <c r="BB219">
        <f ca="1">IF(ISERROR(IF(MEDIAN($BB$220:$BB$230) = 0, "", MEDIAN($BB$220:$BB$230))), "", (IF(MEDIAN($BB$220:$BB$230) = 0, "", MEDIAN($BB$220:$BB$230))))</f>
        <v>-0.31709000000000032</v>
      </c>
      <c r="BC219">
        <f ca="1">IF(ISERROR(IF(MEDIAN($BC$220:$BC$230) = 0, "", MEDIAN($BC$220:$BC$230))), "", (IF(MEDIAN($BC$220:$BC$230) = 0, "", MEDIAN($BC$220:$BC$230))))</f>
        <v>-48.941108</v>
      </c>
      <c r="BD219">
        <f ca="1">IF(ISERROR(IF(MEDIAN($BD$220:$BD$230) = 0, "", MEDIAN($BD$220:$BD$230))), "", (IF(MEDIAN($BD$220:$BD$230) = 0, "", MEDIAN($BD$220:$BD$230))))</f>
        <v>19.489999999999998</v>
      </c>
      <c r="BE219">
        <f ca="1">IF(ISERROR(IF(MEDIAN($BE$220:$BE$230) = 0, "", MEDIAN($BE$220:$BE$230))), "", (IF(MEDIAN($BE$220:$BE$230) = 0, "", MEDIAN($BE$220:$BE$230))))</f>
        <v>-53.9925</v>
      </c>
      <c r="BF219">
        <f ca="1">IF(ISERROR(IF(MEDIAN($BF$220:$BF$230) = 0, "", MEDIAN($BF$220:$BF$230))), "", (IF(MEDIAN($BF$220:$BF$230) = 0, "", MEDIAN($BF$220:$BF$230))))</f>
        <v>9.3149996650000002</v>
      </c>
      <c r="BG219">
        <f ca="1">IF(ISERROR(IF(MEDIAN($BG$220:$BG$230) = 0, "", MEDIAN($BG$220:$BG$230))), "", (IF(MEDIAN($BG$220:$BG$230) = 0, "", MEDIAN($BG$220:$BG$230))))</f>
        <v>-61.896999999999998</v>
      </c>
      <c r="BH219">
        <f ca="1">IF(ISERROR(IF(MEDIAN($BH$220:$BH$230) = 0, "", MEDIAN($BH$220:$BH$230))), "", (IF(MEDIAN($BH$220:$BH$230) = 0, "", MEDIAN($BH$220:$BH$230))))</f>
        <v>9.8229999540000001</v>
      </c>
      <c r="BI219">
        <f ca="1">IF(ISERROR(IF(MEDIAN($BI$220:$BI$230) = 0, "", MEDIAN($BI$220:$BI$230))), "", (IF(MEDIAN($BI$220:$BI$230) = 0, "", MEDIAN($BI$220:$BI$230))))</f>
        <v>-38.850999999999999</v>
      </c>
      <c r="BJ219">
        <f ca="1">IF(ISERROR(IF(MEDIAN($BJ$220:$BJ$230) = 0, "", MEDIAN($BJ$220:$BJ$230))), "", (IF(MEDIAN($BJ$220:$BJ$230) = 0, "", MEDIAN($BJ$220:$BJ$230))))</f>
        <v>0.43799972500000001</v>
      </c>
      <c r="BK219">
        <f ca="1">IF(ISERROR(IF(MEDIAN($BK$220:$BK$230) = 0, "", MEDIAN($BK$220:$BK$230))), "", (IF(MEDIAN($BK$220:$BK$230) = 0, "", MEDIAN($BK$220:$BK$230))))</f>
        <v>19.407</v>
      </c>
      <c r="BL219">
        <f ca="1">IF(ISERROR(IF(MEDIAN($BL$220:$BL$230) = 0, "", MEDIAN($BL$220:$BL$230))), "", (IF(MEDIAN($BL$220:$BL$230) = 0, "", MEDIAN($BL$220:$BL$230))))</f>
        <v>-97.084000000000003</v>
      </c>
      <c r="BM219">
        <f ca="1">IF(ISERROR(IF(MEDIAN($BM$220:$BM$230) = 0, "", MEDIAN($BM$220:$BM$230))), "", (IF(MEDIAN($BM$220:$BM$230) = 0, "", MEDIAN($BM$220:$BM$230))))</f>
        <v>15.05550057</v>
      </c>
      <c r="BN219" t="str">
        <f>""</f>
        <v/>
      </c>
      <c r="BO219">
        <f>-21.1645</f>
        <v>-21.1645</v>
      </c>
      <c r="BP219">
        <f>-19.675</f>
        <v>-19.675000000000001</v>
      </c>
      <c r="BQ219">
        <f>54.375</f>
        <v>54.375</v>
      </c>
      <c r="BR219">
        <f>34.119</f>
        <v>34.119</v>
      </c>
      <c r="BS219">
        <f>19.298</f>
        <v>19.297999999999998</v>
      </c>
      <c r="BT219">
        <f>-66.115</f>
        <v>-66.114999999999995</v>
      </c>
      <c r="BU219">
        <f>42.946</f>
        <v>42.945999999999998</v>
      </c>
      <c r="BV219">
        <f>31.628</f>
        <v>31.628</v>
      </c>
      <c r="BW219">
        <f>40.496</f>
        <v>40.496000000000002</v>
      </c>
      <c r="BX219">
        <f>17.93</f>
        <v>17.93</v>
      </c>
      <c r="BY219">
        <f>-107.0495</f>
        <v>-107.04949999999999</v>
      </c>
      <c r="BZ219">
        <f>-58.042</f>
        <v>-58.042000000000002</v>
      </c>
      <c r="CA219">
        <f>-13.8425</f>
        <v>-13.842499999999999</v>
      </c>
      <c r="CB219">
        <f>19.2265</f>
        <v>19.226500000000001</v>
      </c>
      <c r="CC219">
        <f>27.0755</f>
        <v>27.075500000000002</v>
      </c>
      <c r="CD219">
        <f>25.4225</f>
        <v>25.422499999999999</v>
      </c>
      <c r="CE219">
        <f>5.5285</f>
        <v>5.5285000000000002</v>
      </c>
      <c r="CF219">
        <f>-15.574</f>
        <v>-15.574</v>
      </c>
      <c r="CG219">
        <f>23.8755</f>
        <v>23.875499999999999</v>
      </c>
      <c r="CH219">
        <f>17.564</f>
        <v>17.564</v>
      </c>
      <c r="CI219">
        <f>-51.0585</f>
        <v>-51.058500000000002</v>
      </c>
      <c r="CJ219">
        <f>-52.031</f>
        <v>-52.030999999999999</v>
      </c>
      <c r="CK219">
        <f>-14.864</f>
        <v>-14.864000000000001</v>
      </c>
      <c r="CL219">
        <f>18.3345</f>
        <v>18.334499999999998</v>
      </c>
      <c r="CM219">
        <f>-21.173</f>
        <v>-21.172999999999998</v>
      </c>
      <c r="CN219">
        <f>4.4845</f>
        <v>4.4844999999999997</v>
      </c>
      <c r="CO219">
        <f>-3.8905</f>
        <v>-3.8904999999999998</v>
      </c>
      <c r="CP219">
        <f>-1.7455</f>
        <v>-1.7455000000000001</v>
      </c>
      <c r="CQ219">
        <f>-15.44</f>
        <v>-15.44</v>
      </c>
      <c r="CR219">
        <f>15.171</f>
        <v>15.170999999999999</v>
      </c>
      <c r="CS219">
        <f>-7.585</f>
        <v>-7.585</v>
      </c>
      <c r="CT219">
        <f>9.622</f>
        <v>9.6219999999999999</v>
      </c>
      <c r="CU219">
        <f>-58.7395</f>
        <v>-58.7395</v>
      </c>
      <c r="CV219">
        <f>10.7165</f>
        <v>10.7165</v>
      </c>
      <c r="CW219">
        <f>-0.717</f>
        <v>-0.71699999999999997</v>
      </c>
      <c r="CX219">
        <f>18.676</f>
        <v>18.675999999999998</v>
      </c>
      <c r="CY219">
        <f>-43.425</f>
        <v>-43.424999999999997</v>
      </c>
      <c r="CZ219">
        <f>-67.077</f>
        <v>-67.076999999999998</v>
      </c>
      <c r="DA219">
        <f>-38.672</f>
        <v>-38.671999999999997</v>
      </c>
      <c r="DB219">
        <f>13.001</f>
        <v>13.000999999999999</v>
      </c>
      <c r="DC219">
        <f>-18.082</f>
        <v>-18.082000000000001</v>
      </c>
      <c r="DD219">
        <f>-31.993</f>
        <v>-31.992999999999999</v>
      </c>
      <c r="DE219">
        <f>-15.9298835</f>
        <v>-15.929883500000001</v>
      </c>
      <c r="DF219">
        <f>1.7360125</f>
        <v>1.7360125</v>
      </c>
      <c r="DG219">
        <f>-71.9455</f>
        <v>-71.945499999999996</v>
      </c>
      <c r="DH219">
        <f>-46.95</f>
        <v>-46.95</v>
      </c>
      <c r="DI219">
        <f>-8.728745</f>
        <v>-8.728745</v>
      </c>
      <c r="DJ219">
        <f>-0.31709</f>
        <v>-0.31708999999999998</v>
      </c>
      <c r="DK219">
        <f>-48.941108</f>
        <v>-48.941108</v>
      </c>
      <c r="DL219">
        <f>19.49</f>
        <v>19.489999999999998</v>
      </c>
      <c r="DM219">
        <f>-53.9925</f>
        <v>-53.9925</v>
      </c>
      <c r="DN219">
        <f>9.314999665</f>
        <v>9.3149996650000002</v>
      </c>
      <c r="DO219">
        <f>-61.897</f>
        <v>-61.896999999999998</v>
      </c>
      <c r="DP219">
        <f>9.822999954</f>
        <v>9.8229999540000001</v>
      </c>
      <c r="DQ219">
        <f>-38.851</f>
        <v>-38.850999999999999</v>
      </c>
      <c r="DR219">
        <f>0.437999725</f>
        <v>0.43799972500000001</v>
      </c>
      <c r="DS219">
        <f>19.407</f>
        <v>19.407</v>
      </c>
      <c r="DT219">
        <f>-97.084</f>
        <v>-97.084000000000003</v>
      </c>
      <c r="DU219">
        <f>15.05550057</f>
        <v>15.05550057</v>
      </c>
    </row>
    <row r="220" spans="1:125">
      <c r="A220" t="str">
        <f>"    Alexandria Real Estate Equitie"</f>
        <v xml:space="preserve">    Alexandria Real Estate Equitie</v>
      </c>
      <c r="B220" t="str">
        <f>"ARE US Equity"</f>
        <v>ARE US Equity</v>
      </c>
      <c r="C220" t="str">
        <f t="shared" ref="C220:C230" si="54">"RR008"</f>
        <v>RR008</v>
      </c>
      <c r="D220" t="str">
        <f t="shared" ref="D220:D230" si="55">"CF_FREE_CASH_FLOW"</f>
        <v>CF_FREE_CASH_FLOW</v>
      </c>
      <c r="E220" t="str">
        <f t="shared" ref="E220:E230" si="56">"动态"</f>
        <v>动态</v>
      </c>
      <c r="F220" t="str">
        <f ca="1">IF(AND(ISNUMBER($F$458),$B$258=1),$F$458,HLOOKUP(INDIRECT(ADDRESS(2,COLUMN())),OFFSET($BN$2,0,0,ROW()-1,60),ROW()-1,FALSE))</f>
        <v/>
      </c>
      <c r="G220">
        <f ca="1">IF(AND(ISNUMBER($G$458),$B$258=1),$G$458,HLOOKUP(INDIRECT(ADDRESS(2,COLUMN())),OFFSET($BN$2,0,0,ROW()-1,60),ROW()-1,FALSE))</f>
        <v>-223.51300000000001</v>
      </c>
      <c r="H220">
        <f ca="1">IF(AND(ISNUMBER($H$458),$B$258=1),$H$458,HLOOKUP(INDIRECT(ADDRESS(2,COLUMN())),OFFSET($BN$2,0,0,ROW()-1,60),ROW()-1,FALSE))</f>
        <v>-200.119</v>
      </c>
      <c r="I220">
        <f ca="1">IF(AND(ISNUMBER($I$458),$B$258=1),$I$458,HLOOKUP(INDIRECT(ADDRESS(2,COLUMN())),OFFSET($BN$2,0,0,ROW()-1,60),ROW()-1,FALSE))</f>
        <v>-366.66</v>
      </c>
      <c r="J220">
        <f ca="1">IF(AND(ISNUMBER($J$458),$B$258=1),$J$458,HLOOKUP(INDIRECT(ADDRESS(2,COLUMN())),OFFSET($BN$2,0,0,ROW()-1,60),ROW()-1,FALSE))</f>
        <v>-328.65199999999999</v>
      </c>
      <c r="K220">
        <f ca="1">IF(AND(ISNUMBER($K$458),$B$258=1),$K$458,HLOOKUP(INDIRECT(ADDRESS(2,COLUMN())),OFFSET($BN$2,0,0,ROW()-1,60),ROW()-1,FALSE))</f>
        <v>-802.26400000000001</v>
      </c>
      <c r="L220">
        <f ca="1">IF(AND(ISNUMBER($L$458),$B$258=1),$L$458,HLOOKUP(INDIRECT(ADDRESS(2,COLUMN())),OFFSET($BN$2,0,0,ROW()-1,60),ROW()-1,FALSE))</f>
        <v>-173.87200000000001</v>
      </c>
      <c r="M220">
        <f ca="1">IF(AND(ISNUMBER($M$458),$B$258=1),$M$458,HLOOKUP(INDIRECT(ADDRESS(2,COLUMN())),OFFSET($BN$2,0,0,ROW()-1,60),ROW()-1,FALSE))</f>
        <v>-133.23400000000001</v>
      </c>
      <c r="N220">
        <f ca="1">IF(AND(ISNUMBER($N$458),$B$258=1),$N$458,HLOOKUP(INDIRECT(ADDRESS(2,COLUMN())),OFFSET($BN$2,0,0,ROW()-1,60),ROW()-1,FALSE))</f>
        <v>-57.719000000000001</v>
      </c>
      <c r="O220">
        <f ca="1">IF(AND(ISNUMBER($O$458),$B$258=1),$O$458,HLOOKUP(INDIRECT(ADDRESS(2,COLUMN())),OFFSET($BN$2,0,0,ROW()-1,60),ROW()-1,FALSE))</f>
        <v>-105.791</v>
      </c>
      <c r="P220">
        <f ca="1">IF(AND(ISNUMBER($P$458),$B$258=1),$P$458,HLOOKUP(INDIRECT(ADDRESS(2,COLUMN())),OFFSET($BN$2,0,0,ROW()-1,60),ROW()-1,FALSE))</f>
        <v>-152.34200000000001</v>
      </c>
      <c r="Q220">
        <f ca="1">IF(AND(ISNUMBER($Q$458),$B$258=1),$Q$458,HLOOKUP(INDIRECT(ADDRESS(2,COLUMN())),OFFSET($BN$2,0,0,ROW()-1,60),ROW()-1,FALSE))</f>
        <v>-120.666</v>
      </c>
      <c r="R220">
        <f ca="1">IF(AND(ISNUMBER($R$458),$B$258=1),$R$458,HLOOKUP(INDIRECT(ADDRESS(2,COLUMN())),OFFSET($BN$2,0,0,ROW()-1,60),ROW()-1,FALSE))</f>
        <v>-91.728999999999999</v>
      </c>
      <c r="S220">
        <f ca="1">IF(AND(ISNUMBER($S$458),$B$258=1),$S$458,HLOOKUP(INDIRECT(ADDRESS(2,COLUMN())),OFFSET($BN$2,0,0,ROW()-1,60),ROW()-1,FALSE))</f>
        <v>-103.6</v>
      </c>
      <c r="T220">
        <f ca="1">IF(AND(ISNUMBER($T$458),$B$258=1),$T$458,HLOOKUP(INDIRECT(ADDRESS(2,COLUMN())),OFFSET($BN$2,0,0,ROW()-1,60),ROW()-1,FALSE))</f>
        <v>-23.649000000000001</v>
      </c>
      <c r="U220">
        <f ca="1">IF(AND(ISNUMBER($U$458),$B$258=1),$U$458,HLOOKUP(INDIRECT(ADDRESS(2,COLUMN())),OFFSET($BN$2,0,0,ROW()-1,60),ROW()-1,FALSE))</f>
        <v>-83.42</v>
      </c>
      <c r="V220">
        <f ca="1">IF(AND(ISNUMBER($V$458),$B$258=1),$V$458,HLOOKUP(INDIRECT(ADDRESS(2,COLUMN())),OFFSET($BN$2,0,0,ROW()-1,60),ROW()-1,FALSE))</f>
        <v>-80.665999999999997</v>
      </c>
      <c r="W220">
        <f ca="1">IF(AND(ISNUMBER($W$458),$B$258=1),$W$458,HLOOKUP(INDIRECT(ADDRESS(2,COLUMN())),OFFSET($BN$2,0,0,ROW()-1,60),ROW()-1,FALSE))</f>
        <v>-164.43</v>
      </c>
      <c r="X220">
        <f ca="1">IF(AND(ISNUMBER($X$458),$B$258=1),$X$458,HLOOKUP(INDIRECT(ADDRESS(2,COLUMN())),OFFSET($BN$2,0,0,ROW()-1,60),ROW()-1,FALSE))</f>
        <v>-83.515000000000001</v>
      </c>
      <c r="Y220">
        <f ca="1">IF(AND(ISNUMBER($Y$458),$B$258=1),$Y$458,HLOOKUP(INDIRECT(ADDRESS(2,COLUMN())),OFFSET($BN$2,0,0,ROW()-1,60),ROW()-1,FALSE))</f>
        <v>-62.781999999999996</v>
      </c>
      <c r="Z220">
        <f ca="1">IF(AND(ISNUMBER($Z$458),$B$258=1),$Z$458,HLOOKUP(INDIRECT(ADDRESS(2,COLUMN())),OFFSET($BN$2,0,0,ROW()-1,60),ROW()-1,FALSE))</f>
        <v>-92.004000000000005</v>
      </c>
      <c r="AA220">
        <f ca="1">IF(AND(ISNUMBER($AA$458),$B$258=1),$AA$458,HLOOKUP(INDIRECT(ADDRESS(2,COLUMN())),OFFSET($BN$2,0,0,ROW()-1,60),ROW()-1,FALSE))</f>
        <v>-64.921000000000006</v>
      </c>
      <c r="AB220">
        <f ca="1">IF(AND(ISNUMBER($AB$458),$B$258=1),$AB$458,HLOOKUP(INDIRECT(ADDRESS(2,COLUMN())),OFFSET($BN$2,0,0,ROW()-1,60),ROW()-1,FALSE))</f>
        <v>-62.622999999999998</v>
      </c>
      <c r="AC220">
        <f ca="1">IF(AND(ISNUMBER($AC$458),$B$258=1),$AC$458,HLOOKUP(INDIRECT(ADDRESS(2,COLUMN())),OFFSET($BN$2,0,0,ROW()-1,60),ROW()-1,FALSE))</f>
        <v>-67.278000000000006</v>
      </c>
      <c r="AD220">
        <f ca="1">IF(AND(ISNUMBER($AD$458),$B$258=1),$AD$458,HLOOKUP(INDIRECT(ADDRESS(2,COLUMN())),OFFSET($BN$2,0,0,ROW()-1,60),ROW()-1,FALSE))</f>
        <v>-90.846000000000004</v>
      </c>
      <c r="AE220">
        <f ca="1">IF(AND(ISNUMBER($AE$458),$B$258=1),$AE$458,HLOOKUP(INDIRECT(ADDRESS(2,COLUMN())),OFFSET($BN$2,0,0,ROW()-1,60),ROW()-1,FALSE))</f>
        <v>-65.445999999999998</v>
      </c>
      <c r="AF220">
        <f ca="1">IF(AND(ISNUMBER($AF$458),$B$258=1),$AF$458,HLOOKUP(INDIRECT(ADDRESS(2,COLUMN())),OFFSET($BN$2,0,0,ROW()-1,60),ROW()-1,FALSE))</f>
        <v>-64.293999999999997</v>
      </c>
      <c r="AG220">
        <f ca="1">IF(AND(ISNUMBER($AG$458),$B$258=1),$AG$458,HLOOKUP(INDIRECT(ADDRESS(2,COLUMN())),OFFSET($BN$2,0,0,ROW()-1,60),ROW()-1,FALSE))</f>
        <v>-321.51499999999999</v>
      </c>
      <c r="AH220">
        <f ca="1">IF(AND(ISNUMBER($AH$458),$B$258=1),$AH$458,HLOOKUP(INDIRECT(ADDRESS(2,COLUMN())),OFFSET($BN$2,0,0,ROW()-1,60),ROW()-1,FALSE))</f>
        <v>-37.953000000000003</v>
      </c>
      <c r="AI220">
        <f ca="1">IF(AND(ISNUMBER($AI$458),$B$258=1),$AI$458,HLOOKUP(INDIRECT(ADDRESS(2,COLUMN())),OFFSET($BN$2,0,0,ROW()-1,60),ROW()-1,FALSE))</f>
        <v>-289.59699999999998</v>
      </c>
      <c r="AJ220">
        <f ca="1">IF(AND(ISNUMBER($AJ$458),$B$258=1),$AJ$458,HLOOKUP(INDIRECT(ADDRESS(2,COLUMN())),OFFSET($BN$2,0,0,ROW()-1,60),ROW()-1,FALSE))</f>
        <v>-115.34</v>
      </c>
      <c r="AK220">
        <f ca="1">IF(AND(ISNUMBER($AK$458),$B$258=1),$AK$458,HLOOKUP(INDIRECT(ADDRESS(2,COLUMN())),OFFSET($BN$2,0,0,ROW()-1,60),ROW()-1,FALSE))</f>
        <v>-48.234999999999999</v>
      </c>
      <c r="AL220">
        <f ca="1">IF(AND(ISNUMBER($AL$458),$B$258=1),$AL$458,HLOOKUP(INDIRECT(ADDRESS(2,COLUMN())),OFFSET($BN$2,0,0,ROW()-1,60),ROW()-1,FALSE))</f>
        <v>-45.042000000000002</v>
      </c>
      <c r="AM220">
        <f ca="1">IF(AND(ISNUMBER($AM$458),$B$258=1),$AM$458,HLOOKUP(INDIRECT(ADDRESS(2,COLUMN())),OFFSET($BN$2,0,0,ROW()-1,60),ROW()-1,FALSE))</f>
        <v>-67.045000000000002</v>
      </c>
      <c r="AN220">
        <f ca="1">IF(AND(ISNUMBER($AN$458),$B$258=1),$AN$458,HLOOKUP(INDIRECT(ADDRESS(2,COLUMN())),OFFSET($BN$2,0,0,ROW()-1,60),ROW()-1,FALSE))</f>
        <v>-52.96</v>
      </c>
      <c r="AO220">
        <f ca="1">IF(AND(ISNUMBER($AO$458),$B$258=1),$AO$458,HLOOKUP(INDIRECT(ADDRESS(2,COLUMN())),OFFSET($BN$2,0,0,ROW()-1,60),ROW()-1,FALSE))</f>
        <v>-52.152000000000001</v>
      </c>
      <c r="AP220">
        <f ca="1">IF(AND(ISNUMBER($AP$458),$B$258=1),$AP$458,HLOOKUP(INDIRECT(ADDRESS(2,COLUMN())),OFFSET($BN$2,0,0,ROW()-1,60),ROW()-1,FALSE))</f>
        <v>-64.667000000000002</v>
      </c>
      <c r="AQ220">
        <f ca="1">IF(AND(ISNUMBER($AQ$458),$B$258=1),$AQ$458,HLOOKUP(INDIRECT(ADDRESS(2,COLUMN())),OFFSET($BN$2,0,0,ROW()-1,60),ROW()-1,FALSE))</f>
        <v>-51.042999999999999</v>
      </c>
      <c r="AR220">
        <f ca="1">IF(AND(ISNUMBER($AR$458),$B$258=1),$AR$458,HLOOKUP(INDIRECT(ADDRESS(2,COLUMN())),OFFSET($BN$2,0,0,ROW()-1,60),ROW()-1,FALSE))</f>
        <v>-68.731999999999999</v>
      </c>
      <c r="AS220">
        <f ca="1">IF(AND(ISNUMBER($AS$458),$B$258=1),$AS$458,HLOOKUP(INDIRECT(ADDRESS(2,COLUMN())),OFFSET($BN$2,0,0,ROW()-1,60),ROW()-1,FALSE))</f>
        <v>-83.376000000000005</v>
      </c>
      <c r="AT220">
        <f ca="1">IF(AND(ISNUMBER($AT$458),$B$258=1),$AT$458,HLOOKUP(INDIRECT(ADDRESS(2,COLUMN())),OFFSET($BN$2,0,0,ROW()-1,60),ROW()-1,FALSE))</f>
        <v>-91.387</v>
      </c>
      <c r="AU220">
        <f ca="1">IF(AND(ISNUMBER($AU$458),$B$258=1),$AU$458,HLOOKUP(INDIRECT(ADDRESS(2,COLUMN())),OFFSET($BN$2,0,0,ROW()-1,60),ROW()-1,FALSE))</f>
        <v>-256.45800000000003</v>
      </c>
      <c r="AV220">
        <f ca="1">IF(AND(ISNUMBER($AV$458),$B$258=1),$AV$458,HLOOKUP(INDIRECT(ADDRESS(2,COLUMN())),OFFSET($BN$2,0,0,ROW()-1,60),ROW()-1,FALSE))</f>
        <v>-419.62900000000002</v>
      </c>
      <c r="AW220">
        <f ca="1">IF(AND(ISNUMBER($AW$458),$B$258=1),$AW$458,HLOOKUP(INDIRECT(ADDRESS(2,COLUMN())),OFFSET($BN$2,0,0,ROW()-1,60),ROW()-1,FALSE))</f>
        <v>-95.438999999999993</v>
      </c>
      <c r="AX220">
        <f ca="1">IF(AND(ISNUMBER($AX$458),$B$258=1),$AX$458,HLOOKUP(INDIRECT(ADDRESS(2,COLUMN())),OFFSET($BN$2,0,0,ROW()-1,60),ROW()-1,FALSE))</f>
        <v>-63.999000000000002</v>
      </c>
      <c r="AY220">
        <f ca="1">IF(AND(ISNUMBER($AY$458),$B$258=1),$AY$458,HLOOKUP(INDIRECT(ADDRESS(2,COLUMN())),OFFSET($BN$2,0,0,ROW()-1,60),ROW()-1,FALSE))</f>
        <v>-280.30900000000003</v>
      </c>
      <c r="AZ220">
        <f ca="1">IF(AND(ISNUMBER($AZ$458),$B$258=1),$AZ$458,HLOOKUP(INDIRECT(ADDRESS(2,COLUMN())),OFFSET($BN$2,0,0,ROW()-1,60),ROW()-1,FALSE))</f>
        <v>-403.48899999999998</v>
      </c>
      <c r="BA220">
        <f ca="1">IF(AND(ISNUMBER($BA$458),$B$258=1),$BA$458,HLOOKUP(INDIRECT(ADDRESS(2,COLUMN())),OFFSET($BN$2,0,0,ROW()-1,60),ROW()-1,FALSE))</f>
        <v>-87.319000000000003</v>
      </c>
      <c r="BB220">
        <f ca="1">IF(AND(ISNUMBER($BB$458),$B$258=1),$BB$458,HLOOKUP(INDIRECT(ADDRESS(2,COLUMN())),OFFSET($BN$2,0,0,ROW()-1,60),ROW()-1,FALSE))</f>
        <v>-119.31100000000001</v>
      </c>
      <c r="BC220">
        <f ca="1">IF(AND(ISNUMBER($BC$458),$B$258=1),$BC$458,HLOOKUP(INDIRECT(ADDRESS(2,COLUMN())),OFFSET($BN$2,0,0,ROW()-1,60),ROW()-1,FALSE))</f>
        <v>-114.491</v>
      </c>
      <c r="BD220">
        <f ca="1">IF(AND(ISNUMBER($BD$458),$B$258=1),$BD$458,HLOOKUP(INDIRECT(ADDRESS(2,COLUMN())),OFFSET($BN$2,0,0,ROW()-1,60),ROW()-1,FALSE))</f>
        <v>-41.406999999999996</v>
      </c>
      <c r="BE220">
        <f ca="1">IF(AND(ISNUMBER($BE$458),$B$258=1),$BE$458,HLOOKUP(INDIRECT(ADDRESS(2,COLUMN())),OFFSET($BN$2,0,0,ROW()-1,60),ROW()-1,FALSE))</f>
        <v>-65.058999999999997</v>
      </c>
      <c r="BF220">
        <f ca="1">IF(AND(ISNUMBER($BF$458),$B$258=1),$BF$458,HLOOKUP(INDIRECT(ADDRESS(2,COLUMN())),OFFSET($BN$2,0,0,ROW()-1,60),ROW()-1,FALSE))</f>
        <v>-92.588999999999999</v>
      </c>
      <c r="BG220">
        <f ca="1">IF(AND(ISNUMBER($BG$458),$B$258=1),$BG$458,HLOOKUP(INDIRECT(ADDRESS(2,COLUMN())),OFFSET($BN$2,0,0,ROW()-1,60),ROW()-1,FALSE))</f>
        <v>-220.66499999999999</v>
      </c>
      <c r="BH220">
        <f ca="1">IF(AND(ISNUMBER($BH$458),$B$258=1),$BH$458,HLOOKUP(INDIRECT(ADDRESS(2,COLUMN())),OFFSET($BN$2,0,0,ROW()-1,60),ROW()-1,FALSE))</f>
        <v>-93.313999999999993</v>
      </c>
      <c r="BI220">
        <f ca="1">IF(AND(ISNUMBER($BI$458),$B$258=1),$BI$458,HLOOKUP(INDIRECT(ADDRESS(2,COLUMN())),OFFSET($BN$2,0,0,ROW()-1,60),ROW()-1,FALSE))</f>
        <v>-68.084999999999994</v>
      </c>
      <c r="BJ220">
        <f ca="1">IF(AND(ISNUMBER($BJ$458),$B$258=1),$BJ$458,HLOOKUP(INDIRECT(ADDRESS(2,COLUMN())),OFFSET($BN$2,0,0,ROW()-1,60),ROW()-1,FALSE))</f>
        <v>19.515999999999998</v>
      </c>
      <c r="BK220">
        <f ca="1">IF(AND(ISNUMBER($BK$458),$B$258=1),$BK$458,HLOOKUP(INDIRECT(ADDRESS(2,COLUMN())),OFFSET($BN$2,0,0,ROW()-1,60),ROW()-1,FALSE))</f>
        <v>25.794</v>
      </c>
      <c r="BL220">
        <f ca="1">IF(AND(ISNUMBER($BL$458),$B$258=1),$BL$458,HLOOKUP(INDIRECT(ADDRESS(2,COLUMN())),OFFSET($BN$2,0,0,ROW()-1,60),ROW()-1,FALSE))</f>
        <v>-97.084000000000003</v>
      </c>
      <c r="BM220">
        <f ca="1">IF(AND(ISNUMBER($BM$458),$B$258=1),$BM$458,HLOOKUP(INDIRECT(ADDRESS(2,COLUMN())),OFFSET($BN$2,0,0,ROW()-1,60),ROW()-1,FALSE))</f>
        <v>-3.97</v>
      </c>
      <c r="BN220" t="str">
        <f>""</f>
        <v/>
      </c>
      <c r="BO220">
        <f>-223.513</f>
        <v>-223.51300000000001</v>
      </c>
      <c r="BP220">
        <f>-200.119</f>
        <v>-200.119</v>
      </c>
      <c r="BQ220">
        <f>-366.66</f>
        <v>-366.66</v>
      </c>
      <c r="BR220">
        <f>-328.652</f>
        <v>-328.65199999999999</v>
      </c>
      <c r="BS220">
        <f>-802.264</f>
        <v>-802.26400000000001</v>
      </c>
      <c r="BT220">
        <f>-173.872</f>
        <v>-173.87200000000001</v>
      </c>
      <c r="BU220">
        <f>-133.234</f>
        <v>-133.23400000000001</v>
      </c>
      <c r="BV220">
        <f>-57.719</f>
        <v>-57.719000000000001</v>
      </c>
      <c r="BW220">
        <f>-105.791</f>
        <v>-105.791</v>
      </c>
      <c r="BX220">
        <f>-152.342</f>
        <v>-152.34200000000001</v>
      </c>
      <c r="BY220">
        <f>-120.666</f>
        <v>-120.666</v>
      </c>
      <c r="BZ220">
        <f>-91.729</f>
        <v>-91.728999999999999</v>
      </c>
      <c r="CA220">
        <f>-103.6</f>
        <v>-103.6</v>
      </c>
      <c r="CB220">
        <f>-23.649</f>
        <v>-23.649000000000001</v>
      </c>
      <c r="CC220">
        <f>-83.42</f>
        <v>-83.42</v>
      </c>
      <c r="CD220">
        <f>-80.666</f>
        <v>-80.665999999999997</v>
      </c>
      <c r="CE220">
        <f>-164.43</f>
        <v>-164.43</v>
      </c>
      <c r="CF220">
        <f>-83.515</f>
        <v>-83.515000000000001</v>
      </c>
      <c r="CG220">
        <f>-62.782</f>
        <v>-62.781999999999996</v>
      </c>
      <c r="CH220">
        <f>-92.004</f>
        <v>-92.004000000000005</v>
      </c>
      <c r="CI220">
        <f>-64.921</f>
        <v>-64.921000000000006</v>
      </c>
      <c r="CJ220">
        <f>-62.623</f>
        <v>-62.622999999999998</v>
      </c>
      <c r="CK220">
        <f>-67.278</f>
        <v>-67.278000000000006</v>
      </c>
      <c r="CL220">
        <f>-90.846</f>
        <v>-90.846000000000004</v>
      </c>
      <c r="CM220">
        <f>-65.446</f>
        <v>-65.445999999999998</v>
      </c>
      <c r="CN220">
        <f>-64.294</f>
        <v>-64.293999999999997</v>
      </c>
      <c r="CO220">
        <f>-321.515</f>
        <v>-321.51499999999999</v>
      </c>
      <c r="CP220">
        <f>-37.953</f>
        <v>-37.953000000000003</v>
      </c>
      <c r="CQ220">
        <f>-289.597</f>
        <v>-289.59699999999998</v>
      </c>
      <c r="CR220">
        <f>-115.34</f>
        <v>-115.34</v>
      </c>
      <c r="CS220">
        <f>-48.235</f>
        <v>-48.234999999999999</v>
      </c>
      <c r="CT220">
        <f>-45.042</f>
        <v>-45.042000000000002</v>
      </c>
      <c r="CU220">
        <f>-67.045</f>
        <v>-67.045000000000002</v>
      </c>
      <c r="CV220">
        <f>-52.96</f>
        <v>-52.96</v>
      </c>
      <c r="CW220">
        <f>-52.152</f>
        <v>-52.152000000000001</v>
      </c>
      <c r="CX220">
        <f>-64.667</f>
        <v>-64.667000000000002</v>
      </c>
      <c r="CY220">
        <f>-51.043</f>
        <v>-51.042999999999999</v>
      </c>
      <c r="CZ220">
        <f>-68.732</f>
        <v>-68.731999999999999</v>
      </c>
      <c r="DA220">
        <f>-83.376</f>
        <v>-83.376000000000005</v>
      </c>
      <c r="DB220">
        <f>-91.387</f>
        <v>-91.387</v>
      </c>
      <c r="DC220">
        <f>-256.458</f>
        <v>-256.45800000000003</v>
      </c>
      <c r="DD220">
        <f>-419.629</f>
        <v>-419.62900000000002</v>
      </c>
      <c r="DE220">
        <f>-95.439</f>
        <v>-95.438999999999993</v>
      </c>
      <c r="DF220">
        <f>-63.999</f>
        <v>-63.999000000000002</v>
      </c>
      <c r="DG220">
        <f>-280.309</f>
        <v>-280.30900000000003</v>
      </c>
      <c r="DH220">
        <f>-403.489</f>
        <v>-403.48899999999998</v>
      </c>
      <c r="DI220">
        <f>-87.319</f>
        <v>-87.319000000000003</v>
      </c>
      <c r="DJ220">
        <f>-119.311</f>
        <v>-119.31100000000001</v>
      </c>
      <c r="DK220">
        <f>-114.491</f>
        <v>-114.491</v>
      </c>
      <c r="DL220">
        <f>-41.407</f>
        <v>-41.406999999999996</v>
      </c>
      <c r="DM220">
        <f>-65.059</f>
        <v>-65.058999999999997</v>
      </c>
      <c r="DN220">
        <f>-92.589</f>
        <v>-92.588999999999999</v>
      </c>
      <c r="DO220">
        <f>-220.665</f>
        <v>-220.66499999999999</v>
      </c>
      <c r="DP220">
        <f>-93.314</f>
        <v>-93.313999999999993</v>
      </c>
      <c r="DQ220">
        <f>-68.085</f>
        <v>-68.084999999999994</v>
      </c>
      <c r="DR220">
        <f>19.516</f>
        <v>19.515999999999998</v>
      </c>
      <c r="DS220">
        <f>25.794</f>
        <v>25.794</v>
      </c>
      <c r="DT220">
        <f>-97.084</f>
        <v>-97.084000000000003</v>
      </c>
      <c r="DU220">
        <f>-3.97</f>
        <v>-3.97</v>
      </c>
    </row>
    <row r="221" spans="1:125">
      <c r="A221" t="str">
        <f>"    Care Capital Properties Inc"</f>
        <v xml:space="preserve">    Care Capital Properties Inc</v>
      </c>
      <c r="B221" t="str">
        <f>"CCP US Equity"</f>
        <v>CCP US Equity</v>
      </c>
      <c r="C221" t="str">
        <f t="shared" si="54"/>
        <v>RR008</v>
      </c>
      <c r="D221" t="str">
        <f t="shared" si="55"/>
        <v>CF_FREE_CASH_FLOW</v>
      </c>
      <c r="E221" t="str">
        <f t="shared" si="56"/>
        <v>动态</v>
      </c>
      <c r="F221" t="str">
        <f ca="1">IF(AND(ISNUMBER($F$459),$B$258=1),$F$459,HLOOKUP(INDIRECT(ADDRESS(2,COLUMN())),OFFSET($BN$2,0,0,ROW()-1,60),ROW()-1,FALSE))</f>
        <v/>
      </c>
      <c r="G221" t="str">
        <f ca="1">IF(AND(ISNUMBER($G$459),$B$258=1),$G$459,HLOOKUP(INDIRECT(ADDRESS(2,COLUMN())),OFFSET($BN$2,0,0,ROW()-1,60),ROW()-1,FALSE))</f>
        <v/>
      </c>
      <c r="H221" t="str">
        <f ca="1">IF(AND(ISNUMBER($H$459),$B$258=1),$H$459,HLOOKUP(INDIRECT(ADDRESS(2,COLUMN())),OFFSET($BN$2,0,0,ROW()-1,60),ROW()-1,FALSE))</f>
        <v/>
      </c>
      <c r="I221">
        <f ca="1">IF(AND(ISNUMBER($I$459),$B$258=1),$I$459,HLOOKUP(INDIRECT(ADDRESS(2,COLUMN())),OFFSET($BN$2,0,0,ROW()-1,60),ROW()-1,FALSE))</f>
        <v>54.375</v>
      </c>
      <c r="J221">
        <f ca="1">IF(AND(ISNUMBER($J$459),$B$258=1),$J$459,HLOOKUP(INDIRECT(ADDRESS(2,COLUMN())),OFFSET($BN$2,0,0,ROW()-1,60),ROW()-1,FALSE))</f>
        <v>38.911999999999999</v>
      </c>
      <c r="K221">
        <f ca="1">IF(AND(ISNUMBER($K$459),$B$258=1),$K$459,HLOOKUP(INDIRECT(ADDRESS(2,COLUMN())),OFFSET($BN$2,0,0,ROW()-1,60),ROW()-1,FALSE))</f>
        <v>50.831000000000003</v>
      </c>
      <c r="L221">
        <f ca="1">IF(AND(ISNUMBER($L$459),$B$258=1),$L$459,HLOOKUP(INDIRECT(ADDRESS(2,COLUMN())),OFFSET($BN$2,0,0,ROW()-1,60),ROW()-1,FALSE))</f>
        <v>57.264000000000003</v>
      </c>
      <c r="M221">
        <f ca="1">IF(AND(ISNUMBER($M$459),$B$258=1),$M$459,HLOOKUP(INDIRECT(ADDRESS(2,COLUMN())),OFFSET($BN$2,0,0,ROW()-1,60),ROW()-1,FALSE))</f>
        <v>59.216000000000001</v>
      </c>
      <c r="N221">
        <f ca="1">IF(AND(ISNUMBER($N$459),$B$258=1),$N$459,HLOOKUP(INDIRECT(ADDRESS(2,COLUMN())),OFFSET($BN$2,0,0,ROW()-1,60),ROW()-1,FALSE))</f>
        <v>39.432000000000002</v>
      </c>
      <c r="O221">
        <f ca="1">IF(AND(ISNUMBER($O$459),$B$258=1),$O$459,HLOOKUP(INDIRECT(ADDRESS(2,COLUMN())),OFFSET($BN$2,0,0,ROW()-1,60),ROW()-1,FALSE))</f>
        <v>48.673999999999999</v>
      </c>
      <c r="P221">
        <f ca="1">IF(AND(ISNUMBER($P$459),$B$258=1),$P$459,HLOOKUP(INDIRECT(ADDRESS(2,COLUMN())),OFFSET($BN$2,0,0,ROW()-1,60),ROW()-1,FALSE))</f>
        <v>61.125</v>
      </c>
      <c r="Q221" t="str">
        <f ca="1">IF(AND(ISNUMBER($Q$459),$B$258=1),$Q$459,HLOOKUP(INDIRECT(ADDRESS(2,COLUMN())),OFFSET($BN$2,0,0,ROW()-1,60),ROW()-1,FALSE))</f>
        <v/>
      </c>
      <c r="R221" t="str">
        <f ca="1">IF(AND(ISNUMBER($R$459),$B$258=1),$R$459,HLOOKUP(INDIRECT(ADDRESS(2,COLUMN())),OFFSET($BN$2,0,0,ROW()-1,60),ROW()-1,FALSE))</f>
        <v/>
      </c>
      <c r="S221" t="str">
        <f ca="1">IF(AND(ISNUMBER($S$459),$B$258=1),$S$459,HLOOKUP(INDIRECT(ADDRESS(2,COLUMN())),OFFSET($BN$2,0,0,ROW()-1,60),ROW()-1,FALSE))</f>
        <v/>
      </c>
      <c r="T221" t="str">
        <f ca="1">IF(AND(ISNUMBER($T$459),$B$258=1),$T$459,HLOOKUP(INDIRECT(ADDRESS(2,COLUMN())),OFFSET($BN$2,0,0,ROW()-1,60),ROW()-1,FALSE))</f>
        <v/>
      </c>
      <c r="U221" t="str">
        <f ca="1">IF(AND(ISNUMBER($U$459),$B$258=1),$U$459,HLOOKUP(INDIRECT(ADDRESS(2,COLUMN())),OFFSET($BN$2,0,0,ROW()-1,60),ROW()-1,FALSE))</f>
        <v/>
      </c>
      <c r="V221" t="str">
        <f ca="1">IF(AND(ISNUMBER($V$459),$B$258=1),$V$459,HLOOKUP(INDIRECT(ADDRESS(2,COLUMN())),OFFSET($BN$2,0,0,ROW()-1,60),ROW()-1,FALSE))</f>
        <v/>
      </c>
      <c r="W221" t="str">
        <f ca="1">IF(AND(ISNUMBER($W$459),$B$258=1),$W$459,HLOOKUP(INDIRECT(ADDRESS(2,COLUMN())),OFFSET($BN$2,0,0,ROW()-1,60),ROW()-1,FALSE))</f>
        <v/>
      </c>
      <c r="X221" t="str">
        <f ca="1">IF(AND(ISNUMBER($X$459),$B$258=1),$X$459,HLOOKUP(INDIRECT(ADDRESS(2,COLUMN())),OFFSET($BN$2,0,0,ROW()-1,60),ROW()-1,FALSE))</f>
        <v/>
      </c>
      <c r="Y221" t="str">
        <f ca="1">IF(AND(ISNUMBER($Y$459),$B$258=1),$Y$459,HLOOKUP(INDIRECT(ADDRESS(2,COLUMN())),OFFSET($BN$2,0,0,ROW()-1,60),ROW()-1,FALSE))</f>
        <v/>
      </c>
      <c r="Z221" t="str">
        <f ca="1">IF(AND(ISNUMBER($Z$459),$B$258=1),$Z$459,HLOOKUP(INDIRECT(ADDRESS(2,COLUMN())),OFFSET($BN$2,0,0,ROW()-1,60),ROW()-1,FALSE))</f>
        <v/>
      </c>
      <c r="AA221" t="str">
        <f ca="1">IF(AND(ISNUMBER($AA$459),$B$258=1),$AA$459,HLOOKUP(INDIRECT(ADDRESS(2,COLUMN())),OFFSET($BN$2,0,0,ROW()-1,60),ROW()-1,FALSE))</f>
        <v/>
      </c>
      <c r="AB221" t="str">
        <f ca="1">IF(AND(ISNUMBER($AB$459),$B$258=1),$AB$459,HLOOKUP(INDIRECT(ADDRESS(2,COLUMN())),OFFSET($BN$2,0,0,ROW()-1,60),ROW()-1,FALSE))</f>
        <v/>
      </c>
      <c r="AC221" t="str">
        <f ca="1">IF(AND(ISNUMBER($AC$459),$B$258=1),$AC$459,HLOOKUP(INDIRECT(ADDRESS(2,COLUMN())),OFFSET($BN$2,0,0,ROW()-1,60),ROW()-1,FALSE))</f>
        <v/>
      </c>
      <c r="AD221" t="str">
        <f ca="1">IF(AND(ISNUMBER($AD$459),$B$258=1),$AD$459,HLOOKUP(INDIRECT(ADDRESS(2,COLUMN())),OFFSET($BN$2,0,0,ROW()-1,60),ROW()-1,FALSE))</f>
        <v/>
      </c>
      <c r="AE221" t="str">
        <f ca="1">IF(AND(ISNUMBER($AE$459),$B$258=1),$AE$459,HLOOKUP(INDIRECT(ADDRESS(2,COLUMN())),OFFSET($BN$2,0,0,ROW()-1,60),ROW()-1,FALSE))</f>
        <v/>
      </c>
      <c r="AF221" t="str">
        <f ca="1">IF(AND(ISNUMBER($AF$459),$B$258=1),$AF$459,HLOOKUP(INDIRECT(ADDRESS(2,COLUMN())),OFFSET($BN$2,0,0,ROW()-1,60),ROW()-1,FALSE))</f>
        <v/>
      </c>
      <c r="AG221" t="str">
        <f ca="1">IF(AND(ISNUMBER($AG$459),$B$258=1),$AG$459,HLOOKUP(INDIRECT(ADDRESS(2,COLUMN())),OFFSET($BN$2,0,0,ROW()-1,60),ROW()-1,FALSE))</f>
        <v/>
      </c>
      <c r="AH221" t="str">
        <f ca="1">IF(AND(ISNUMBER($AH$459),$B$258=1),$AH$459,HLOOKUP(INDIRECT(ADDRESS(2,COLUMN())),OFFSET($BN$2,0,0,ROW()-1,60),ROW()-1,FALSE))</f>
        <v/>
      </c>
      <c r="AI221" t="str">
        <f ca="1">IF(AND(ISNUMBER($AI$459),$B$258=1),$AI$459,HLOOKUP(INDIRECT(ADDRESS(2,COLUMN())),OFFSET($BN$2,0,0,ROW()-1,60),ROW()-1,FALSE))</f>
        <v/>
      </c>
      <c r="AJ221" t="str">
        <f ca="1">IF(AND(ISNUMBER($AJ$459),$B$258=1),$AJ$459,HLOOKUP(INDIRECT(ADDRESS(2,COLUMN())),OFFSET($BN$2,0,0,ROW()-1,60),ROW()-1,FALSE))</f>
        <v/>
      </c>
      <c r="AK221" t="str">
        <f ca="1">IF(AND(ISNUMBER($AK$459),$B$258=1),$AK$459,HLOOKUP(INDIRECT(ADDRESS(2,COLUMN())),OFFSET($BN$2,0,0,ROW()-1,60),ROW()-1,FALSE))</f>
        <v/>
      </c>
      <c r="AL221" t="str">
        <f ca="1">IF(AND(ISNUMBER($AL$459),$B$258=1),$AL$459,HLOOKUP(INDIRECT(ADDRESS(2,COLUMN())),OFFSET($BN$2,0,0,ROW()-1,60),ROW()-1,FALSE))</f>
        <v/>
      </c>
      <c r="AM221" t="str">
        <f ca="1">IF(AND(ISNUMBER($AM$459),$B$258=1),$AM$459,HLOOKUP(INDIRECT(ADDRESS(2,COLUMN())),OFFSET($BN$2,0,0,ROW()-1,60),ROW()-1,FALSE))</f>
        <v/>
      </c>
      <c r="AN221" t="str">
        <f ca="1">IF(AND(ISNUMBER($AN$459),$B$258=1),$AN$459,HLOOKUP(INDIRECT(ADDRESS(2,COLUMN())),OFFSET($BN$2,0,0,ROW()-1,60),ROW()-1,FALSE))</f>
        <v/>
      </c>
      <c r="AO221" t="str">
        <f ca="1">IF(AND(ISNUMBER($AO$459),$B$258=1),$AO$459,HLOOKUP(INDIRECT(ADDRESS(2,COLUMN())),OFFSET($BN$2,0,0,ROW()-1,60),ROW()-1,FALSE))</f>
        <v/>
      </c>
      <c r="AP221" t="str">
        <f ca="1">IF(AND(ISNUMBER($AP$459),$B$258=1),$AP$459,HLOOKUP(INDIRECT(ADDRESS(2,COLUMN())),OFFSET($BN$2,0,0,ROW()-1,60),ROW()-1,FALSE))</f>
        <v/>
      </c>
      <c r="AQ221" t="str">
        <f ca="1">IF(AND(ISNUMBER($AQ$459),$B$258=1),$AQ$459,HLOOKUP(INDIRECT(ADDRESS(2,COLUMN())),OFFSET($BN$2,0,0,ROW()-1,60),ROW()-1,FALSE))</f>
        <v/>
      </c>
      <c r="AR221" t="str">
        <f ca="1">IF(AND(ISNUMBER($AR$459),$B$258=1),$AR$459,HLOOKUP(INDIRECT(ADDRESS(2,COLUMN())),OFFSET($BN$2,0,0,ROW()-1,60),ROW()-1,FALSE))</f>
        <v/>
      </c>
      <c r="AS221" t="str">
        <f ca="1">IF(AND(ISNUMBER($AS$459),$B$258=1),$AS$459,HLOOKUP(INDIRECT(ADDRESS(2,COLUMN())),OFFSET($BN$2,0,0,ROW()-1,60),ROW()-1,FALSE))</f>
        <v/>
      </c>
      <c r="AT221" t="str">
        <f ca="1">IF(AND(ISNUMBER($AT$459),$B$258=1),$AT$459,HLOOKUP(INDIRECT(ADDRESS(2,COLUMN())),OFFSET($BN$2,0,0,ROW()-1,60),ROW()-1,FALSE))</f>
        <v/>
      </c>
      <c r="AU221" t="str">
        <f ca="1">IF(AND(ISNUMBER($AU$459),$B$258=1),$AU$459,HLOOKUP(INDIRECT(ADDRESS(2,COLUMN())),OFFSET($BN$2,0,0,ROW()-1,60),ROW()-1,FALSE))</f>
        <v/>
      </c>
      <c r="AV221" t="str">
        <f ca="1">IF(AND(ISNUMBER($AV$459),$B$258=1),$AV$459,HLOOKUP(INDIRECT(ADDRESS(2,COLUMN())),OFFSET($BN$2,0,0,ROW()-1,60),ROW()-1,FALSE))</f>
        <v/>
      </c>
      <c r="AW221" t="str">
        <f ca="1">IF(AND(ISNUMBER($AW$459),$B$258=1),$AW$459,HLOOKUP(INDIRECT(ADDRESS(2,COLUMN())),OFFSET($BN$2,0,0,ROW()-1,60),ROW()-1,FALSE))</f>
        <v/>
      </c>
      <c r="AX221" t="str">
        <f ca="1">IF(AND(ISNUMBER($AX$459),$B$258=1),$AX$459,HLOOKUP(INDIRECT(ADDRESS(2,COLUMN())),OFFSET($BN$2,0,0,ROW()-1,60),ROW()-1,FALSE))</f>
        <v/>
      </c>
      <c r="AY221" t="str">
        <f ca="1">IF(AND(ISNUMBER($AY$459),$B$258=1),$AY$459,HLOOKUP(INDIRECT(ADDRESS(2,COLUMN())),OFFSET($BN$2,0,0,ROW()-1,60),ROW()-1,FALSE))</f>
        <v/>
      </c>
      <c r="AZ221" t="str">
        <f ca="1">IF(AND(ISNUMBER($AZ$459),$B$258=1),$AZ$459,HLOOKUP(INDIRECT(ADDRESS(2,COLUMN())),OFFSET($BN$2,0,0,ROW()-1,60),ROW()-1,FALSE))</f>
        <v/>
      </c>
      <c r="BA221" t="str">
        <f ca="1">IF(AND(ISNUMBER($BA$459),$B$258=1),$BA$459,HLOOKUP(INDIRECT(ADDRESS(2,COLUMN())),OFFSET($BN$2,0,0,ROW()-1,60),ROW()-1,FALSE))</f>
        <v/>
      </c>
      <c r="BB221" t="str">
        <f ca="1">IF(AND(ISNUMBER($BB$459),$B$258=1),$BB$459,HLOOKUP(INDIRECT(ADDRESS(2,COLUMN())),OFFSET($BN$2,0,0,ROW()-1,60),ROW()-1,FALSE))</f>
        <v/>
      </c>
      <c r="BC221" t="str">
        <f ca="1">IF(AND(ISNUMBER($BC$459),$B$258=1),$BC$459,HLOOKUP(INDIRECT(ADDRESS(2,COLUMN())),OFFSET($BN$2,0,0,ROW()-1,60),ROW()-1,FALSE))</f>
        <v/>
      </c>
      <c r="BD221" t="str">
        <f ca="1">IF(AND(ISNUMBER($BD$459),$B$258=1),$BD$459,HLOOKUP(INDIRECT(ADDRESS(2,COLUMN())),OFFSET($BN$2,0,0,ROW()-1,60),ROW()-1,FALSE))</f>
        <v/>
      </c>
      <c r="BE221" t="str">
        <f ca="1">IF(AND(ISNUMBER($BE$459),$B$258=1),$BE$459,HLOOKUP(INDIRECT(ADDRESS(2,COLUMN())),OFFSET($BN$2,0,0,ROW()-1,60),ROW()-1,FALSE))</f>
        <v/>
      </c>
      <c r="BF221" t="str">
        <f ca="1">IF(AND(ISNUMBER($BF$459),$B$258=1),$BF$459,HLOOKUP(INDIRECT(ADDRESS(2,COLUMN())),OFFSET($BN$2,0,0,ROW()-1,60),ROW()-1,FALSE))</f>
        <v/>
      </c>
      <c r="BG221" t="str">
        <f ca="1">IF(AND(ISNUMBER($BG$459),$B$258=1),$BG$459,HLOOKUP(INDIRECT(ADDRESS(2,COLUMN())),OFFSET($BN$2,0,0,ROW()-1,60),ROW()-1,FALSE))</f>
        <v/>
      </c>
      <c r="BH221" t="str">
        <f ca="1">IF(AND(ISNUMBER($BH$459),$B$258=1),$BH$459,HLOOKUP(INDIRECT(ADDRESS(2,COLUMN())),OFFSET($BN$2,0,0,ROW()-1,60),ROW()-1,FALSE))</f>
        <v/>
      </c>
      <c r="BI221" t="str">
        <f ca="1">IF(AND(ISNUMBER($BI$459),$B$258=1),$BI$459,HLOOKUP(INDIRECT(ADDRESS(2,COLUMN())),OFFSET($BN$2,0,0,ROW()-1,60),ROW()-1,FALSE))</f>
        <v/>
      </c>
      <c r="BJ221" t="str">
        <f ca="1">IF(AND(ISNUMBER($BJ$459),$B$258=1),$BJ$459,HLOOKUP(INDIRECT(ADDRESS(2,COLUMN())),OFFSET($BN$2,0,0,ROW()-1,60),ROW()-1,FALSE))</f>
        <v/>
      </c>
      <c r="BK221" t="str">
        <f ca="1">IF(AND(ISNUMBER($BK$459),$B$258=1),$BK$459,HLOOKUP(INDIRECT(ADDRESS(2,COLUMN())),OFFSET($BN$2,0,0,ROW()-1,60),ROW()-1,FALSE))</f>
        <v/>
      </c>
      <c r="BL221" t="str">
        <f ca="1">IF(AND(ISNUMBER($BL$459),$B$258=1),$BL$459,HLOOKUP(INDIRECT(ADDRESS(2,COLUMN())),OFFSET($BN$2,0,0,ROW()-1,60),ROW()-1,FALSE))</f>
        <v/>
      </c>
      <c r="BM221" t="str">
        <f ca="1">IF(AND(ISNUMBER($BM$459),$B$258=1),$BM$459,HLOOKUP(INDIRECT(ADDRESS(2,COLUMN())),OFFSET($BN$2,0,0,ROW()-1,60),ROW()-1,FALSE))</f>
        <v/>
      </c>
      <c r="BN221" t="str">
        <f>""</f>
        <v/>
      </c>
      <c r="BO221" t="str">
        <f>""</f>
        <v/>
      </c>
      <c r="BP221" t="str">
        <f>""</f>
        <v/>
      </c>
      <c r="BQ221">
        <f>54.375</f>
        <v>54.375</v>
      </c>
      <c r="BR221">
        <f>38.912</f>
        <v>38.911999999999999</v>
      </c>
      <c r="BS221">
        <f>50.831</f>
        <v>50.831000000000003</v>
      </c>
      <c r="BT221">
        <f>57.264</f>
        <v>57.264000000000003</v>
      </c>
      <c r="BU221">
        <f>59.216</f>
        <v>59.216000000000001</v>
      </c>
      <c r="BV221">
        <f>39.432</f>
        <v>39.432000000000002</v>
      </c>
      <c r="BW221">
        <f>48.674</f>
        <v>48.673999999999999</v>
      </c>
      <c r="BX221">
        <f>61.125</f>
        <v>61.125</v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>
      <c r="A222" t="str">
        <f>"    HCP Inc"</f>
        <v xml:space="preserve">    HCP Inc</v>
      </c>
      <c r="B222" t="str">
        <f>"HCP US Equity"</f>
        <v>HCP US Equity</v>
      </c>
      <c r="C222" t="str">
        <f t="shared" si="54"/>
        <v>RR008</v>
      </c>
      <c r="D222" t="str">
        <f t="shared" si="55"/>
        <v>CF_FREE_CASH_FLOW</v>
      </c>
      <c r="E222" t="str">
        <f t="shared" si="56"/>
        <v>动态</v>
      </c>
      <c r="F222" t="str">
        <f ca="1">IF(AND(ISNUMBER($F$460),$B$258=1),$F$460,HLOOKUP(INDIRECT(ADDRESS(2,COLUMN())),OFFSET($BN$2,0,0,ROW()-1,60),ROW()-1,FALSE))</f>
        <v/>
      </c>
      <c r="G222">
        <f ca="1">IF(AND(ISNUMBER($G$460),$B$258=1),$G$460,HLOOKUP(INDIRECT(ADDRESS(2,COLUMN())),OFFSET($BN$2,0,0,ROW()-1,60),ROW()-1,FALSE))</f>
        <v>-367.81</v>
      </c>
      <c r="H222">
        <f ca="1">IF(AND(ISNUMBER($H$460),$B$258=1),$H$460,HLOOKUP(INDIRECT(ADDRESS(2,COLUMN())),OFFSET($BN$2,0,0,ROW()-1,60),ROW()-1,FALSE))</f>
        <v>-33.311</v>
      </c>
      <c r="I222">
        <f ca="1">IF(AND(ISNUMBER($I$460),$B$258=1),$I$460,HLOOKUP(INDIRECT(ADDRESS(2,COLUMN())),OFFSET($BN$2,0,0,ROW()-1,60),ROW()-1,FALSE))</f>
        <v>103.4</v>
      </c>
      <c r="J222">
        <f ca="1">IF(AND(ISNUMBER($J$460),$B$258=1),$J$460,HLOOKUP(INDIRECT(ADDRESS(2,COLUMN())),OFFSET($BN$2,0,0,ROW()-1,60),ROW()-1,FALSE))</f>
        <v>95.27</v>
      </c>
      <c r="K222">
        <f ca="1">IF(AND(ISNUMBER($K$460),$B$258=1),$K$460,HLOOKUP(INDIRECT(ADDRESS(2,COLUMN())),OFFSET($BN$2,0,0,ROW()-1,60),ROW()-1,FALSE))</f>
        <v>-137.86600000000001</v>
      </c>
      <c r="L222">
        <f ca="1">IF(AND(ISNUMBER($L$460),$B$258=1),$L$460,HLOOKUP(INDIRECT(ADDRESS(2,COLUMN())),OFFSET($BN$2,0,0,ROW()-1,60),ROW()-1,FALSE))</f>
        <v>45.215000000000003</v>
      </c>
      <c r="M222">
        <f ca="1">IF(AND(ISNUMBER($M$460),$B$258=1),$M$460,HLOOKUP(INDIRECT(ADDRESS(2,COLUMN())),OFFSET($BN$2,0,0,ROW()-1,60),ROW()-1,FALSE))</f>
        <v>271.57</v>
      </c>
      <c r="N222">
        <f ca="1">IF(AND(ISNUMBER($N$460),$B$258=1),$N$460,HLOOKUP(INDIRECT(ADDRESS(2,COLUMN())),OFFSET($BN$2,0,0,ROW()-1,60),ROW()-1,FALSE))</f>
        <v>55.286000000000001</v>
      </c>
      <c r="O222">
        <f ca="1">IF(AND(ISNUMBER($O$460),$B$258=1),$O$460,HLOOKUP(INDIRECT(ADDRESS(2,COLUMN())),OFFSET($BN$2,0,0,ROW()-1,60),ROW()-1,FALSE))</f>
        <v>48.722999999999999</v>
      </c>
      <c r="P222">
        <f ca="1">IF(AND(ISNUMBER($P$460),$B$258=1),$P$460,HLOOKUP(INDIRECT(ADDRESS(2,COLUMN())),OFFSET($BN$2,0,0,ROW()-1,60),ROW()-1,FALSE))</f>
        <v>228.27199999999999</v>
      </c>
      <c r="Q222">
        <f ca="1">IF(AND(ISNUMBER($Q$460),$B$258=1),$Q$460,HLOOKUP(INDIRECT(ADDRESS(2,COLUMN())),OFFSET($BN$2,0,0,ROW()-1,60),ROW()-1,FALSE))</f>
        <v>-889.07600000000002</v>
      </c>
      <c r="R222">
        <f ca="1">IF(AND(ISNUMBER($R$460),$B$258=1),$R$460,HLOOKUP(INDIRECT(ADDRESS(2,COLUMN())),OFFSET($BN$2,0,0,ROW()-1,60),ROW()-1,FALSE))</f>
        <v>85.35</v>
      </c>
      <c r="S222">
        <f ca="1">IF(AND(ISNUMBER($S$460),$B$258=1),$S$460,HLOOKUP(INDIRECT(ADDRESS(2,COLUMN())),OFFSET($BN$2,0,0,ROW()-1,60),ROW()-1,FALSE))</f>
        <v>242.714</v>
      </c>
      <c r="T222">
        <f ca="1">IF(AND(ISNUMBER($T$460),$B$258=1),$T$460,HLOOKUP(INDIRECT(ADDRESS(2,COLUMN())),OFFSET($BN$2,0,0,ROW()-1,60),ROW()-1,FALSE))</f>
        <v>29.706</v>
      </c>
      <c r="U222">
        <f ca="1">IF(AND(ISNUMBER($U$460),$B$258=1),$U$460,HLOOKUP(INDIRECT(ADDRESS(2,COLUMN())),OFFSET($BN$2,0,0,ROW()-1,60),ROW()-1,FALSE))</f>
        <v>27.164000000000001</v>
      </c>
      <c r="V222">
        <f ca="1">IF(AND(ISNUMBER($V$460),$B$258=1),$V$460,HLOOKUP(INDIRECT(ADDRESS(2,COLUMN())),OFFSET($BN$2,0,0,ROW()-1,60),ROW()-1,FALSE))</f>
        <v>195.32</v>
      </c>
      <c r="W222">
        <f ca="1">IF(AND(ISNUMBER($W$460),$B$258=1),$W$460,HLOOKUP(INDIRECT(ADDRESS(2,COLUMN())),OFFSET($BN$2,0,0,ROW()-1,60),ROW()-1,FALSE))</f>
        <v>239.172</v>
      </c>
      <c r="X222">
        <f ca="1">IF(AND(ISNUMBER($X$460),$B$258=1),$X$460,HLOOKUP(INDIRECT(ADDRESS(2,COLUMN())),OFFSET($BN$2,0,0,ROW()-1,60),ROW()-1,FALSE))</f>
        <v>223.261</v>
      </c>
      <c r="Y222">
        <f ca="1">IF(AND(ISNUMBER($Y$460),$B$258=1),$Y$460,HLOOKUP(INDIRECT(ADDRESS(2,COLUMN())),OFFSET($BN$2,0,0,ROW()-1,60),ROW()-1,FALSE))</f>
        <v>282.33999999999997</v>
      </c>
      <c r="Z222">
        <f ca="1">IF(AND(ISNUMBER($Z$460),$B$258=1),$Z$460,HLOOKUP(INDIRECT(ADDRESS(2,COLUMN())),OFFSET($BN$2,0,0,ROW()-1,60),ROW()-1,FALSE))</f>
        <v>140.988</v>
      </c>
      <c r="AA222">
        <f ca="1">IF(AND(ISNUMBER($AA$460),$B$258=1),$AA$460,HLOOKUP(INDIRECT(ADDRESS(2,COLUMN())),OFFSET($BN$2,0,0,ROW()-1,60),ROW()-1,FALSE))</f>
        <v>243.83199999999999</v>
      </c>
      <c r="AB222">
        <f ca="1">IF(AND(ISNUMBER($AB$460),$B$258=1),$AB$460,HLOOKUP(INDIRECT(ADDRESS(2,COLUMN())),OFFSET($BN$2,0,0,ROW()-1,60),ROW()-1,FALSE))</f>
        <v>15.945</v>
      </c>
      <c r="AC222">
        <f ca="1">IF(AND(ISNUMBER($AC$460),$B$258=1),$AC$460,HLOOKUP(INDIRECT(ADDRESS(2,COLUMN())),OFFSET($BN$2,0,0,ROW()-1,60),ROW()-1,FALSE))</f>
        <v>238.38200000000001</v>
      </c>
      <c r="AD222">
        <f ca="1">IF(AND(ISNUMBER($AD$460),$B$258=1),$AD$460,HLOOKUP(INDIRECT(ADDRESS(2,COLUMN())),OFFSET($BN$2,0,0,ROW()-1,60),ROW()-1,FALSE))</f>
        <v>155.197</v>
      </c>
      <c r="AE222">
        <f ca="1">IF(AND(ISNUMBER($AE$460),$B$258=1),$AE$460,HLOOKUP(INDIRECT(ADDRESS(2,COLUMN())),OFFSET($BN$2,0,0,ROW()-1,60),ROW()-1,FALSE))</f>
        <v>88.352999999999994</v>
      </c>
      <c r="AF222">
        <f ca="1">IF(AND(ISNUMBER($AF$460),$B$258=1),$AF$460,HLOOKUP(INDIRECT(ADDRESS(2,COLUMN())),OFFSET($BN$2,0,0,ROW()-1,60),ROW()-1,FALSE))</f>
        <v>128.446</v>
      </c>
      <c r="AG222">
        <f ca="1">IF(AND(ISNUMBER($AG$460),$B$258=1),$AG$460,HLOOKUP(INDIRECT(ADDRESS(2,COLUMN())),OFFSET($BN$2,0,0,ROW()-1,60),ROW()-1,FALSE))</f>
        <v>181.19300000000001</v>
      </c>
      <c r="AH222">
        <f ca="1">IF(AND(ISNUMBER($AH$460),$B$258=1),$AH$460,HLOOKUP(INDIRECT(ADDRESS(2,COLUMN())),OFFSET($BN$2,0,0,ROW()-1,60),ROW()-1,FALSE))</f>
        <v>74.881</v>
      </c>
      <c r="AI222">
        <f ca="1">IF(AND(ISNUMBER($AI$460),$B$258=1),$AI$460,HLOOKUP(INDIRECT(ADDRESS(2,COLUMN())),OFFSET($BN$2,0,0,ROW()-1,60),ROW()-1,FALSE))</f>
        <v>40.472999999999999</v>
      </c>
      <c r="AJ222">
        <f ca="1">IF(AND(ISNUMBER($AJ$460),$B$258=1),$AJ$460,HLOOKUP(INDIRECT(ADDRESS(2,COLUMN())),OFFSET($BN$2,0,0,ROW()-1,60),ROW()-1,FALSE))</f>
        <v>34.872</v>
      </c>
      <c r="AK222">
        <f ca="1">IF(AND(ISNUMBER($AK$460),$B$258=1),$AK$460,HLOOKUP(INDIRECT(ADDRESS(2,COLUMN())),OFFSET($BN$2,0,0,ROW()-1,60),ROW()-1,FALSE))</f>
        <v>28.577999999999999</v>
      </c>
      <c r="AL222">
        <f ca="1">IF(AND(ISNUMBER($AL$460),$B$258=1),$AL$460,HLOOKUP(INDIRECT(ADDRESS(2,COLUMN())),OFFSET($BN$2,0,0,ROW()-1,60),ROW()-1,FALSE))</f>
        <v>73.798000000000002</v>
      </c>
      <c r="AM222">
        <f ca="1">IF(AND(ISNUMBER($AM$460),$B$258=1),$AM$460,HLOOKUP(INDIRECT(ADDRESS(2,COLUMN())),OFFSET($BN$2,0,0,ROW()-1,60),ROW()-1,FALSE))</f>
        <v>87.013999999999996</v>
      </c>
      <c r="AN222">
        <f ca="1">IF(AND(ISNUMBER($AN$460),$B$258=1),$AN$460,HLOOKUP(INDIRECT(ADDRESS(2,COLUMN())),OFFSET($BN$2,0,0,ROW()-1,60),ROW()-1,FALSE))</f>
        <v>99.438000000000002</v>
      </c>
      <c r="AO222">
        <f ca="1">IF(AND(ISNUMBER($AO$460),$B$258=1),$AO$460,HLOOKUP(INDIRECT(ADDRESS(2,COLUMN())),OFFSET($BN$2,0,0,ROW()-1,60),ROW()-1,FALSE))</f>
        <v>104.851</v>
      </c>
      <c r="AP222">
        <f ca="1">IF(AND(ISNUMBER($AP$460),$B$258=1),$AP$460,HLOOKUP(INDIRECT(ADDRESS(2,COLUMN())),OFFSET($BN$2,0,0,ROW()-1,60),ROW()-1,FALSE))</f>
        <v>87.100999999999999</v>
      </c>
      <c r="AQ222">
        <f ca="1">IF(AND(ISNUMBER($AQ$460),$B$258=1),$AQ$460,HLOOKUP(INDIRECT(ADDRESS(2,COLUMN())),OFFSET($BN$2,0,0,ROW()-1,60),ROW()-1,FALSE))</f>
        <v>74.962000000000003</v>
      </c>
      <c r="AR222">
        <f ca="1">IF(AND(ISNUMBER($AR$460),$B$258=1),$AR$460,HLOOKUP(INDIRECT(ADDRESS(2,COLUMN())),OFFSET($BN$2,0,0,ROW()-1,60),ROW()-1,FALSE))</f>
        <v>116.565</v>
      </c>
      <c r="AS222">
        <f ca="1">IF(AND(ISNUMBER($AS$460),$B$258=1),$AS$460,HLOOKUP(INDIRECT(ADDRESS(2,COLUMN())),OFFSET($BN$2,0,0,ROW()-1,60),ROW()-1,FALSE))</f>
        <v>96.844999999999999</v>
      </c>
      <c r="AT222">
        <f ca="1">IF(AND(ISNUMBER($AT$460),$B$258=1),$AT$460,HLOOKUP(INDIRECT(ADDRESS(2,COLUMN())),OFFSET($BN$2,0,0,ROW()-1,60),ROW()-1,FALSE))</f>
        <v>70.605999999999995</v>
      </c>
      <c r="AU222">
        <f ca="1">IF(AND(ISNUMBER($AU$460),$B$258=1),$AU$460,HLOOKUP(INDIRECT(ADDRESS(2,COLUMN())),OFFSET($BN$2,0,0,ROW()-1,60),ROW()-1,FALSE))</f>
        <v>32.945</v>
      </c>
      <c r="AV222">
        <f ca="1">IF(AND(ISNUMBER($AV$460),$B$258=1),$AV$460,HLOOKUP(INDIRECT(ADDRESS(2,COLUMN())),OFFSET($BN$2,0,0,ROW()-1,60),ROW()-1,FALSE))</f>
        <v>15.371</v>
      </c>
      <c r="AW222">
        <f ca="1">IF(AND(ISNUMBER($AW$460),$B$258=1),$AW$460,HLOOKUP(INDIRECT(ADDRESS(2,COLUMN())),OFFSET($BN$2,0,0,ROW()-1,60),ROW()-1,FALSE))</f>
        <v>70.816000000000003</v>
      </c>
      <c r="AX222">
        <f ca="1">IF(AND(ISNUMBER($AX$460),$B$258=1),$AX$460,HLOOKUP(INDIRECT(ADDRESS(2,COLUMN())),OFFSET($BN$2,0,0,ROW()-1,60),ROW()-1,FALSE))</f>
        <v>-143.08699999999999</v>
      </c>
      <c r="AY222">
        <f ca="1">IF(AND(ISNUMBER($AY$460),$B$258=1),$AY$460,HLOOKUP(INDIRECT(ADDRESS(2,COLUMN())),OFFSET($BN$2,0,0,ROW()-1,60),ROW()-1,FALSE))</f>
        <v>-62.765999999999998</v>
      </c>
      <c r="AZ222">
        <f ca="1">IF(AND(ISNUMBER($AZ$460),$B$258=1),$AZ$460,HLOOKUP(INDIRECT(ADDRESS(2,COLUMN())),OFFSET($BN$2,0,0,ROW()-1,60),ROW()-1,FALSE))</f>
        <v>4.1399999999999997</v>
      </c>
      <c r="BA222">
        <f ca="1">IF(AND(ISNUMBER($BA$460),$B$258=1),$BA$460,HLOOKUP(INDIRECT(ADDRESS(2,COLUMN())),OFFSET($BN$2,0,0,ROW()-1,60),ROW()-1,FALSE))</f>
        <v>2.5630000000000002</v>
      </c>
      <c r="BB222">
        <f ca="1">IF(AND(ISNUMBER($BB$460),$B$258=1),$BB$460,HLOOKUP(INDIRECT(ADDRESS(2,COLUMN())),OFFSET($BN$2,0,0,ROW()-1,60),ROW()-1,FALSE))</f>
        <v>-101.813</v>
      </c>
      <c r="BC222">
        <f ca="1">IF(AND(ISNUMBER($BC$460),$B$258=1),$BC$460,HLOOKUP(INDIRECT(ADDRESS(2,COLUMN())),OFFSET($BN$2,0,0,ROW()-1,60),ROW()-1,FALSE))</f>
        <v>-12.054</v>
      </c>
      <c r="BD222">
        <f ca="1">IF(AND(ISNUMBER($BD$460),$B$258=1),$BD$460,HLOOKUP(INDIRECT(ADDRESS(2,COLUMN())),OFFSET($BN$2,0,0,ROW()-1,60),ROW()-1,FALSE))</f>
        <v>-168.21899999999999</v>
      </c>
      <c r="BE222">
        <f ca="1">IF(AND(ISNUMBER($BE$460),$B$258=1),$BE$460,HLOOKUP(INDIRECT(ADDRESS(2,COLUMN())),OFFSET($BN$2,0,0,ROW()-1,60),ROW()-1,FALSE))</f>
        <v>-57.149000000000001</v>
      </c>
      <c r="BF222">
        <f ca="1">IF(AND(ISNUMBER($BF$460),$B$258=1),$BF$460,HLOOKUP(INDIRECT(ADDRESS(2,COLUMN())),OFFSET($BN$2,0,0,ROW()-1,60),ROW()-1,FALSE))</f>
        <v>65.221999999999994</v>
      </c>
      <c r="BG222">
        <f ca="1">IF(AND(ISNUMBER($BG$460),$B$258=1),$BG$460,HLOOKUP(INDIRECT(ADDRESS(2,COLUMN())),OFFSET($BN$2,0,0,ROW()-1,60),ROW()-1,FALSE))</f>
        <v>-38.853000000000002</v>
      </c>
      <c r="BH222">
        <f ca="1">IF(AND(ISNUMBER($BH$460),$B$258=1),$BH$460,HLOOKUP(INDIRECT(ADDRESS(2,COLUMN())),OFFSET($BN$2,0,0,ROW()-1,60),ROW()-1,FALSE))</f>
        <v>12.695</v>
      </c>
      <c r="BI222">
        <f ca="1">IF(AND(ISNUMBER($BI$460),$B$258=1),$BI$460,HLOOKUP(INDIRECT(ADDRESS(2,COLUMN())),OFFSET($BN$2,0,0,ROW()-1,60),ROW()-1,FALSE))</f>
        <v>-52.694000000000003</v>
      </c>
      <c r="BJ222">
        <f ca="1">IF(AND(ISNUMBER($BJ$460),$B$258=1),$BJ$460,HLOOKUP(INDIRECT(ADDRESS(2,COLUMN())),OFFSET($BN$2,0,0,ROW()-1,60),ROW()-1,FALSE))</f>
        <v>10.53</v>
      </c>
      <c r="BK222">
        <f ca="1">IF(AND(ISNUMBER($BK$460),$B$258=1),$BK$460,HLOOKUP(INDIRECT(ADDRESS(2,COLUMN())),OFFSET($BN$2,0,0,ROW()-1,60),ROW()-1,FALSE))</f>
        <v>56.848002000000001</v>
      </c>
      <c r="BL222">
        <f ca="1">IF(AND(ISNUMBER($BL$460),$B$258=1),$BL$460,HLOOKUP(INDIRECT(ADDRESS(2,COLUMN())),OFFSET($BN$2,0,0,ROW()-1,60),ROW()-1,FALSE))</f>
        <v>-100.023</v>
      </c>
      <c r="BM222">
        <f ca="1">IF(AND(ISNUMBER($BM$460),$B$258=1),$BM$460,HLOOKUP(INDIRECT(ADDRESS(2,COLUMN())),OFFSET($BN$2,0,0,ROW()-1,60),ROW()-1,FALSE))</f>
        <v>41.067999999999998</v>
      </c>
      <c r="BN222" t="str">
        <f>""</f>
        <v/>
      </c>
      <c r="BO222">
        <f>-367.81</f>
        <v>-367.81</v>
      </c>
      <c r="BP222">
        <f>-33.311</f>
        <v>-33.311</v>
      </c>
      <c r="BQ222">
        <f>103.4</f>
        <v>103.4</v>
      </c>
      <c r="BR222">
        <f>95.27</f>
        <v>95.27</v>
      </c>
      <c r="BS222">
        <f>-137.866</f>
        <v>-137.86600000000001</v>
      </c>
      <c r="BT222">
        <f>45.215</f>
        <v>45.215000000000003</v>
      </c>
      <c r="BU222">
        <f>271.57</f>
        <v>271.57</v>
      </c>
      <c r="BV222">
        <f>55.286</f>
        <v>55.286000000000001</v>
      </c>
      <c r="BW222">
        <f>48.723</f>
        <v>48.722999999999999</v>
      </c>
      <c r="BX222">
        <f>228.272</f>
        <v>228.27199999999999</v>
      </c>
      <c r="BY222">
        <f>-889.076</f>
        <v>-889.07600000000002</v>
      </c>
      <c r="BZ222">
        <f>85.35</f>
        <v>85.35</v>
      </c>
      <c r="CA222">
        <f>242.714</f>
        <v>242.714</v>
      </c>
      <c r="CB222">
        <f>29.706</f>
        <v>29.706</v>
      </c>
      <c r="CC222">
        <f>27.164</f>
        <v>27.164000000000001</v>
      </c>
      <c r="CD222">
        <f>195.32</f>
        <v>195.32</v>
      </c>
      <c r="CE222">
        <f>239.172</f>
        <v>239.172</v>
      </c>
      <c r="CF222">
        <f>223.261</f>
        <v>223.261</v>
      </c>
      <c r="CG222">
        <f>282.34</f>
        <v>282.33999999999997</v>
      </c>
      <c r="CH222">
        <f>140.988</f>
        <v>140.988</v>
      </c>
      <c r="CI222">
        <f>243.832</f>
        <v>243.83199999999999</v>
      </c>
      <c r="CJ222">
        <f>15.945</f>
        <v>15.945</v>
      </c>
      <c r="CK222">
        <f>238.382</f>
        <v>238.38200000000001</v>
      </c>
      <c r="CL222">
        <f>155.197</f>
        <v>155.197</v>
      </c>
      <c r="CM222">
        <f>88.353</f>
        <v>88.352999999999994</v>
      </c>
      <c r="CN222">
        <f>128.446</f>
        <v>128.446</v>
      </c>
      <c r="CO222">
        <f>181.193</f>
        <v>181.19300000000001</v>
      </c>
      <c r="CP222">
        <f>74.881</f>
        <v>74.881</v>
      </c>
      <c r="CQ222">
        <f>40.473</f>
        <v>40.472999999999999</v>
      </c>
      <c r="CR222">
        <f>34.872</f>
        <v>34.872</v>
      </c>
      <c r="CS222">
        <f>28.578</f>
        <v>28.577999999999999</v>
      </c>
      <c r="CT222">
        <f>73.798</f>
        <v>73.798000000000002</v>
      </c>
      <c r="CU222">
        <f>87.014</f>
        <v>87.013999999999996</v>
      </c>
      <c r="CV222">
        <f>99.438</f>
        <v>99.438000000000002</v>
      </c>
      <c r="CW222">
        <f>104.851</f>
        <v>104.851</v>
      </c>
      <c r="CX222">
        <f>87.101</f>
        <v>87.100999999999999</v>
      </c>
      <c r="CY222">
        <f>74.962</f>
        <v>74.962000000000003</v>
      </c>
      <c r="CZ222">
        <f>116.565</f>
        <v>116.565</v>
      </c>
      <c r="DA222">
        <f>96.845</f>
        <v>96.844999999999999</v>
      </c>
      <c r="DB222">
        <f>70.606</f>
        <v>70.605999999999995</v>
      </c>
      <c r="DC222">
        <f>32.945</f>
        <v>32.945</v>
      </c>
      <c r="DD222">
        <f>15.371</f>
        <v>15.371</v>
      </c>
      <c r="DE222">
        <f>70.816</f>
        <v>70.816000000000003</v>
      </c>
      <c r="DF222">
        <f>-143.087</f>
        <v>-143.08699999999999</v>
      </c>
      <c r="DG222">
        <f>-62.766</f>
        <v>-62.765999999999998</v>
      </c>
      <c r="DH222">
        <f>4.14</f>
        <v>4.1399999999999997</v>
      </c>
      <c r="DI222">
        <f>2.563</f>
        <v>2.5630000000000002</v>
      </c>
      <c r="DJ222">
        <f>-101.813</f>
        <v>-101.813</v>
      </c>
      <c r="DK222">
        <f>-12.054</f>
        <v>-12.054</v>
      </c>
      <c r="DL222">
        <f>-168.219</f>
        <v>-168.21899999999999</v>
      </c>
      <c r="DM222">
        <f>-57.149</f>
        <v>-57.149000000000001</v>
      </c>
      <c r="DN222">
        <f>65.222</f>
        <v>65.221999999999994</v>
      </c>
      <c r="DO222">
        <f>-38.853</f>
        <v>-38.853000000000002</v>
      </c>
      <c r="DP222">
        <f>12.695</f>
        <v>12.695</v>
      </c>
      <c r="DQ222">
        <f>-52.694</f>
        <v>-52.694000000000003</v>
      </c>
      <c r="DR222">
        <f>10.53</f>
        <v>10.53</v>
      </c>
      <c r="DS222">
        <f>56.848002</f>
        <v>56.848002000000001</v>
      </c>
      <c r="DT222">
        <f>-100.023</f>
        <v>-100.023</v>
      </c>
      <c r="DU222">
        <f>41.068</f>
        <v>41.067999999999998</v>
      </c>
    </row>
    <row r="223" spans="1:125">
      <c r="A223" t="str">
        <f>"    Healthcare Realty Trust Inc"</f>
        <v xml:space="preserve">    Healthcare Realty Trust Inc</v>
      </c>
      <c r="B223" t="str">
        <f>"HR US Equity"</f>
        <v>HR US Equity</v>
      </c>
      <c r="C223" t="str">
        <f t="shared" si="54"/>
        <v>RR008</v>
      </c>
      <c r="D223" t="str">
        <f t="shared" si="55"/>
        <v>CF_FREE_CASH_FLOW</v>
      </c>
      <c r="E223" t="str">
        <f t="shared" si="56"/>
        <v>动态</v>
      </c>
      <c r="F223" t="str">
        <f ca="1">IF(AND(ISNUMBER($F$461),$B$258=1),$F$461,HLOOKUP(INDIRECT(ADDRESS(2,COLUMN())),OFFSET($BN$2,0,0,ROW()-1,60),ROW()-1,FALSE))</f>
        <v/>
      </c>
      <c r="G223">
        <f ca="1">IF(AND(ISNUMBER($G$461),$B$258=1),$G$461,HLOOKUP(INDIRECT(ADDRESS(2,COLUMN())),OFFSET($BN$2,0,0,ROW()-1,60),ROW()-1,FALSE))</f>
        <v>-154.49100000000001</v>
      </c>
      <c r="H223">
        <f ca="1">IF(AND(ISNUMBER($H$461),$B$258=1),$H$461,HLOOKUP(INDIRECT(ADDRESS(2,COLUMN())),OFFSET($BN$2,0,0,ROW()-1,60),ROW()-1,FALSE))</f>
        <v>24.341000000000001</v>
      </c>
      <c r="I223">
        <f ca="1">IF(AND(ISNUMBER($I$461),$B$258=1),$I$461,HLOOKUP(INDIRECT(ADDRESS(2,COLUMN())),OFFSET($BN$2,0,0,ROW()-1,60),ROW()-1,FALSE))</f>
        <v>7.9119999999999999</v>
      </c>
      <c r="J223">
        <f ca="1">IF(AND(ISNUMBER($J$461),$B$258=1),$J$461,HLOOKUP(INDIRECT(ADDRESS(2,COLUMN())),OFFSET($BN$2,0,0,ROW()-1,60),ROW()-1,FALSE))</f>
        <v>12.425000000000001</v>
      </c>
      <c r="K223">
        <f ca="1">IF(AND(ISNUMBER($K$461),$B$258=1),$K$461,HLOOKUP(INDIRECT(ADDRESS(2,COLUMN())),OFFSET($BN$2,0,0,ROW()-1,60),ROW()-1,FALSE))</f>
        <v>-19.600999999999999</v>
      </c>
      <c r="L223">
        <f ca="1">IF(AND(ISNUMBER($L$461),$B$258=1),$L$461,HLOOKUP(INDIRECT(ADDRESS(2,COLUMN())),OFFSET($BN$2,0,0,ROW()-1,60),ROW()-1,FALSE))</f>
        <v>-66.114999999999995</v>
      </c>
      <c r="M223">
        <f ca="1">IF(AND(ISNUMBER($M$461),$B$258=1),$M$461,HLOOKUP(INDIRECT(ADDRESS(2,COLUMN())),OFFSET($BN$2,0,0,ROW()-1,60),ROW()-1,FALSE))</f>
        <v>-0.314</v>
      </c>
      <c r="N223">
        <f ca="1">IF(AND(ISNUMBER($N$461),$B$258=1),$N$461,HLOOKUP(INDIRECT(ADDRESS(2,COLUMN())),OFFSET($BN$2,0,0,ROW()-1,60),ROW()-1,FALSE))</f>
        <v>-22.361000000000001</v>
      </c>
      <c r="O223">
        <f ca="1">IF(AND(ISNUMBER($O$461),$B$258=1),$O$461,HLOOKUP(INDIRECT(ADDRESS(2,COLUMN())),OFFSET($BN$2,0,0,ROW()-1,60),ROW()-1,FALSE))</f>
        <v>-56.1</v>
      </c>
      <c r="P223">
        <f ca="1">IF(AND(ISNUMBER($P$461),$B$258=1),$P$461,HLOOKUP(INDIRECT(ADDRESS(2,COLUMN())),OFFSET($BN$2,0,0,ROW()-1,60),ROW()-1,FALSE))</f>
        <v>17.93</v>
      </c>
      <c r="Q223">
        <f ca="1">IF(AND(ISNUMBER($Q$461),$B$258=1),$Q$461,HLOOKUP(INDIRECT(ADDRESS(2,COLUMN())),OFFSET($BN$2,0,0,ROW()-1,60),ROW()-1,FALSE))</f>
        <v>50.688000000000002</v>
      </c>
      <c r="R223">
        <f ca="1">IF(AND(ISNUMBER($R$461),$B$258=1),$R$461,HLOOKUP(INDIRECT(ADDRESS(2,COLUMN())),OFFSET($BN$2,0,0,ROW()-1,60),ROW()-1,FALSE))</f>
        <v>-24.355</v>
      </c>
      <c r="S223">
        <f ca="1">IF(AND(ISNUMBER($S$461),$B$258=1),$S$461,HLOOKUP(INDIRECT(ADDRESS(2,COLUMN())),OFFSET($BN$2,0,0,ROW()-1,60),ROW()-1,FALSE))</f>
        <v>13.515000000000001</v>
      </c>
      <c r="T223">
        <f ca="1">IF(AND(ISNUMBER($T$461),$B$258=1),$T$461,HLOOKUP(INDIRECT(ADDRESS(2,COLUMN())),OFFSET($BN$2,0,0,ROW()-1,60),ROW()-1,FALSE))</f>
        <v>8.7469999999999999</v>
      </c>
      <c r="U223">
        <f ca="1">IF(AND(ISNUMBER($U$461),$B$258=1),$U$461,HLOOKUP(INDIRECT(ADDRESS(2,COLUMN())),OFFSET($BN$2,0,0,ROW()-1,60),ROW()-1,FALSE))</f>
        <v>38.798000000000002</v>
      </c>
      <c r="V223">
        <f ca="1">IF(AND(ISNUMBER($V$461),$B$258=1),$V$461,HLOOKUP(INDIRECT(ADDRESS(2,COLUMN())),OFFSET($BN$2,0,0,ROW()-1,60),ROW()-1,FALSE))</f>
        <v>-7.3849999999999998</v>
      </c>
      <c r="W223">
        <f ca="1">IF(AND(ISNUMBER($W$461),$B$258=1),$W$461,HLOOKUP(INDIRECT(ADDRESS(2,COLUMN())),OFFSET($BN$2,0,0,ROW()-1,60),ROW()-1,FALSE))</f>
        <v>-97.218999999999994</v>
      </c>
      <c r="X223">
        <f ca="1">IF(AND(ISNUMBER($X$461),$B$258=1),$X$461,HLOOKUP(INDIRECT(ADDRESS(2,COLUMN())),OFFSET($BN$2,0,0,ROW()-1,60),ROW()-1,FALSE))</f>
        <v>-41.475999999999999</v>
      </c>
      <c r="Y223">
        <f ca="1">IF(AND(ISNUMBER($Y$461),$B$258=1),$Y$461,HLOOKUP(INDIRECT(ADDRESS(2,COLUMN())),OFFSET($BN$2,0,0,ROW()-1,60),ROW()-1,FALSE))</f>
        <v>30.798999999999999</v>
      </c>
      <c r="Z223">
        <f ca="1">IF(AND(ISNUMBER($Z$461),$B$258=1),$Z$461,HLOOKUP(INDIRECT(ADDRESS(2,COLUMN())),OFFSET($BN$2,0,0,ROW()-1,60),ROW()-1,FALSE))</f>
        <v>-21.835000000000001</v>
      </c>
      <c r="AA223">
        <f ca="1">IF(AND(ISNUMBER($AA$461),$B$258=1),$AA$461,HLOOKUP(INDIRECT(ADDRESS(2,COLUMN())),OFFSET($BN$2,0,0,ROW()-1,60),ROW()-1,FALSE))</f>
        <v>-72.989999999999995</v>
      </c>
      <c r="AB223">
        <f ca="1">IF(AND(ISNUMBER($AB$461),$B$258=1),$AB$461,HLOOKUP(INDIRECT(ADDRESS(2,COLUMN())),OFFSET($BN$2,0,0,ROW()-1,60),ROW()-1,FALSE))</f>
        <v>4.8630000000000004</v>
      </c>
      <c r="AC223">
        <f ca="1">IF(AND(ISNUMBER($AC$461),$B$258=1),$AC$461,HLOOKUP(INDIRECT(ADDRESS(2,COLUMN())),OFFSET($BN$2,0,0,ROW()-1,60),ROW()-1,FALSE))</f>
        <v>24.8</v>
      </c>
      <c r="AD223">
        <f ca="1">IF(AND(ISNUMBER($AD$461),$B$258=1),$AD$461,HLOOKUP(INDIRECT(ADDRESS(2,COLUMN())),OFFSET($BN$2,0,0,ROW()-1,60),ROW()-1,FALSE))</f>
        <v>-33.524999999999999</v>
      </c>
      <c r="AE223">
        <f ca="1">IF(AND(ISNUMBER($AE$461),$B$258=1),$AE$461,HLOOKUP(INDIRECT(ADDRESS(2,COLUMN())),OFFSET($BN$2,0,0,ROW()-1,60),ROW()-1,FALSE))</f>
        <v>-11.794</v>
      </c>
      <c r="AF223">
        <f ca="1">IF(AND(ISNUMBER($AF$461),$B$258=1),$AF$461,HLOOKUP(INDIRECT(ADDRESS(2,COLUMN())),OFFSET($BN$2,0,0,ROW()-1,60),ROW()-1,FALSE))</f>
        <v>-75.989000000000004</v>
      </c>
      <c r="AG223">
        <f ca="1">IF(AND(ISNUMBER($AG$461),$B$258=1),$AG$461,HLOOKUP(INDIRECT(ADDRESS(2,COLUMN())),OFFSET($BN$2,0,0,ROW()-1,60),ROW()-1,FALSE))</f>
        <v>-13.250999999999999</v>
      </c>
      <c r="AH223">
        <f ca="1">IF(AND(ISNUMBER($AH$461),$B$258=1),$AH$461,HLOOKUP(INDIRECT(ADDRESS(2,COLUMN())),OFFSET($BN$2,0,0,ROW()-1,60),ROW()-1,FALSE))</f>
        <v>-15.863</v>
      </c>
      <c r="AI223">
        <f ca="1">IF(AND(ISNUMBER($AI$461),$B$258=1),$AI$461,HLOOKUP(INDIRECT(ADDRESS(2,COLUMN())),OFFSET($BN$2,0,0,ROW()-1,60),ROW()-1,FALSE))</f>
        <v>-173.52099999999999</v>
      </c>
      <c r="AJ223">
        <f ca="1">IF(AND(ISNUMBER($AJ$461),$B$258=1),$AJ$461,HLOOKUP(INDIRECT(ADDRESS(2,COLUMN())),OFFSET($BN$2,0,0,ROW()-1,60),ROW()-1,FALSE))</f>
        <v>-110.16200000000001</v>
      </c>
      <c r="AK223">
        <f ca="1">IF(AND(ISNUMBER($AK$461),$B$258=1),$AK$461,HLOOKUP(INDIRECT(ADDRESS(2,COLUMN())),OFFSET($BN$2,0,0,ROW()-1,60),ROW()-1,FALSE))</f>
        <v>-7.585</v>
      </c>
      <c r="AL223">
        <f ca="1">IF(AND(ISNUMBER($AL$461),$B$258=1),$AL$461,HLOOKUP(INDIRECT(ADDRESS(2,COLUMN())),OFFSET($BN$2,0,0,ROW()-1,60),ROW()-1,FALSE))</f>
        <v>3.069</v>
      </c>
      <c r="AM223">
        <f ca="1">IF(AND(ISNUMBER($AM$461),$B$258=1),$AM$461,HLOOKUP(INDIRECT(ADDRESS(2,COLUMN())),OFFSET($BN$2,0,0,ROW()-1,60),ROW()-1,FALSE))</f>
        <v>-50.433999999999997</v>
      </c>
      <c r="AN223">
        <f ca="1">IF(AND(ISNUMBER($AN$461),$B$258=1),$AN$461,HLOOKUP(INDIRECT(ADDRESS(2,COLUMN())),OFFSET($BN$2,0,0,ROW()-1,60),ROW()-1,FALSE))</f>
        <v>-0.875</v>
      </c>
      <c r="AO223">
        <f ca="1">IF(AND(ISNUMBER($AO$461),$B$258=1),$AO$461,HLOOKUP(INDIRECT(ADDRESS(2,COLUMN())),OFFSET($BN$2,0,0,ROW()-1,60),ROW()-1,FALSE))</f>
        <v>-10.449</v>
      </c>
      <c r="AP223">
        <f ca="1">IF(AND(ISNUMBER($AP$461),$B$258=1),$AP$461,HLOOKUP(INDIRECT(ADDRESS(2,COLUMN())),OFFSET($BN$2,0,0,ROW()-1,60),ROW()-1,FALSE))</f>
        <v>-5.548</v>
      </c>
      <c r="AQ223">
        <f ca="1">IF(AND(ISNUMBER($AQ$461),$B$258=1),$AQ$461,HLOOKUP(INDIRECT(ADDRESS(2,COLUMN())),OFFSET($BN$2,0,0,ROW()-1,60),ROW()-1,FALSE))</f>
        <v>-218.06100000000001</v>
      </c>
      <c r="AR223">
        <f ca="1">IF(AND(ISNUMBER($AR$461),$B$258=1),$AR$461,HLOOKUP(INDIRECT(ADDRESS(2,COLUMN())),OFFSET($BN$2,0,0,ROW()-1,60),ROW()-1,FALSE))</f>
        <v>-65.421999999999997</v>
      </c>
      <c r="AS223">
        <f ca="1">IF(AND(ISNUMBER($AS$461),$B$258=1),$AS$461,HLOOKUP(INDIRECT(ADDRESS(2,COLUMN())),OFFSET($BN$2,0,0,ROW()-1,60),ROW()-1,FALSE))</f>
        <v>-7.1660000000000004</v>
      </c>
      <c r="AT223">
        <f ca="1">IF(AND(ISNUMBER($AT$461),$B$258=1),$AT$461,HLOOKUP(INDIRECT(ADDRESS(2,COLUMN())),OFFSET($BN$2,0,0,ROW()-1,60),ROW()-1,FALSE))</f>
        <v>12.198</v>
      </c>
      <c r="AU223">
        <f ca="1">IF(AND(ISNUMBER($AU$461),$B$258=1),$AU$461,HLOOKUP(INDIRECT(ADDRESS(2,COLUMN())),OFFSET($BN$2,0,0,ROW()-1,60),ROW()-1,FALSE))</f>
        <v>2.976</v>
      </c>
      <c r="AV223">
        <f ca="1">IF(AND(ISNUMBER($AV$461),$B$258=1),$AV$461,HLOOKUP(INDIRECT(ADDRESS(2,COLUMN())),OFFSET($BN$2,0,0,ROW()-1,60),ROW()-1,FALSE))</f>
        <v>-47.283000000000001</v>
      </c>
      <c r="AW223">
        <f ca="1">IF(AND(ISNUMBER($AW$461),$B$258=1),$AW$461,HLOOKUP(INDIRECT(ADDRESS(2,COLUMN())),OFFSET($BN$2,0,0,ROW()-1,60),ROW()-1,FALSE))</f>
        <v>-6.2450000000000001</v>
      </c>
      <c r="AX223">
        <f ca="1">IF(AND(ISNUMBER($AX$461),$B$258=1),$AX$461,HLOOKUP(INDIRECT(ADDRESS(2,COLUMN())),OFFSET($BN$2,0,0,ROW()-1,60),ROW()-1,FALSE))</f>
        <v>10.673</v>
      </c>
      <c r="AY223">
        <f ca="1">IF(AND(ISNUMBER($AY$461),$B$258=1),$AY$461,HLOOKUP(INDIRECT(ADDRESS(2,COLUMN())),OFFSET($BN$2,0,0,ROW()-1,60),ROW()-1,FALSE))</f>
        <v>-1.752</v>
      </c>
      <c r="AZ223">
        <f ca="1">IF(AND(ISNUMBER($AZ$461),$B$258=1),$AZ$461,HLOOKUP(INDIRECT(ADDRESS(2,COLUMN())),OFFSET($BN$2,0,0,ROW()-1,60),ROW()-1,FALSE))</f>
        <v>13.516</v>
      </c>
      <c r="BA223">
        <f ca="1">IF(AND(ISNUMBER($BA$461),$B$258=1),$BA$461,HLOOKUP(INDIRECT(ADDRESS(2,COLUMN())),OFFSET($BN$2,0,0,ROW()-1,60),ROW()-1,FALSE))</f>
        <v>-55.207999999999998</v>
      </c>
      <c r="BB223">
        <f ca="1">IF(AND(ISNUMBER($BB$461),$B$258=1),$BB$461,HLOOKUP(INDIRECT(ADDRESS(2,COLUMN())),OFFSET($BN$2,0,0,ROW()-1,60),ROW()-1,FALSE))</f>
        <v>25.870999999999999</v>
      </c>
      <c r="BC223">
        <f ca="1">IF(AND(ISNUMBER($BC$461),$B$258=1),$BC$461,HLOOKUP(INDIRECT(ADDRESS(2,COLUMN())),OFFSET($BN$2,0,0,ROW()-1,60),ROW()-1,FALSE))</f>
        <v>3.609</v>
      </c>
      <c r="BD223">
        <f ca="1">IF(AND(ISNUMBER($BD$461),$B$258=1),$BD$461,HLOOKUP(INDIRECT(ADDRESS(2,COLUMN())),OFFSET($BN$2,0,0,ROW()-1,60),ROW()-1,FALSE))</f>
        <v>20.084</v>
      </c>
      <c r="BE223">
        <f ca="1">IF(AND(ISNUMBER($BE$461),$B$258=1),$BE$461,HLOOKUP(INDIRECT(ADDRESS(2,COLUMN())),OFFSET($BN$2,0,0,ROW()-1,60),ROW()-1,FALSE))</f>
        <v>-36.22</v>
      </c>
      <c r="BF223">
        <f ca="1">IF(AND(ISNUMBER($BF$461),$B$258=1),$BF$461,HLOOKUP(INDIRECT(ADDRESS(2,COLUMN())),OFFSET($BN$2,0,0,ROW()-1,60),ROW()-1,FALSE))</f>
        <v>26.733000000000001</v>
      </c>
      <c r="BG223">
        <f ca="1">IF(AND(ISNUMBER($BG$461),$B$258=1),$BG$461,HLOOKUP(INDIRECT(ADDRESS(2,COLUMN())),OFFSET($BN$2,0,0,ROW()-1,60),ROW()-1,FALSE))</f>
        <v>-51.579000000000001</v>
      </c>
      <c r="BH223">
        <f ca="1">IF(AND(ISNUMBER($BH$461),$B$258=1),$BH$461,HLOOKUP(INDIRECT(ADDRESS(2,COLUMN())),OFFSET($BN$2,0,0,ROW()-1,60),ROW()-1,FALSE))</f>
        <v>-98.59</v>
      </c>
      <c r="BI223">
        <f ca="1">IF(AND(ISNUMBER($BI$461),$B$258=1),$BI$461,HLOOKUP(INDIRECT(ADDRESS(2,COLUMN())),OFFSET($BN$2,0,0,ROW()-1,60),ROW()-1,FALSE))</f>
        <v>-96.975999999999999</v>
      </c>
      <c r="BJ223">
        <f ca="1">IF(AND(ISNUMBER($BJ$461),$B$258=1),$BJ$461,HLOOKUP(INDIRECT(ADDRESS(2,COLUMN())),OFFSET($BN$2,0,0,ROW()-1,60),ROW()-1,FALSE))</f>
        <v>-40.469000000000001</v>
      </c>
      <c r="BK223" t="str">
        <f ca="1">IF(AND(ISNUMBER($BK$461),$B$258=1),$BK$461,HLOOKUP(INDIRECT(ADDRESS(2,COLUMN())),OFFSET($BN$2,0,0,ROW()-1,60),ROW()-1,FALSE))</f>
        <v/>
      </c>
      <c r="BL223">
        <f ca="1">IF(AND(ISNUMBER($BL$461),$B$258=1),$BL$461,HLOOKUP(INDIRECT(ADDRESS(2,COLUMN())),OFFSET($BN$2,0,0,ROW()-1,60),ROW()-1,FALSE))</f>
        <v>-27.29799843</v>
      </c>
      <c r="BM223">
        <f ca="1">IF(AND(ISNUMBER($BM$461),$B$258=1),$BM$461,HLOOKUP(INDIRECT(ADDRESS(2,COLUMN())),OFFSET($BN$2,0,0,ROW()-1,60),ROW()-1,FALSE))</f>
        <v>14.453000550000001</v>
      </c>
      <c r="BN223" t="str">
        <f>""</f>
        <v/>
      </c>
      <c r="BO223">
        <f>-154.491</f>
        <v>-154.49100000000001</v>
      </c>
      <c r="BP223">
        <f>24.341</f>
        <v>24.341000000000001</v>
      </c>
      <c r="BQ223">
        <f>7.912</f>
        <v>7.9119999999999999</v>
      </c>
      <c r="BR223">
        <f>12.425</f>
        <v>12.425000000000001</v>
      </c>
      <c r="BS223">
        <f>-19.601</f>
        <v>-19.600999999999999</v>
      </c>
      <c r="BT223">
        <f>-66.115</f>
        <v>-66.114999999999995</v>
      </c>
      <c r="BU223">
        <f>-0.314</f>
        <v>-0.314</v>
      </c>
      <c r="BV223">
        <f>-22.361</f>
        <v>-22.361000000000001</v>
      </c>
      <c r="BW223">
        <f>-56.1</f>
        <v>-56.1</v>
      </c>
      <c r="BX223">
        <f>17.93</f>
        <v>17.93</v>
      </c>
      <c r="BY223">
        <f>50.688</f>
        <v>50.688000000000002</v>
      </c>
      <c r="BZ223">
        <f>-24.355</f>
        <v>-24.355</v>
      </c>
      <c r="CA223">
        <f>13.515</f>
        <v>13.515000000000001</v>
      </c>
      <c r="CB223">
        <f>8.747</f>
        <v>8.7469999999999999</v>
      </c>
      <c r="CC223">
        <f>38.798</f>
        <v>38.798000000000002</v>
      </c>
      <c r="CD223">
        <f>-7.385</f>
        <v>-7.3849999999999998</v>
      </c>
      <c r="CE223">
        <f>-97.219</f>
        <v>-97.218999999999994</v>
      </c>
      <c r="CF223">
        <f>-41.476</f>
        <v>-41.475999999999999</v>
      </c>
      <c r="CG223">
        <f>30.799</f>
        <v>30.798999999999999</v>
      </c>
      <c r="CH223">
        <f>-21.835</f>
        <v>-21.835000000000001</v>
      </c>
      <c r="CI223">
        <f>-72.99</f>
        <v>-72.989999999999995</v>
      </c>
      <c r="CJ223">
        <f>4.863</f>
        <v>4.8630000000000004</v>
      </c>
      <c r="CK223">
        <f>24.8</f>
        <v>24.8</v>
      </c>
      <c r="CL223">
        <f>-33.525</f>
        <v>-33.524999999999999</v>
      </c>
      <c r="CM223">
        <f>-11.794</f>
        <v>-11.794</v>
      </c>
      <c r="CN223">
        <f>-75.989</f>
        <v>-75.989000000000004</v>
      </c>
      <c r="CO223">
        <f>-13.251</f>
        <v>-13.250999999999999</v>
      </c>
      <c r="CP223">
        <f>-15.863</f>
        <v>-15.863</v>
      </c>
      <c r="CQ223">
        <f>-173.521</f>
        <v>-173.52099999999999</v>
      </c>
      <c r="CR223">
        <f>-110.162</f>
        <v>-110.16200000000001</v>
      </c>
      <c r="CS223">
        <f>-7.585</f>
        <v>-7.585</v>
      </c>
      <c r="CT223">
        <f>3.069</f>
        <v>3.069</v>
      </c>
      <c r="CU223">
        <f>-50.434</f>
        <v>-50.433999999999997</v>
      </c>
      <c r="CV223">
        <f>-0.875</f>
        <v>-0.875</v>
      </c>
      <c r="CW223">
        <f>-10.449</f>
        <v>-10.449</v>
      </c>
      <c r="CX223">
        <f>-5.548</f>
        <v>-5.548</v>
      </c>
      <c r="CY223">
        <f>-218.061</f>
        <v>-218.06100000000001</v>
      </c>
      <c r="CZ223">
        <f>-65.422</f>
        <v>-65.421999999999997</v>
      </c>
      <c r="DA223">
        <f>-7.166</f>
        <v>-7.1660000000000004</v>
      </c>
      <c r="DB223">
        <f>12.198</f>
        <v>12.198</v>
      </c>
      <c r="DC223">
        <f>2.976</f>
        <v>2.976</v>
      </c>
      <c r="DD223">
        <f>-47.283</f>
        <v>-47.283000000000001</v>
      </c>
      <c r="DE223">
        <f>-6.245</f>
        <v>-6.2450000000000001</v>
      </c>
      <c r="DF223">
        <f>10.673</f>
        <v>10.673</v>
      </c>
      <c r="DG223">
        <f>-1.752</f>
        <v>-1.752</v>
      </c>
      <c r="DH223">
        <f>13.516</f>
        <v>13.516</v>
      </c>
      <c r="DI223">
        <f>-55.208</f>
        <v>-55.207999999999998</v>
      </c>
      <c r="DJ223">
        <f>25.871</f>
        <v>25.870999999999999</v>
      </c>
      <c r="DK223">
        <f>3.609</f>
        <v>3.609</v>
      </c>
      <c r="DL223">
        <f>20.084</f>
        <v>20.084</v>
      </c>
      <c r="DM223">
        <f>-36.22</f>
        <v>-36.22</v>
      </c>
      <c r="DN223">
        <f>26.733</f>
        <v>26.733000000000001</v>
      </c>
      <c r="DO223">
        <f>-51.579</f>
        <v>-51.579000000000001</v>
      </c>
      <c r="DP223">
        <f>-98.59</f>
        <v>-98.59</v>
      </c>
      <c r="DQ223">
        <f>-96.976</f>
        <v>-96.975999999999999</v>
      </c>
      <c r="DR223">
        <f>-40.469</f>
        <v>-40.469000000000001</v>
      </c>
      <c r="DS223" t="str">
        <f>""</f>
        <v/>
      </c>
      <c r="DT223">
        <f>-27.29799843</f>
        <v>-27.29799843</v>
      </c>
      <c r="DU223">
        <f>14.45300055</f>
        <v>14.453000550000001</v>
      </c>
    </row>
    <row r="224" spans="1:125">
      <c r="A224" t="str">
        <f>"    Healthcare Trust of America In"</f>
        <v xml:space="preserve">    Healthcare Trust of America In</v>
      </c>
      <c r="B224" t="str">
        <f>"HTA US Equity"</f>
        <v>HTA US Equity</v>
      </c>
      <c r="C224" t="str">
        <f t="shared" si="54"/>
        <v>RR008</v>
      </c>
      <c r="D224" t="str">
        <f t="shared" si="55"/>
        <v>CF_FREE_CASH_FLOW</v>
      </c>
      <c r="E224" t="str">
        <f t="shared" si="56"/>
        <v>动态</v>
      </c>
      <c r="F224" t="str">
        <f ca="1">IF(AND(ISNUMBER($F$462),$B$258=1),$F$462,HLOOKUP(INDIRECT(ADDRESS(2,COLUMN())),OFFSET($BN$2,0,0,ROW()-1,60),ROW()-1,FALSE))</f>
        <v/>
      </c>
      <c r="G224">
        <f ca="1">IF(AND(ISNUMBER($G$462),$B$258=1),$G$462,HLOOKUP(INDIRECT(ADDRESS(2,COLUMN())),OFFSET($BN$2,0,0,ROW()-1,60),ROW()-1,FALSE))</f>
        <v>57.158000000000001</v>
      </c>
      <c r="H224">
        <f ca="1">IF(AND(ISNUMBER($H$462),$B$258=1),$H$462,HLOOKUP(INDIRECT(ADDRESS(2,COLUMN())),OFFSET($BN$2,0,0,ROW()-1,60),ROW()-1,FALSE))</f>
        <v>71.052999999999997</v>
      </c>
      <c r="I224">
        <f ca="1">IF(AND(ISNUMBER($I$462),$B$258=1),$I$462,HLOOKUP(INDIRECT(ADDRESS(2,COLUMN())),OFFSET($BN$2,0,0,ROW()-1,60),ROW()-1,FALSE))</f>
        <v>80.38</v>
      </c>
      <c r="J224">
        <f ca="1">IF(AND(ISNUMBER($J$462),$B$258=1),$J$462,HLOOKUP(INDIRECT(ADDRESS(2,COLUMN())),OFFSET($BN$2,0,0,ROW()-1,60),ROW()-1,FALSE))</f>
        <v>34.119</v>
      </c>
      <c r="K224">
        <f ca="1">IF(AND(ISNUMBER($K$462),$B$258=1),$K$462,HLOOKUP(INDIRECT(ADDRESS(2,COLUMN())),OFFSET($BN$2,0,0,ROW()-1,60),ROW()-1,FALSE))</f>
        <v>46.508000000000003</v>
      </c>
      <c r="L224">
        <f ca="1">IF(AND(ISNUMBER($L$462),$B$258=1),$L$462,HLOOKUP(INDIRECT(ADDRESS(2,COLUMN())),OFFSET($BN$2,0,0,ROW()-1,60),ROW()-1,FALSE))</f>
        <v>39.619</v>
      </c>
      <c r="M224">
        <f ca="1">IF(AND(ISNUMBER($M$462),$B$258=1),$M$462,HLOOKUP(INDIRECT(ADDRESS(2,COLUMN())),OFFSET($BN$2,0,0,ROW()-1,60),ROW()-1,FALSE))</f>
        <v>42.945999999999998</v>
      </c>
      <c r="N224">
        <f ca="1">IF(AND(ISNUMBER($N$462),$B$258=1),$N$462,HLOOKUP(INDIRECT(ADDRESS(2,COLUMN())),OFFSET($BN$2,0,0,ROW()-1,60),ROW()-1,FALSE))</f>
        <v>31.628</v>
      </c>
      <c r="O224">
        <f ca="1">IF(AND(ISNUMBER($O$462),$B$258=1),$O$462,HLOOKUP(INDIRECT(ADDRESS(2,COLUMN())),OFFSET($BN$2,0,0,ROW()-1,60),ROW()-1,FALSE))</f>
        <v>40.496000000000002</v>
      </c>
      <c r="P224">
        <f ca="1">IF(AND(ISNUMBER($P$462),$B$258=1),$P$462,HLOOKUP(INDIRECT(ADDRESS(2,COLUMN())),OFFSET($BN$2,0,0,ROW()-1,60),ROW()-1,FALSE))</f>
        <v>47.293999999999997</v>
      </c>
      <c r="Q224">
        <f ca="1">IF(AND(ISNUMBER($Q$462),$B$258=1),$Q$462,HLOOKUP(INDIRECT(ADDRESS(2,COLUMN())),OFFSET($BN$2,0,0,ROW()-1,60),ROW()-1,FALSE))</f>
        <v>43.363999999999997</v>
      </c>
      <c r="R224">
        <f ca="1">IF(AND(ISNUMBER($R$462),$B$258=1),$R$462,HLOOKUP(INDIRECT(ADDRESS(2,COLUMN())),OFFSET($BN$2,0,0,ROW()-1,60),ROW()-1,FALSE))</f>
        <v>30.670999999999999</v>
      </c>
      <c r="S224">
        <f ca="1">IF(AND(ISNUMBER($S$462),$B$258=1),$S$462,HLOOKUP(INDIRECT(ADDRESS(2,COLUMN())),OFFSET($BN$2,0,0,ROW()-1,60),ROW()-1,FALSE))</f>
        <v>34.079000000000001</v>
      </c>
      <c r="T224">
        <f ca="1">IF(AND(ISNUMBER($T$462),$B$258=1),$T$462,HLOOKUP(INDIRECT(ADDRESS(2,COLUMN())),OFFSET($BN$2,0,0,ROW()-1,60),ROW()-1,FALSE))</f>
        <v>42.435000000000002</v>
      </c>
      <c r="U224">
        <f ca="1">IF(AND(ISNUMBER($U$462),$B$258=1),$U$462,HLOOKUP(INDIRECT(ADDRESS(2,COLUMN())),OFFSET($BN$2,0,0,ROW()-1,60),ROW()-1,FALSE))</f>
        <v>35.069000000000003</v>
      </c>
      <c r="V224">
        <f ca="1">IF(AND(ISNUMBER($V$462),$B$258=1),$V$462,HLOOKUP(INDIRECT(ADDRESS(2,COLUMN())),OFFSET($BN$2,0,0,ROW()-1,60),ROW()-1,FALSE))</f>
        <v>27.879000000000001</v>
      </c>
      <c r="W224">
        <f ca="1">IF(AND(ISNUMBER($W$462),$B$258=1),$W$462,HLOOKUP(INDIRECT(ADDRESS(2,COLUMN())),OFFSET($BN$2,0,0,ROW()-1,60),ROW()-1,FALSE))</f>
        <v>20.253</v>
      </c>
      <c r="X224">
        <f ca="1">IF(AND(ISNUMBER($X$462),$B$258=1),$X$462,HLOOKUP(INDIRECT(ADDRESS(2,COLUMN())),OFFSET($BN$2,0,0,ROW()-1,60),ROW()-1,FALSE))</f>
        <v>36.481000000000002</v>
      </c>
      <c r="Y224">
        <f ca="1">IF(AND(ISNUMBER($Y$462),$B$258=1),$Y$462,HLOOKUP(INDIRECT(ADDRESS(2,COLUMN())),OFFSET($BN$2,0,0,ROW()-1,60),ROW()-1,FALSE))</f>
        <v>41.51</v>
      </c>
      <c r="Z224">
        <f ca="1">IF(AND(ISNUMBER($Z$462),$B$258=1),$Z$462,HLOOKUP(INDIRECT(ADDRESS(2,COLUMN())),OFFSET($BN$2,0,0,ROW()-1,60),ROW()-1,FALSE))</f>
        <v>24.198</v>
      </c>
      <c r="AA224">
        <f ca="1">IF(AND(ISNUMBER($AA$462),$B$258=1),$AA$462,HLOOKUP(INDIRECT(ADDRESS(2,COLUMN())),OFFSET($BN$2,0,0,ROW()-1,60),ROW()-1,FALSE))</f>
        <v>28.414000000000001</v>
      </c>
      <c r="AB224">
        <f ca="1">IF(AND(ISNUMBER($AB$462),$B$258=1),$AB$462,HLOOKUP(INDIRECT(ADDRESS(2,COLUMN())),OFFSET($BN$2,0,0,ROW()-1,60),ROW()-1,FALSE))</f>
        <v>29.95</v>
      </c>
      <c r="AC224">
        <f ca="1">IF(AND(ISNUMBER($AC$462),$B$258=1),$AC$462,HLOOKUP(INDIRECT(ADDRESS(2,COLUMN())),OFFSET($BN$2,0,0,ROW()-1,60),ROW()-1,FALSE))</f>
        <v>16.102</v>
      </c>
      <c r="AD224">
        <f ca="1">IF(AND(ISNUMBER($AD$462),$B$258=1),$AD$462,HLOOKUP(INDIRECT(ADDRESS(2,COLUMN())),OFFSET($BN$2,0,0,ROW()-1,60),ROW()-1,FALSE))</f>
        <v>19.41</v>
      </c>
      <c r="AE224">
        <f ca="1">IF(AND(ISNUMBER($AE$462),$B$258=1),$AE$462,HLOOKUP(INDIRECT(ADDRESS(2,COLUMN())),OFFSET($BN$2,0,0,ROW()-1,60),ROW()-1,FALSE))</f>
        <v>18.809000000000001</v>
      </c>
      <c r="AF224">
        <f ca="1">IF(AND(ISNUMBER($AF$462),$B$258=1),$AF$462,HLOOKUP(INDIRECT(ADDRESS(2,COLUMN())),OFFSET($BN$2,0,0,ROW()-1,60),ROW()-1,FALSE))</f>
        <v>22.064</v>
      </c>
      <c r="AG224">
        <f ca="1">IF(AND(ISNUMBER($AG$462),$B$258=1),$AG$462,HLOOKUP(INDIRECT(ADDRESS(2,COLUMN())),OFFSET($BN$2,0,0,ROW()-1,60),ROW()-1,FALSE))</f>
        <v>32.338000000000001</v>
      </c>
      <c r="AH224">
        <f ca="1">IF(AND(ISNUMBER($AH$462),$B$258=1),$AH$462,HLOOKUP(INDIRECT(ADDRESS(2,COLUMN())),OFFSET($BN$2,0,0,ROW()-1,60),ROW()-1,FALSE))</f>
        <v>22.562000000000001</v>
      </c>
      <c r="AI224">
        <f ca="1">IF(AND(ISNUMBER($AI$462),$B$258=1),$AI$462,HLOOKUP(INDIRECT(ADDRESS(2,COLUMN())),OFFSET($BN$2,0,0,ROW()-1,60),ROW()-1,FALSE))</f>
        <v>7.7110000000000003</v>
      </c>
      <c r="AJ224">
        <f ca="1">IF(AND(ISNUMBER($AJ$462),$B$258=1),$AJ$462,HLOOKUP(INDIRECT(ADDRESS(2,COLUMN())),OFFSET($BN$2,0,0,ROW()-1,60),ROW()-1,FALSE))</f>
        <v>15.170999999999999</v>
      </c>
      <c r="AK224">
        <f ca="1">IF(AND(ISNUMBER($AK$462),$B$258=1),$AK$462,HLOOKUP(INDIRECT(ADDRESS(2,COLUMN())),OFFSET($BN$2,0,0,ROW()-1,60),ROW()-1,FALSE))</f>
        <v>13.015000000000001</v>
      </c>
      <c r="AL224">
        <f ca="1">IF(AND(ISNUMBER($AL$462),$B$258=1),$AL$462,HLOOKUP(INDIRECT(ADDRESS(2,COLUMN())),OFFSET($BN$2,0,0,ROW()-1,60),ROW()-1,FALSE))</f>
        <v>7.718</v>
      </c>
      <c r="AM224" t="str">
        <f ca="1">IF(AND(ISNUMBER($AM$462),$B$258=1),$AM$462,HLOOKUP(INDIRECT(ADDRESS(2,COLUMN())),OFFSET($BN$2,0,0,ROW()-1,60),ROW()-1,FALSE))</f>
        <v/>
      </c>
      <c r="AN224" t="str">
        <f ca="1">IF(AND(ISNUMBER($AN$462),$B$258=1),$AN$462,HLOOKUP(INDIRECT(ADDRESS(2,COLUMN())),OFFSET($BN$2,0,0,ROW()-1,60),ROW()-1,FALSE))</f>
        <v/>
      </c>
      <c r="AO224" t="str">
        <f ca="1">IF(AND(ISNUMBER($AO$462),$B$258=1),$AO$462,HLOOKUP(INDIRECT(ADDRESS(2,COLUMN())),OFFSET($BN$2,0,0,ROW()-1,60),ROW()-1,FALSE))</f>
        <v/>
      </c>
      <c r="AP224" t="str">
        <f ca="1">IF(AND(ISNUMBER($AP$462),$B$258=1),$AP$462,HLOOKUP(INDIRECT(ADDRESS(2,COLUMN())),OFFSET($BN$2,0,0,ROW()-1,60),ROW()-1,FALSE))</f>
        <v/>
      </c>
      <c r="AQ224" t="str">
        <f ca="1">IF(AND(ISNUMBER($AQ$462),$B$258=1),$AQ$462,HLOOKUP(INDIRECT(ADDRESS(2,COLUMN())),OFFSET($BN$2,0,0,ROW()-1,60),ROW()-1,FALSE))</f>
        <v/>
      </c>
      <c r="AR224" t="str">
        <f ca="1">IF(AND(ISNUMBER($AR$462),$B$258=1),$AR$462,HLOOKUP(INDIRECT(ADDRESS(2,COLUMN())),OFFSET($BN$2,0,0,ROW()-1,60),ROW()-1,FALSE))</f>
        <v/>
      </c>
      <c r="AS224" t="str">
        <f ca="1">IF(AND(ISNUMBER($AS$462),$B$258=1),$AS$462,HLOOKUP(INDIRECT(ADDRESS(2,COLUMN())),OFFSET($BN$2,0,0,ROW()-1,60),ROW()-1,FALSE))</f>
        <v/>
      </c>
      <c r="AT224" t="str">
        <f ca="1">IF(AND(ISNUMBER($AT$462),$B$258=1),$AT$462,HLOOKUP(INDIRECT(ADDRESS(2,COLUMN())),OFFSET($BN$2,0,0,ROW()-1,60),ROW()-1,FALSE))</f>
        <v/>
      </c>
      <c r="AU224" t="str">
        <f ca="1">IF(AND(ISNUMBER($AU$462),$B$258=1),$AU$462,HLOOKUP(INDIRECT(ADDRESS(2,COLUMN())),OFFSET($BN$2,0,0,ROW()-1,60),ROW()-1,FALSE))</f>
        <v/>
      </c>
      <c r="AV224" t="str">
        <f ca="1">IF(AND(ISNUMBER($AV$462),$B$258=1),$AV$462,HLOOKUP(INDIRECT(ADDRESS(2,COLUMN())),OFFSET($BN$2,0,0,ROW()-1,60),ROW()-1,FALSE))</f>
        <v/>
      </c>
      <c r="AW224" t="str">
        <f ca="1">IF(AND(ISNUMBER($AW$462),$B$258=1),$AW$462,HLOOKUP(INDIRECT(ADDRESS(2,COLUMN())),OFFSET($BN$2,0,0,ROW()-1,60),ROW()-1,FALSE))</f>
        <v/>
      </c>
      <c r="AX224" t="str">
        <f ca="1">IF(AND(ISNUMBER($AX$462),$B$258=1),$AX$462,HLOOKUP(INDIRECT(ADDRESS(2,COLUMN())),OFFSET($BN$2,0,0,ROW()-1,60),ROW()-1,FALSE))</f>
        <v/>
      </c>
      <c r="AY224" t="str">
        <f ca="1">IF(AND(ISNUMBER($AY$462),$B$258=1),$AY$462,HLOOKUP(INDIRECT(ADDRESS(2,COLUMN())),OFFSET($BN$2,0,0,ROW()-1,60),ROW()-1,FALSE))</f>
        <v/>
      </c>
      <c r="AZ224" t="str">
        <f ca="1">IF(AND(ISNUMBER($AZ$462),$B$258=1),$AZ$462,HLOOKUP(INDIRECT(ADDRESS(2,COLUMN())),OFFSET($BN$2,0,0,ROW()-1,60),ROW()-1,FALSE))</f>
        <v/>
      </c>
      <c r="BA224" t="str">
        <f ca="1">IF(AND(ISNUMBER($BA$462),$B$258=1),$BA$462,HLOOKUP(INDIRECT(ADDRESS(2,COLUMN())),OFFSET($BN$2,0,0,ROW()-1,60),ROW()-1,FALSE))</f>
        <v/>
      </c>
      <c r="BB224" t="str">
        <f ca="1">IF(AND(ISNUMBER($BB$462),$B$258=1),$BB$462,HLOOKUP(INDIRECT(ADDRESS(2,COLUMN())),OFFSET($BN$2,0,0,ROW()-1,60),ROW()-1,FALSE))</f>
        <v/>
      </c>
      <c r="BC224" t="str">
        <f ca="1">IF(AND(ISNUMBER($BC$462),$B$258=1),$BC$462,HLOOKUP(INDIRECT(ADDRESS(2,COLUMN())),OFFSET($BN$2,0,0,ROW()-1,60),ROW()-1,FALSE))</f>
        <v/>
      </c>
      <c r="BD224" t="str">
        <f ca="1">IF(AND(ISNUMBER($BD$462),$B$258=1),$BD$462,HLOOKUP(INDIRECT(ADDRESS(2,COLUMN())),OFFSET($BN$2,0,0,ROW()-1,60),ROW()-1,FALSE))</f>
        <v/>
      </c>
      <c r="BE224" t="str">
        <f ca="1">IF(AND(ISNUMBER($BE$462),$B$258=1),$BE$462,HLOOKUP(INDIRECT(ADDRESS(2,COLUMN())),OFFSET($BN$2,0,0,ROW()-1,60),ROW()-1,FALSE))</f>
        <v/>
      </c>
      <c r="BF224" t="str">
        <f ca="1">IF(AND(ISNUMBER($BF$462),$B$258=1),$BF$462,HLOOKUP(INDIRECT(ADDRESS(2,COLUMN())),OFFSET($BN$2,0,0,ROW()-1,60),ROW()-1,FALSE))</f>
        <v/>
      </c>
      <c r="BG224" t="str">
        <f ca="1">IF(AND(ISNUMBER($BG$462),$B$258=1),$BG$462,HLOOKUP(INDIRECT(ADDRESS(2,COLUMN())),OFFSET($BN$2,0,0,ROW()-1,60),ROW()-1,FALSE))</f>
        <v/>
      </c>
      <c r="BH224" t="str">
        <f ca="1">IF(AND(ISNUMBER($BH$462),$B$258=1),$BH$462,HLOOKUP(INDIRECT(ADDRESS(2,COLUMN())),OFFSET($BN$2,0,0,ROW()-1,60),ROW()-1,FALSE))</f>
        <v/>
      </c>
      <c r="BI224" t="str">
        <f ca="1">IF(AND(ISNUMBER($BI$462),$B$258=1),$BI$462,HLOOKUP(INDIRECT(ADDRESS(2,COLUMN())),OFFSET($BN$2,0,0,ROW()-1,60),ROW()-1,FALSE))</f>
        <v/>
      </c>
      <c r="BJ224" t="str">
        <f ca="1">IF(AND(ISNUMBER($BJ$462),$B$258=1),$BJ$462,HLOOKUP(INDIRECT(ADDRESS(2,COLUMN())),OFFSET($BN$2,0,0,ROW()-1,60),ROW()-1,FALSE))</f>
        <v/>
      </c>
      <c r="BK224" t="str">
        <f ca="1">IF(AND(ISNUMBER($BK$462),$B$258=1),$BK$462,HLOOKUP(INDIRECT(ADDRESS(2,COLUMN())),OFFSET($BN$2,0,0,ROW()-1,60),ROW()-1,FALSE))</f>
        <v/>
      </c>
      <c r="BL224" t="str">
        <f ca="1">IF(AND(ISNUMBER($BL$462),$B$258=1),$BL$462,HLOOKUP(INDIRECT(ADDRESS(2,COLUMN())),OFFSET($BN$2,0,0,ROW()-1,60),ROW()-1,FALSE))</f>
        <v/>
      </c>
      <c r="BM224" t="str">
        <f ca="1">IF(AND(ISNUMBER($BM$462),$B$258=1),$BM$462,HLOOKUP(INDIRECT(ADDRESS(2,COLUMN())),OFFSET($BN$2,0,0,ROW()-1,60),ROW()-1,FALSE))</f>
        <v/>
      </c>
      <c r="BN224" t="str">
        <f>""</f>
        <v/>
      </c>
      <c r="BO224">
        <f>57.158</f>
        <v>57.158000000000001</v>
      </c>
      <c r="BP224">
        <f>71.053</f>
        <v>71.052999999999997</v>
      </c>
      <c r="BQ224">
        <f>80.38</f>
        <v>80.38</v>
      </c>
      <c r="BR224">
        <f>34.119</f>
        <v>34.119</v>
      </c>
      <c r="BS224">
        <f>46.508</f>
        <v>46.508000000000003</v>
      </c>
      <c r="BT224">
        <f>39.619</f>
        <v>39.619</v>
      </c>
      <c r="BU224">
        <f>42.946</f>
        <v>42.945999999999998</v>
      </c>
      <c r="BV224">
        <f>31.628</f>
        <v>31.628</v>
      </c>
      <c r="BW224">
        <f>40.496</f>
        <v>40.496000000000002</v>
      </c>
      <c r="BX224">
        <f>47.294</f>
        <v>47.293999999999997</v>
      </c>
      <c r="BY224">
        <f>43.364</f>
        <v>43.363999999999997</v>
      </c>
      <c r="BZ224">
        <f>30.671</f>
        <v>30.670999999999999</v>
      </c>
      <c r="CA224">
        <f>34.079</f>
        <v>34.079000000000001</v>
      </c>
      <c r="CB224">
        <f>42.435</f>
        <v>42.435000000000002</v>
      </c>
      <c r="CC224">
        <f>35.069</f>
        <v>35.069000000000003</v>
      </c>
      <c r="CD224">
        <f>27.879</f>
        <v>27.879000000000001</v>
      </c>
      <c r="CE224">
        <f>20.253</f>
        <v>20.253</v>
      </c>
      <c r="CF224">
        <f>36.481</f>
        <v>36.481000000000002</v>
      </c>
      <c r="CG224">
        <f>41.51</f>
        <v>41.51</v>
      </c>
      <c r="CH224">
        <f>24.198</f>
        <v>24.198</v>
      </c>
      <c r="CI224">
        <f>28.414</f>
        <v>28.414000000000001</v>
      </c>
      <c r="CJ224">
        <f>29.95</f>
        <v>29.95</v>
      </c>
      <c r="CK224">
        <f>16.102</f>
        <v>16.102</v>
      </c>
      <c r="CL224">
        <f>19.41</f>
        <v>19.41</v>
      </c>
      <c r="CM224">
        <f>18.809</f>
        <v>18.809000000000001</v>
      </c>
      <c r="CN224">
        <f>22.064</f>
        <v>22.064</v>
      </c>
      <c r="CO224">
        <f>32.338</f>
        <v>32.338000000000001</v>
      </c>
      <c r="CP224">
        <f>22.562</f>
        <v>22.562000000000001</v>
      </c>
      <c r="CQ224">
        <f>7.711</f>
        <v>7.7110000000000003</v>
      </c>
      <c r="CR224">
        <f>15.171</f>
        <v>15.170999999999999</v>
      </c>
      <c r="CS224">
        <f>13.015</f>
        <v>13.015000000000001</v>
      </c>
      <c r="CT224">
        <f>7.718</f>
        <v>7.718</v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>
      <c r="A225" t="str">
        <f>"    Medical Properties Trust Inc"</f>
        <v xml:space="preserve">    Medical Properties Trust Inc</v>
      </c>
      <c r="B225" t="str">
        <f>"MPW US Equity"</f>
        <v>MPW US Equity</v>
      </c>
      <c r="C225" t="str">
        <f t="shared" si="54"/>
        <v>RR008</v>
      </c>
      <c r="D225" t="str">
        <f t="shared" si="55"/>
        <v>CF_FREE_CASH_FLOW</v>
      </c>
      <c r="E225" t="str">
        <f t="shared" si="56"/>
        <v>动态</v>
      </c>
      <c r="F225" t="str">
        <f ca="1">IF(AND(ISNUMBER($F$463),$B$258=1),$F$463,HLOOKUP(INDIRECT(ADDRESS(2,COLUMN())),OFFSET($BN$2,0,0,ROW()-1,60),ROW()-1,FALSE))</f>
        <v/>
      </c>
      <c r="G225">
        <f ca="1">IF(AND(ISNUMBER($G$463),$B$258=1),$G$463,HLOOKUP(INDIRECT(ADDRESS(2,COLUMN())),OFFSET($BN$2,0,0,ROW()-1,60),ROW()-1,FALSE))</f>
        <v>27.577000000000002</v>
      </c>
      <c r="H225">
        <f ca="1">IF(AND(ISNUMBER($H$463),$B$258=1),$H$463,HLOOKUP(INDIRECT(ADDRESS(2,COLUMN())),OFFSET($BN$2,0,0,ROW()-1,60),ROW()-1,FALSE))</f>
        <v>-1503.1769999999999</v>
      </c>
      <c r="I225">
        <f ca="1">IF(AND(ISNUMBER($I$463),$B$258=1),$I$463,HLOOKUP(INDIRECT(ADDRESS(2,COLUMN())),OFFSET($BN$2,0,0,ROW()-1,60),ROW()-1,FALSE))</f>
        <v>-506.57299999999998</v>
      </c>
      <c r="J225">
        <f ca="1">IF(AND(ISNUMBER($J$463),$B$258=1),$J$463,HLOOKUP(INDIRECT(ADDRESS(2,COLUMN())),OFFSET($BN$2,0,0,ROW()-1,60),ROW()-1,FALSE))</f>
        <v>24.673999999999999</v>
      </c>
      <c r="K225">
        <f ca="1">IF(AND(ISNUMBER($K$463),$B$258=1),$K$463,HLOOKUP(INDIRECT(ADDRESS(2,COLUMN())),OFFSET($BN$2,0,0,ROW()-1,60),ROW()-1,FALSE))</f>
        <v>-1404.788</v>
      </c>
      <c r="L225">
        <f ca="1">IF(AND(ISNUMBER($L$463),$B$258=1),$L$463,HLOOKUP(INDIRECT(ADDRESS(2,COLUMN())),OFFSET($BN$2,0,0,ROW()-1,60),ROW()-1,FALSE))</f>
        <v>-103.381</v>
      </c>
      <c r="M225">
        <f ca="1">IF(AND(ISNUMBER($M$463),$B$258=1),$M$463,HLOOKUP(INDIRECT(ADDRESS(2,COLUMN())),OFFSET($BN$2,0,0,ROW()-1,60),ROW()-1,FALSE))</f>
        <v>-94.801000000000002</v>
      </c>
      <c r="N225">
        <f ca="1">IF(AND(ISNUMBER($N$463),$B$258=1),$N$463,HLOOKUP(INDIRECT(ADDRESS(2,COLUMN())),OFFSET($BN$2,0,0,ROW()-1,60),ROW()-1,FALSE))</f>
        <v>14.035</v>
      </c>
      <c r="O225">
        <f ca="1">IF(AND(ISNUMBER($O$463),$B$258=1),$O$463,HLOOKUP(INDIRECT(ADDRESS(2,COLUMN())),OFFSET($BN$2,0,0,ROW()-1,60),ROW()-1,FALSE))</f>
        <v>-144.72800000000001</v>
      </c>
      <c r="P225">
        <f ca="1">IF(AND(ISNUMBER($P$463),$B$258=1),$P$463,HLOOKUP(INDIRECT(ADDRESS(2,COLUMN())),OFFSET($BN$2,0,0,ROW()-1,60),ROW()-1,FALSE))</f>
        <v>-1452.2750000000001</v>
      </c>
      <c r="Q225">
        <f ca="1">IF(AND(ISNUMBER($Q$463),$B$258=1),$Q$463,HLOOKUP(INDIRECT(ADDRESS(2,COLUMN())),OFFSET($BN$2,0,0,ROW()-1,60),ROW()-1,FALSE))</f>
        <v>-391.05700000000002</v>
      </c>
      <c r="R225">
        <f ca="1">IF(AND(ISNUMBER($R$463),$B$258=1),$R$463,HLOOKUP(INDIRECT(ADDRESS(2,COLUMN())),OFFSET($BN$2,0,0,ROW()-1,60),ROW()-1,FALSE))</f>
        <v>-170.185</v>
      </c>
      <c r="S225">
        <f ca="1">IF(AND(ISNUMBER($S$463),$B$258=1),$S$463,HLOOKUP(INDIRECT(ADDRESS(2,COLUMN())),OFFSET($BN$2,0,0,ROW()-1,60),ROW()-1,FALSE))</f>
        <v>-535.346</v>
      </c>
      <c r="T225">
        <f ca="1">IF(AND(ISNUMBER($T$463),$B$258=1),$T$463,HLOOKUP(INDIRECT(ADDRESS(2,COLUMN())),OFFSET($BN$2,0,0,ROW()-1,60),ROW()-1,FALSE))</f>
        <v>-64.335999999999999</v>
      </c>
      <c r="U225">
        <f ca="1">IF(AND(ISNUMBER($U$463),$B$258=1),$U$463,HLOOKUP(INDIRECT(ADDRESS(2,COLUMN())),OFFSET($BN$2,0,0,ROW()-1,60),ROW()-1,FALSE))</f>
        <v>4.7389999999999999</v>
      </c>
      <c r="V225">
        <f ca="1">IF(AND(ISNUMBER($V$463),$B$258=1),$V$463,HLOOKUP(INDIRECT(ADDRESS(2,COLUMN())),OFFSET($BN$2,0,0,ROW()-1,60),ROW()-1,FALSE))</f>
        <v>-124.643</v>
      </c>
      <c r="W225">
        <f ca="1">IF(AND(ISNUMBER($W$463),$B$258=1),$W$463,HLOOKUP(INDIRECT(ADDRESS(2,COLUMN())),OFFSET($BN$2,0,0,ROW()-1,60),ROW()-1,FALSE))</f>
        <v>-222.214</v>
      </c>
      <c r="X225">
        <f ca="1">IF(AND(ISNUMBER($X$463),$B$258=1),$X$463,HLOOKUP(INDIRECT(ADDRESS(2,COLUMN())),OFFSET($BN$2,0,0,ROW()-1,60),ROW()-1,FALSE))</f>
        <v>-281.43200000000002</v>
      </c>
      <c r="Y225">
        <f ca="1">IF(AND(ISNUMBER($Y$463),$B$258=1),$Y$463,HLOOKUP(INDIRECT(ADDRESS(2,COLUMN())),OFFSET($BN$2,0,0,ROW()-1,60),ROW()-1,FALSE))</f>
        <v>-65.450999999999993</v>
      </c>
      <c r="Z225">
        <f ca="1">IF(AND(ISNUMBER($Z$463),$B$258=1),$Z$463,HLOOKUP(INDIRECT(ADDRESS(2,COLUMN())),OFFSET($BN$2,0,0,ROW()-1,60),ROW()-1,FALSE))</f>
        <v>13.525</v>
      </c>
      <c r="AA225">
        <f ca="1">IF(AND(ISNUMBER($AA$463),$B$258=1),$AA$463,HLOOKUP(INDIRECT(ADDRESS(2,COLUMN())),OFFSET($BN$2,0,0,ROW()-1,60),ROW()-1,FALSE))</f>
        <v>6.96</v>
      </c>
      <c r="AB225">
        <f ca="1">IF(AND(ISNUMBER($AB$463),$B$258=1),$AB$463,HLOOKUP(INDIRECT(ADDRESS(2,COLUMN())),OFFSET($BN$2,0,0,ROW()-1,60),ROW()-1,FALSE))</f>
        <v>-194.97900000000001</v>
      </c>
      <c r="AC225">
        <f ca="1">IF(AND(ISNUMBER($AC$463),$B$258=1),$AC$463,HLOOKUP(INDIRECT(ADDRESS(2,COLUMN())),OFFSET($BN$2,0,0,ROW()-1,60),ROW()-1,FALSE))</f>
        <v>-389.99099999999999</v>
      </c>
      <c r="AD225">
        <f ca="1">IF(AND(ISNUMBER($AD$463),$B$258=1),$AD$463,HLOOKUP(INDIRECT(ADDRESS(2,COLUMN())),OFFSET($BN$2,0,0,ROW()-1,60),ROW()-1,FALSE))</f>
        <v>17.259</v>
      </c>
      <c r="AE225">
        <f ca="1">IF(AND(ISNUMBER($AE$463),$B$258=1),$AE$463,HLOOKUP(INDIRECT(ADDRESS(2,COLUMN())),OFFSET($BN$2,0,0,ROW()-1,60),ROW()-1,FALSE))</f>
        <v>-30.552</v>
      </c>
      <c r="AF225">
        <f ca="1">IF(AND(ISNUMBER($AF$463),$B$258=1),$AF$463,HLOOKUP(INDIRECT(ADDRESS(2,COLUMN())),OFFSET($BN$2,0,0,ROW()-1,60),ROW()-1,FALSE))</f>
        <v>-7.6120000000000001</v>
      </c>
      <c r="AG225">
        <f ca="1">IF(AND(ISNUMBER($AG$463),$B$258=1),$AG$463,HLOOKUP(INDIRECT(ADDRESS(2,COLUMN())),OFFSET($BN$2,0,0,ROW()-1,60),ROW()-1,FALSE))</f>
        <v>6.7709999999999999</v>
      </c>
      <c r="AH225">
        <f ca="1">IF(AND(ISNUMBER($AH$463),$B$258=1),$AH$463,HLOOKUP(INDIRECT(ADDRESS(2,COLUMN())),OFFSET($BN$2,0,0,ROW()-1,60),ROW()-1,FALSE))</f>
        <v>-158.84700000000001</v>
      </c>
      <c r="AI225">
        <f ca="1">IF(AND(ISNUMBER($AI$463),$B$258=1),$AI$463,HLOOKUP(INDIRECT(ADDRESS(2,COLUMN())),OFFSET($BN$2,0,0,ROW()-1,60),ROW()-1,FALSE))</f>
        <v>-38.591000000000001</v>
      </c>
      <c r="AJ225">
        <f ca="1">IF(AND(ISNUMBER($AJ$463),$B$258=1),$AJ$463,HLOOKUP(INDIRECT(ADDRESS(2,COLUMN())),OFFSET($BN$2,0,0,ROW()-1,60),ROW()-1,FALSE))</f>
        <v>17.945</v>
      </c>
      <c r="AK225">
        <f ca="1">IF(AND(ISNUMBER($AK$463),$B$258=1),$AK$463,HLOOKUP(INDIRECT(ADDRESS(2,COLUMN())),OFFSET($BN$2,0,0,ROW()-1,60),ROW()-1,FALSE))</f>
        <v>-72.784999999999997</v>
      </c>
      <c r="AL225">
        <f ca="1">IF(AND(ISNUMBER($AL$463),$B$258=1),$AL$463,HLOOKUP(INDIRECT(ADDRESS(2,COLUMN())),OFFSET($BN$2,0,0,ROW()-1,60),ROW()-1,FALSE))</f>
        <v>9.6219999999999999</v>
      </c>
      <c r="AM225">
        <f ca="1">IF(AND(ISNUMBER($AM$463),$B$258=1),$AM$463,HLOOKUP(INDIRECT(ADDRESS(2,COLUMN())),OFFSET($BN$2,0,0,ROW()-1,60),ROW()-1,FALSE))</f>
        <v>7.8949999999999996</v>
      </c>
      <c r="AN225">
        <f ca="1">IF(AND(ISNUMBER($AN$463),$B$258=1),$AN$463,HLOOKUP(INDIRECT(ADDRESS(2,COLUMN())),OFFSET($BN$2,0,0,ROW()-1,60),ROW()-1,FALSE))</f>
        <v>22.308</v>
      </c>
      <c r="AO225">
        <f ca="1">IF(AND(ISNUMBER($AO$463),$B$258=1),$AO$463,HLOOKUP(INDIRECT(ADDRESS(2,COLUMN())),OFFSET($BN$2,0,0,ROW()-1,60),ROW()-1,FALSE))</f>
        <v>6.2919999999999998</v>
      </c>
      <c r="AP225">
        <f ca="1">IF(AND(ISNUMBER($AP$463),$B$258=1),$AP$463,HLOOKUP(INDIRECT(ADDRESS(2,COLUMN())),OFFSET($BN$2,0,0,ROW()-1,60),ROW()-1,FALSE))</f>
        <v>16.963000000000001</v>
      </c>
      <c r="AQ225">
        <f ca="1">IF(AND(ISNUMBER($AQ$463),$B$258=1),$AQ$463,HLOOKUP(INDIRECT(ADDRESS(2,COLUMN())),OFFSET($BN$2,0,0,ROW()-1,60),ROW()-1,FALSE))</f>
        <v>-35.807000000000002</v>
      </c>
      <c r="AR225">
        <f ca="1">IF(AND(ISNUMBER($AR$463),$B$258=1),$AR$463,HLOOKUP(INDIRECT(ADDRESS(2,COLUMN())),OFFSET($BN$2,0,0,ROW()-1,60),ROW()-1,FALSE))</f>
        <v>-22.050999999999998</v>
      </c>
      <c r="AS225">
        <f ca="1">IF(AND(ISNUMBER($AS$463),$B$258=1),$AS$463,HLOOKUP(INDIRECT(ADDRESS(2,COLUMN())),OFFSET($BN$2,0,0,ROW()-1,60),ROW()-1,FALSE))</f>
        <v>-316.762</v>
      </c>
      <c r="AT225">
        <f ca="1">IF(AND(ISNUMBER($AT$463),$B$258=1),$AT$463,HLOOKUP(INDIRECT(ADDRESS(2,COLUMN())),OFFSET($BN$2,0,0,ROW()-1,60),ROW()-1,FALSE))</f>
        <v>13.804</v>
      </c>
      <c r="AU225">
        <f ca="1">IF(AND(ISNUMBER($AU$463),$B$258=1),$AU$463,HLOOKUP(INDIRECT(ADDRESS(2,COLUMN())),OFFSET($BN$2,0,0,ROW()-1,60),ROW()-1,FALSE))</f>
        <v>-61.276783999999999</v>
      </c>
      <c r="AV225">
        <f ca="1">IF(AND(ISNUMBER($AV$463),$B$258=1),$AV$463,HLOOKUP(INDIRECT(ADDRESS(2,COLUMN())),OFFSET($BN$2,0,0,ROW()-1,60),ROW()-1,FALSE))</f>
        <v>-82.993587000000005</v>
      </c>
      <c r="AW225">
        <f ca="1">IF(AND(ISNUMBER($AW$463),$B$258=1),$AW$463,HLOOKUP(INDIRECT(ADDRESS(2,COLUMN())),OFFSET($BN$2,0,0,ROW()-1,60),ROW()-1,FALSE))</f>
        <v>-25.614767000000001</v>
      </c>
      <c r="AX225">
        <f ca="1">IF(AND(ISNUMBER($AX$463),$B$258=1),$AX$463,HLOOKUP(INDIRECT(ADDRESS(2,COLUMN())),OFFSET($BN$2,0,0,ROW()-1,60),ROW()-1,FALSE))</f>
        <v>-7.2009749999999997</v>
      </c>
      <c r="AY225">
        <f ca="1">IF(AND(ISNUMBER($AY$463),$B$258=1),$AY$463,HLOOKUP(INDIRECT(ADDRESS(2,COLUMN())),OFFSET($BN$2,0,0,ROW()-1,60),ROW()-1,FALSE))</f>
        <v>-91.911996000000002</v>
      </c>
      <c r="AZ225">
        <f ca="1">IF(AND(ISNUMBER($AZ$463),$B$258=1),$AZ$463,HLOOKUP(INDIRECT(ADDRESS(2,COLUMN())),OFFSET($BN$2,0,0,ROW()-1,60),ROW()-1,FALSE))</f>
        <v>-61.677498</v>
      </c>
      <c r="BA225">
        <f ca="1">IF(AND(ISNUMBER($BA$463),$B$258=1),$BA$463,HLOOKUP(INDIRECT(ADDRESS(2,COLUMN())),OFFSET($BN$2,0,0,ROW()-1,60),ROW()-1,FALSE))</f>
        <v>-20.020489999999999</v>
      </c>
      <c r="BB225">
        <f ca="1">IF(AND(ISNUMBER($BB$463),$B$258=1),$BB$463,HLOOKUP(INDIRECT(ADDRESS(2,COLUMN())),OFFSET($BN$2,0,0,ROW()-1,60),ROW()-1,FALSE))</f>
        <v>-21.213180000000001</v>
      </c>
      <c r="BC225">
        <f ca="1">IF(AND(ISNUMBER($BC$463),$B$258=1),$BC$463,HLOOKUP(INDIRECT(ADDRESS(2,COLUMN())),OFFSET($BN$2,0,0,ROW()-1,60),ROW()-1,FALSE))</f>
        <v>-57.901215999999998</v>
      </c>
      <c r="BD225" t="str">
        <f ca="1">IF(AND(ISNUMBER($BD$463),$B$258=1),$BD$463,HLOOKUP(INDIRECT(ADDRESS(2,COLUMN())),OFFSET($BN$2,0,0,ROW()-1,60),ROW()-1,FALSE))</f>
        <v/>
      </c>
      <c r="BE225">
        <f ca="1">IF(AND(ISNUMBER($BE$463),$B$258=1),$BE$463,HLOOKUP(INDIRECT(ADDRESS(2,COLUMN())),OFFSET($BN$2,0,0,ROW()-1,60),ROW()-1,FALSE))</f>
        <v>-40.777371299999999</v>
      </c>
      <c r="BF225">
        <f ca="1">IF(AND(ISNUMBER($BF$463),$B$258=1),$BF$463,HLOOKUP(INDIRECT(ADDRESS(2,COLUMN())),OFFSET($BN$2,0,0,ROW()-1,60),ROW()-1,FALSE))</f>
        <v>-38.810999119999998</v>
      </c>
      <c r="BG225" t="str">
        <f ca="1">IF(AND(ISNUMBER($BG$463),$B$258=1),$BG$463,HLOOKUP(INDIRECT(ADDRESS(2,COLUMN())),OFFSET($BN$2,0,0,ROW()-1,60),ROW()-1,FALSE))</f>
        <v/>
      </c>
      <c r="BH225" t="str">
        <f ca="1">IF(AND(ISNUMBER($BH$463),$B$258=1),$BH$463,HLOOKUP(INDIRECT(ADDRESS(2,COLUMN())),OFFSET($BN$2,0,0,ROW()-1,60),ROW()-1,FALSE))</f>
        <v/>
      </c>
      <c r="BI225" t="str">
        <f ca="1">IF(AND(ISNUMBER($BI$463),$B$258=1),$BI$463,HLOOKUP(INDIRECT(ADDRESS(2,COLUMN())),OFFSET($BN$2,0,0,ROW()-1,60),ROW()-1,FALSE))</f>
        <v/>
      </c>
      <c r="BJ225" t="str">
        <f ca="1">IF(AND(ISNUMBER($BJ$463),$B$258=1),$BJ$463,HLOOKUP(INDIRECT(ADDRESS(2,COLUMN())),OFFSET($BN$2,0,0,ROW()-1,60),ROW()-1,FALSE))</f>
        <v/>
      </c>
      <c r="BK225" t="str">
        <f ca="1">IF(AND(ISNUMBER($BK$463),$B$258=1),$BK$463,HLOOKUP(INDIRECT(ADDRESS(2,COLUMN())),OFFSET($BN$2,0,0,ROW()-1,60),ROW()-1,FALSE))</f>
        <v/>
      </c>
      <c r="BL225" t="str">
        <f ca="1">IF(AND(ISNUMBER($BL$463),$B$258=1),$BL$463,HLOOKUP(INDIRECT(ADDRESS(2,COLUMN())),OFFSET($BN$2,0,0,ROW()-1,60),ROW()-1,FALSE))</f>
        <v/>
      </c>
      <c r="BM225" t="str">
        <f ca="1">IF(AND(ISNUMBER($BM$463),$B$258=1),$BM$463,HLOOKUP(INDIRECT(ADDRESS(2,COLUMN())),OFFSET($BN$2,0,0,ROW()-1,60),ROW()-1,FALSE))</f>
        <v/>
      </c>
      <c r="BN225" t="str">
        <f>""</f>
        <v/>
      </c>
      <c r="BO225">
        <f>27.577</f>
        <v>27.577000000000002</v>
      </c>
      <c r="BP225">
        <f>-1503.177</f>
        <v>-1503.1769999999999</v>
      </c>
      <c r="BQ225">
        <f>-506.573</f>
        <v>-506.57299999999998</v>
      </c>
      <c r="BR225">
        <f>24.674</f>
        <v>24.673999999999999</v>
      </c>
      <c r="BS225">
        <f>-1404.788</f>
        <v>-1404.788</v>
      </c>
      <c r="BT225">
        <f>-103.381</f>
        <v>-103.381</v>
      </c>
      <c r="BU225">
        <f>-94.801</f>
        <v>-94.801000000000002</v>
      </c>
      <c r="BV225">
        <f>14.035</f>
        <v>14.035</v>
      </c>
      <c r="BW225">
        <f>-144.728</f>
        <v>-144.72800000000001</v>
      </c>
      <c r="BX225">
        <f>-1452.275</f>
        <v>-1452.2750000000001</v>
      </c>
      <c r="BY225">
        <f>-391.057</f>
        <v>-391.05700000000002</v>
      </c>
      <c r="BZ225">
        <f>-170.185</f>
        <v>-170.185</v>
      </c>
      <c r="CA225">
        <f>-535.346</f>
        <v>-535.346</v>
      </c>
      <c r="CB225">
        <f>-64.336</f>
        <v>-64.335999999999999</v>
      </c>
      <c r="CC225">
        <f>4.739</f>
        <v>4.7389999999999999</v>
      </c>
      <c r="CD225">
        <f>-124.643</f>
        <v>-124.643</v>
      </c>
      <c r="CE225">
        <f>-222.214</f>
        <v>-222.214</v>
      </c>
      <c r="CF225">
        <f>-281.432</f>
        <v>-281.43200000000002</v>
      </c>
      <c r="CG225">
        <f>-65.451</f>
        <v>-65.450999999999993</v>
      </c>
      <c r="CH225">
        <f>13.525</f>
        <v>13.525</v>
      </c>
      <c r="CI225">
        <f>6.96</f>
        <v>6.96</v>
      </c>
      <c r="CJ225">
        <f>-194.979</f>
        <v>-194.97900000000001</v>
      </c>
      <c r="CK225">
        <f>-389.991</f>
        <v>-389.99099999999999</v>
      </c>
      <c r="CL225">
        <f>17.259</f>
        <v>17.259</v>
      </c>
      <c r="CM225">
        <f>-30.552</f>
        <v>-30.552</v>
      </c>
      <c r="CN225">
        <f>-7.612</f>
        <v>-7.6120000000000001</v>
      </c>
      <c r="CO225">
        <f>6.771</f>
        <v>6.7709999999999999</v>
      </c>
      <c r="CP225">
        <f>-158.847</f>
        <v>-158.84700000000001</v>
      </c>
      <c r="CQ225">
        <f>-38.591</f>
        <v>-38.591000000000001</v>
      </c>
      <c r="CR225">
        <f>17.945</f>
        <v>17.945</v>
      </c>
      <c r="CS225">
        <f>-72.785</f>
        <v>-72.784999999999997</v>
      </c>
      <c r="CT225">
        <f>9.622</f>
        <v>9.6219999999999999</v>
      </c>
      <c r="CU225">
        <f>7.895</f>
        <v>7.8949999999999996</v>
      </c>
      <c r="CV225">
        <f>22.308</f>
        <v>22.308</v>
      </c>
      <c r="CW225">
        <f>6.292</f>
        <v>6.2919999999999998</v>
      </c>
      <c r="CX225">
        <f>16.963</f>
        <v>16.963000000000001</v>
      </c>
      <c r="CY225">
        <f>-35.807</f>
        <v>-35.807000000000002</v>
      </c>
      <c r="CZ225">
        <f>-22.051</f>
        <v>-22.050999999999998</v>
      </c>
      <c r="DA225">
        <f>-316.762</f>
        <v>-316.762</v>
      </c>
      <c r="DB225">
        <f>13.804</f>
        <v>13.804</v>
      </c>
      <c r="DC225">
        <f>-61.276784</f>
        <v>-61.276783999999999</v>
      </c>
      <c r="DD225">
        <f>-82.993587</f>
        <v>-82.993587000000005</v>
      </c>
      <c r="DE225">
        <f>-25.614767</f>
        <v>-25.614767000000001</v>
      </c>
      <c r="DF225">
        <f>-7.200975</f>
        <v>-7.2009749999999997</v>
      </c>
      <c r="DG225">
        <f>-91.911996</f>
        <v>-91.911996000000002</v>
      </c>
      <c r="DH225">
        <f>-61.677498</f>
        <v>-61.677498</v>
      </c>
      <c r="DI225">
        <f>-20.02049</f>
        <v>-20.020489999999999</v>
      </c>
      <c r="DJ225">
        <f>-21.21318</f>
        <v>-21.213180000000001</v>
      </c>
      <c r="DK225">
        <f>-57.901216</f>
        <v>-57.901215999999998</v>
      </c>
      <c r="DL225" t="str">
        <f>""</f>
        <v/>
      </c>
      <c r="DM225">
        <f>-40.7773713</f>
        <v>-40.777371299999999</v>
      </c>
      <c r="DN225">
        <f>-38.81099912</f>
        <v>-38.810999119999998</v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>
      <c r="A226" t="str">
        <f>"    Omega Healthcare Investors Inc"</f>
        <v xml:space="preserve">    Omega Healthcare Investors Inc</v>
      </c>
      <c r="B226" t="str">
        <f>"OHI US Equity"</f>
        <v>OHI US Equity</v>
      </c>
      <c r="C226" t="str">
        <f t="shared" si="54"/>
        <v>RR008</v>
      </c>
      <c r="D226" t="str">
        <f t="shared" si="55"/>
        <v>CF_FREE_CASH_FLOW</v>
      </c>
      <c r="E226" t="str">
        <f t="shared" si="56"/>
        <v>动态</v>
      </c>
      <c r="F226" t="str">
        <f ca="1">IF(AND(ISNUMBER($F$464),$B$258=1),$F$464,HLOOKUP(INDIRECT(ADDRESS(2,COLUMN())),OFFSET($BN$2,0,0,ROW()-1,60),ROW()-1,FALSE))</f>
        <v/>
      </c>
      <c r="G226">
        <f ca="1">IF(AND(ISNUMBER($G$464),$B$258=1),$G$464,HLOOKUP(INDIRECT(ADDRESS(2,COLUMN())),OFFSET($BN$2,0,0,ROW()-1,60),ROW()-1,FALSE))</f>
        <v>94.796000000000006</v>
      </c>
      <c r="H226">
        <f ca="1">IF(AND(ISNUMBER($H$464),$B$258=1),$H$464,HLOOKUP(INDIRECT(ADDRESS(2,COLUMN())),OFFSET($BN$2,0,0,ROW()-1,60),ROW()-1,FALSE))</f>
        <v>-64.998999999999995</v>
      </c>
      <c r="I226">
        <f ca="1">IF(AND(ISNUMBER($I$464),$B$258=1),$I$464,HLOOKUP(INDIRECT(ADDRESS(2,COLUMN())),OFFSET($BN$2,0,0,ROW()-1,60),ROW()-1,FALSE))</f>
        <v>19.582999999999998</v>
      </c>
      <c r="J226">
        <f ca="1">IF(AND(ISNUMBER($J$464),$B$258=1),$J$464,HLOOKUP(INDIRECT(ADDRESS(2,COLUMN())),OFFSET($BN$2,0,0,ROW()-1,60),ROW()-1,FALSE))</f>
        <v>98.165000000000006</v>
      </c>
      <c r="K226">
        <f ca="1">IF(AND(ISNUMBER($K$464),$B$258=1),$K$464,HLOOKUP(INDIRECT(ADDRESS(2,COLUMN())),OFFSET($BN$2,0,0,ROW()-1,60),ROW()-1,FALSE))</f>
        <v>159.49100000000001</v>
      </c>
      <c r="L226">
        <f ca="1">IF(AND(ISNUMBER($L$464),$B$258=1),$L$464,HLOOKUP(INDIRECT(ADDRESS(2,COLUMN())),OFFSET($BN$2,0,0,ROW()-1,60),ROW()-1,FALSE))</f>
        <v>-177.233</v>
      </c>
      <c r="M226">
        <f ca="1">IF(AND(ISNUMBER($M$464),$B$258=1),$M$464,HLOOKUP(INDIRECT(ADDRESS(2,COLUMN())),OFFSET($BN$2,0,0,ROW()-1,60),ROW()-1,FALSE))</f>
        <v>-59.295999999999999</v>
      </c>
      <c r="N226">
        <f ca="1">IF(AND(ISNUMBER($N$464),$B$258=1),$N$464,HLOOKUP(INDIRECT(ADDRESS(2,COLUMN())),OFFSET($BN$2,0,0,ROW()-1,60),ROW()-1,FALSE))</f>
        <v>-298.46899999999999</v>
      </c>
      <c r="O226">
        <f ca="1">IF(AND(ISNUMBER($O$464),$B$258=1),$O$464,HLOOKUP(INDIRECT(ADDRESS(2,COLUMN())),OFFSET($BN$2,0,0,ROW()-1,60),ROW()-1,FALSE))</f>
        <v>132.83799999999999</v>
      </c>
      <c r="P226">
        <f ca="1">IF(AND(ISNUMBER($P$464),$B$258=1),$P$464,HLOOKUP(INDIRECT(ADDRESS(2,COLUMN())),OFFSET($BN$2,0,0,ROW()-1,60),ROW()-1,FALSE))</f>
        <v>11.61</v>
      </c>
      <c r="Q226">
        <f ca="1">IF(AND(ISNUMBER($Q$464),$B$258=1),$Q$464,HLOOKUP(INDIRECT(ADDRESS(2,COLUMN())),OFFSET($BN$2,0,0,ROW()-1,60),ROW()-1,FALSE))</f>
        <v>-93.433000000000007</v>
      </c>
      <c r="R226">
        <f ca="1">IF(AND(ISNUMBER($R$464),$B$258=1),$R$464,HLOOKUP(INDIRECT(ADDRESS(2,COLUMN())),OFFSET($BN$2,0,0,ROW()-1,60),ROW()-1,FALSE))</f>
        <v>91.39</v>
      </c>
      <c r="S226">
        <f ca="1">IF(AND(ISNUMBER($S$464),$B$258=1),$S$464,HLOOKUP(INDIRECT(ADDRESS(2,COLUMN())),OFFSET($BN$2,0,0,ROW()-1,60),ROW()-1,FALSE))</f>
        <v>-11.476000000000001</v>
      </c>
      <c r="T226">
        <f ca="1">IF(AND(ISNUMBER($T$464),$B$258=1),$T$464,HLOOKUP(INDIRECT(ADDRESS(2,COLUMN())),OFFSET($BN$2,0,0,ROW()-1,60),ROW()-1,FALSE))</f>
        <v>63.017000000000003</v>
      </c>
      <c r="U226">
        <f ca="1">IF(AND(ISNUMBER($U$464),$B$258=1),$U$464,HLOOKUP(INDIRECT(ADDRESS(2,COLUMN())),OFFSET($BN$2,0,0,ROW()-1,60),ROW()-1,FALSE))</f>
        <v>66.370999999999995</v>
      </c>
      <c r="V226">
        <f ca="1">IF(AND(ISNUMBER($V$464),$B$258=1),$V$464,HLOOKUP(INDIRECT(ADDRESS(2,COLUMN())),OFFSET($BN$2,0,0,ROW()-1,60),ROW()-1,FALSE))</f>
        <v>70.022000000000006</v>
      </c>
      <c r="W226">
        <f ca="1">IF(AND(ISNUMBER($W$464),$B$258=1),$W$464,HLOOKUP(INDIRECT(ADDRESS(2,COLUMN())),OFFSET($BN$2,0,0,ROW()-1,60),ROW()-1,FALSE))</f>
        <v>42.168999999999997</v>
      </c>
      <c r="X226">
        <f ca="1">IF(AND(ISNUMBER($X$464),$B$258=1),$X$464,HLOOKUP(INDIRECT(ADDRESS(2,COLUMN())),OFFSET($BN$2,0,0,ROW()-1,60),ROW()-1,FALSE))</f>
        <v>69.897000000000006</v>
      </c>
      <c r="Y226">
        <f ca="1">IF(AND(ISNUMBER($Y$464),$B$258=1),$Y$464,HLOOKUP(INDIRECT(ADDRESS(2,COLUMN())),OFFSET($BN$2,0,0,ROW()-1,60),ROW()-1,FALSE))</f>
        <v>54.749000000000002</v>
      </c>
      <c r="Z226">
        <f ca="1">IF(AND(ISNUMBER($Z$464),$B$258=1),$Z$464,HLOOKUP(INDIRECT(ADDRESS(2,COLUMN())),OFFSET($BN$2,0,0,ROW()-1,60),ROW()-1,FALSE))</f>
        <v>49.271999999999998</v>
      </c>
      <c r="AA226">
        <f ca="1">IF(AND(ISNUMBER($AA$464),$B$258=1),$AA$464,HLOOKUP(INDIRECT(ADDRESS(2,COLUMN())),OFFSET($BN$2,0,0,ROW()-1,60),ROW()-1,FALSE))</f>
        <v>-121.988</v>
      </c>
      <c r="AB226">
        <f ca="1">IF(AND(ISNUMBER($AB$464),$B$258=1),$AB$464,HLOOKUP(INDIRECT(ADDRESS(2,COLUMN())),OFFSET($BN$2,0,0,ROW()-1,60),ROW()-1,FALSE))</f>
        <v>-149.095</v>
      </c>
      <c r="AC226">
        <f ca="1">IF(AND(ISNUMBER($AC$464),$B$258=1),$AC$464,HLOOKUP(INDIRECT(ADDRESS(2,COLUMN())),OFFSET($BN$2,0,0,ROW()-1,60),ROW()-1,FALSE))</f>
        <v>13.587999999999999</v>
      </c>
      <c r="AD226">
        <f ca="1">IF(AND(ISNUMBER($AD$464),$B$258=1),$AD$464,HLOOKUP(INDIRECT(ADDRESS(2,COLUMN())),OFFSET($BN$2,0,0,ROW()-1,60),ROW()-1,FALSE))</f>
        <v>39.707000000000001</v>
      </c>
      <c r="AE226">
        <f ca="1">IF(AND(ISNUMBER($AE$464),$B$258=1),$AE$464,HLOOKUP(INDIRECT(ADDRESS(2,COLUMN())),OFFSET($BN$2,0,0,ROW()-1,60),ROW()-1,FALSE))</f>
        <v>-53.438000000000002</v>
      </c>
      <c r="AF226">
        <f ca="1">IF(AND(ISNUMBER($AF$464),$B$258=1),$AF$464,HLOOKUP(INDIRECT(ADDRESS(2,COLUMN())),OFFSET($BN$2,0,0,ROW()-1,60),ROW()-1,FALSE))</f>
        <v>47.972000000000001</v>
      </c>
      <c r="AG226">
        <f ca="1">IF(AND(ISNUMBER($AG$464),$B$258=1),$AG$464,HLOOKUP(INDIRECT(ADDRESS(2,COLUMN())),OFFSET($BN$2,0,0,ROW()-1,60),ROW()-1,FALSE))</f>
        <v>34.555</v>
      </c>
      <c r="AH226">
        <f ca="1">IF(AND(ISNUMBER($AH$464),$B$258=1),$AH$464,HLOOKUP(INDIRECT(ADDRESS(2,COLUMN())),OFFSET($BN$2,0,0,ROW()-1,60),ROW()-1,FALSE))</f>
        <v>34.381</v>
      </c>
      <c r="AI226">
        <f ca="1">IF(AND(ISNUMBER($AI$464),$B$258=1),$AI$464,HLOOKUP(INDIRECT(ADDRESS(2,COLUMN())),OFFSET($BN$2,0,0,ROW()-1,60),ROW()-1,FALSE))</f>
        <v>36.670999999999999</v>
      </c>
      <c r="AJ226">
        <f ca="1">IF(AND(ISNUMBER($AJ$464),$B$258=1),$AJ$464,HLOOKUP(INDIRECT(ADDRESS(2,COLUMN())),OFFSET($BN$2,0,0,ROW()-1,60),ROW()-1,FALSE))</f>
        <v>35.850999999999999</v>
      </c>
      <c r="AK226">
        <f ca="1">IF(AND(ISNUMBER($AK$464),$B$258=1),$AK$464,HLOOKUP(INDIRECT(ADDRESS(2,COLUMN())),OFFSET($BN$2,0,0,ROW()-1,60),ROW()-1,FALSE))</f>
        <v>-323.90300000000002</v>
      </c>
      <c r="AL226">
        <f ca="1">IF(AND(ISNUMBER($AL$464),$B$258=1),$AL$464,HLOOKUP(INDIRECT(ADDRESS(2,COLUMN())),OFFSET($BN$2,0,0,ROW()-1,60),ROW()-1,FALSE))</f>
        <v>29.658000000000001</v>
      </c>
      <c r="AM226">
        <f ca="1">IF(AND(ISNUMBER($AM$464),$B$258=1),$AM$464,HLOOKUP(INDIRECT(ADDRESS(2,COLUMN())),OFFSET($BN$2,0,0,ROW()-1,60),ROW()-1,FALSE))</f>
        <v>-135.36500000000001</v>
      </c>
      <c r="AN226">
        <f ca="1">IF(AND(ISNUMBER($AN$464),$B$258=1),$AN$464,HLOOKUP(INDIRECT(ADDRESS(2,COLUMN())),OFFSET($BN$2,0,0,ROW()-1,60),ROW()-1,FALSE))</f>
        <v>26.382999999999999</v>
      </c>
      <c r="AO226">
        <f ca="1">IF(AND(ISNUMBER($AO$464),$B$258=1),$AO$464,HLOOKUP(INDIRECT(ADDRESS(2,COLUMN())),OFFSET($BN$2,0,0,ROW()-1,60),ROW()-1,FALSE))</f>
        <v>31.135000000000002</v>
      </c>
      <c r="AP226">
        <f ca="1">IF(AND(ISNUMBER($AP$464),$B$258=1),$AP$464,HLOOKUP(INDIRECT(ADDRESS(2,COLUMN())),OFFSET($BN$2,0,0,ROW()-1,60),ROW()-1,FALSE))</f>
        <v>42.277000000000001</v>
      </c>
      <c r="AQ226">
        <f ca="1">IF(AND(ISNUMBER($AQ$464),$B$258=1),$AQ$464,HLOOKUP(INDIRECT(ADDRESS(2,COLUMN())),OFFSET($BN$2,0,0,ROW()-1,60),ROW()-1,FALSE))</f>
        <v>-26.498000000000001</v>
      </c>
      <c r="AR226">
        <f ca="1">IF(AND(ISNUMBER($AR$464),$B$258=1),$AR$464,HLOOKUP(INDIRECT(ADDRESS(2,COLUMN())),OFFSET($BN$2,0,0,ROW()-1,60),ROW()-1,FALSE))</f>
        <v>-38.691000000000003</v>
      </c>
      <c r="AS226">
        <f ca="1">IF(AND(ISNUMBER($AS$464),$B$258=1),$AS$464,HLOOKUP(INDIRECT(ADDRESS(2,COLUMN())),OFFSET($BN$2,0,0,ROW()-1,60),ROW()-1,FALSE))</f>
        <v>-25.536999999999999</v>
      </c>
      <c r="AT226">
        <f ca="1">IF(AND(ISNUMBER($AT$464),$B$258=1),$AT$464,HLOOKUP(INDIRECT(ADDRESS(2,COLUMN())),OFFSET($BN$2,0,0,ROW()-1,60),ROW()-1,FALSE))</f>
        <v>17.943000000000001</v>
      </c>
      <c r="AU226">
        <f ca="1">IF(AND(ISNUMBER($AU$464),$B$258=1),$AU$464,HLOOKUP(INDIRECT(ADDRESS(2,COLUMN())),OFFSET($BN$2,0,0,ROW()-1,60),ROW()-1,FALSE))</f>
        <v>14.481</v>
      </c>
      <c r="AV226">
        <f ca="1">IF(AND(ISNUMBER($AV$464),$B$258=1),$AV$464,HLOOKUP(INDIRECT(ADDRESS(2,COLUMN())),OFFSET($BN$2,0,0,ROW()-1,60),ROW()-1,FALSE))</f>
        <v>-16.702999999999999</v>
      </c>
      <c r="AW226">
        <f ca="1">IF(AND(ISNUMBER($AW$464),$B$258=1),$AW$464,HLOOKUP(INDIRECT(ADDRESS(2,COLUMN())),OFFSET($BN$2,0,0,ROW()-1,60),ROW()-1,FALSE))</f>
        <v>18.933</v>
      </c>
      <c r="AX226">
        <f ca="1">IF(AND(ISNUMBER($AX$464),$B$258=1),$AX$464,HLOOKUP(INDIRECT(ADDRESS(2,COLUMN())),OFFSET($BN$2,0,0,ROW()-1,60),ROW()-1,FALSE))</f>
        <v>19.777999999999999</v>
      </c>
      <c r="AY226">
        <f ca="1">IF(AND(ISNUMBER($AY$464),$B$258=1),$AY$464,HLOOKUP(INDIRECT(ADDRESS(2,COLUMN())),OFFSET($BN$2,0,0,ROW()-1,60),ROW()-1,FALSE))</f>
        <v>15.739000000000001</v>
      </c>
      <c r="AZ226">
        <f ca="1">IF(AND(ISNUMBER($AZ$464),$B$258=1),$AZ$464,HLOOKUP(INDIRECT(ADDRESS(2,COLUMN())),OFFSET($BN$2,0,0,ROW()-1,60),ROW()-1,FALSE))</f>
        <v>-176.69399999999999</v>
      </c>
      <c r="BA226">
        <f ca="1">IF(AND(ISNUMBER($BA$464),$B$258=1),$BA$464,HLOOKUP(INDIRECT(ADDRESS(2,COLUMN())),OFFSET($BN$2,0,0,ROW()-1,60),ROW()-1,FALSE))</f>
        <v>15.683</v>
      </c>
      <c r="BB226">
        <f ca="1">IF(AND(ISNUMBER($BB$464),$B$258=1),$BB$464,HLOOKUP(INDIRECT(ADDRESS(2,COLUMN())),OFFSET($BN$2,0,0,ROW()-1,60),ROW()-1,FALSE))</f>
        <v>22.370999999999999</v>
      </c>
      <c r="BC226">
        <f ca="1">IF(AND(ISNUMBER($BC$464),$B$258=1),$BC$464,HLOOKUP(INDIRECT(ADDRESS(2,COLUMN())),OFFSET($BN$2,0,0,ROW()-1,60),ROW()-1,FALSE))</f>
        <v>-110.273</v>
      </c>
      <c r="BD226">
        <f ca="1">IF(AND(ISNUMBER($BD$464),$B$258=1),$BD$464,HLOOKUP(INDIRECT(ADDRESS(2,COLUMN())),OFFSET($BN$2,0,0,ROW()-1,60),ROW()-1,FALSE))</f>
        <v>19.489999999999998</v>
      </c>
      <c r="BE226">
        <f ca="1">IF(AND(ISNUMBER($BE$464),$B$258=1),$BE$464,HLOOKUP(INDIRECT(ADDRESS(2,COLUMN())),OFFSET($BN$2,0,0,ROW()-1,60),ROW()-1,FALSE))</f>
        <v>-50.835999999999999</v>
      </c>
      <c r="BF226">
        <f ca="1">IF(AND(ISNUMBER($BF$464),$B$258=1),$BF$464,HLOOKUP(INDIRECT(ADDRESS(2,COLUMN())),OFFSET($BN$2,0,0,ROW()-1,60),ROW()-1,FALSE))</f>
        <v>-36.840000000000003</v>
      </c>
      <c r="BG226">
        <f ca="1">IF(AND(ISNUMBER($BG$464),$B$258=1),$BG$464,HLOOKUP(INDIRECT(ADDRESS(2,COLUMN())),OFFSET($BN$2,0,0,ROW()-1,60),ROW()-1,FALSE))</f>
        <v>-63.421999999999997</v>
      </c>
      <c r="BH226">
        <f ca="1">IF(AND(ISNUMBER($BH$464),$B$258=1),$BH$464,HLOOKUP(INDIRECT(ADDRESS(2,COLUMN())),OFFSET($BN$2,0,0,ROW()-1,60),ROW()-1,FALSE))</f>
        <v>9.8229999540000001</v>
      </c>
      <c r="BI226">
        <f ca="1">IF(AND(ISNUMBER($BI$464),$B$258=1),$BI$464,HLOOKUP(INDIRECT(ADDRESS(2,COLUMN())),OFFSET($BN$2,0,0,ROW()-1,60),ROW()-1,FALSE))</f>
        <v>-17.74600053</v>
      </c>
      <c r="BJ226">
        <f ca="1">IF(AND(ISNUMBER($BJ$464),$B$258=1),$BJ$464,HLOOKUP(INDIRECT(ADDRESS(2,COLUMN())),OFFSET($BN$2,0,0,ROW()-1,60),ROW()-1,FALSE))</f>
        <v>5.8020001350000001</v>
      </c>
      <c r="BK226">
        <f ca="1">IF(AND(ISNUMBER($BK$464),$B$258=1),$BK$464,HLOOKUP(INDIRECT(ADDRESS(2,COLUMN())),OFFSET($BN$2,0,0,ROW()-1,60),ROW()-1,FALSE))</f>
        <v>13.02</v>
      </c>
      <c r="BL226">
        <f ca="1">IF(AND(ISNUMBER($BL$464),$B$258=1),$BL$464,HLOOKUP(INDIRECT(ADDRESS(2,COLUMN())),OFFSET($BN$2,0,0,ROW()-1,60),ROW()-1,FALSE))</f>
        <v>41.929000019999997</v>
      </c>
      <c r="BM226">
        <f ca="1">IF(AND(ISNUMBER($BM$464),$B$258=1),$BM$464,HLOOKUP(INDIRECT(ADDRESS(2,COLUMN())),OFFSET($BN$2,0,0,ROW()-1,60),ROW()-1,FALSE))</f>
        <v>15.65800059</v>
      </c>
      <c r="BN226" t="str">
        <f>""</f>
        <v/>
      </c>
      <c r="BO226">
        <f>94.796</f>
        <v>94.796000000000006</v>
      </c>
      <c r="BP226">
        <f>-64.999</f>
        <v>-64.998999999999995</v>
      </c>
      <c r="BQ226">
        <f>19.583</f>
        <v>19.582999999999998</v>
      </c>
      <c r="BR226">
        <f>98.165</f>
        <v>98.165000000000006</v>
      </c>
      <c r="BS226">
        <f>159.491</f>
        <v>159.49100000000001</v>
      </c>
      <c r="BT226">
        <f>-177.233</f>
        <v>-177.233</v>
      </c>
      <c r="BU226">
        <f>-59.296</f>
        <v>-59.295999999999999</v>
      </c>
      <c r="BV226">
        <f>-298.469</f>
        <v>-298.46899999999999</v>
      </c>
      <c r="BW226">
        <f>132.838</f>
        <v>132.83799999999999</v>
      </c>
      <c r="BX226">
        <f>11.61</f>
        <v>11.61</v>
      </c>
      <c r="BY226">
        <f>-93.433</f>
        <v>-93.433000000000007</v>
      </c>
      <c r="BZ226">
        <f>91.39</f>
        <v>91.39</v>
      </c>
      <c r="CA226">
        <f>-11.476</f>
        <v>-11.476000000000001</v>
      </c>
      <c r="CB226">
        <f>63.017</f>
        <v>63.017000000000003</v>
      </c>
      <c r="CC226">
        <f>66.371</f>
        <v>66.370999999999995</v>
      </c>
      <c r="CD226">
        <f>70.022</f>
        <v>70.022000000000006</v>
      </c>
      <c r="CE226">
        <f>42.169</f>
        <v>42.168999999999997</v>
      </c>
      <c r="CF226">
        <f>69.897</f>
        <v>69.897000000000006</v>
      </c>
      <c r="CG226">
        <f>54.749</f>
        <v>54.749000000000002</v>
      </c>
      <c r="CH226">
        <f>49.272</f>
        <v>49.271999999999998</v>
      </c>
      <c r="CI226">
        <f>-121.988</f>
        <v>-121.988</v>
      </c>
      <c r="CJ226">
        <f>-149.095</f>
        <v>-149.095</v>
      </c>
      <c r="CK226">
        <f>13.588</f>
        <v>13.587999999999999</v>
      </c>
      <c r="CL226">
        <f>39.707</f>
        <v>39.707000000000001</v>
      </c>
      <c r="CM226">
        <f>-53.438</f>
        <v>-53.438000000000002</v>
      </c>
      <c r="CN226">
        <f>47.972</f>
        <v>47.972000000000001</v>
      </c>
      <c r="CO226">
        <f>34.555</f>
        <v>34.555</v>
      </c>
      <c r="CP226">
        <f>34.381</f>
        <v>34.381</v>
      </c>
      <c r="CQ226">
        <f>36.671</f>
        <v>36.670999999999999</v>
      </c>
      <c r="CR226">
        <f>35.851</f>
        <v>35.850999999999999</v>
      </c>
      <c r="CS226">
        <f>-323.903</f>
        <v>-323.90300000000002</v>
      </c>
      <c r="CT226">
        <f>29.658</f>
        <v>29.658000000000001</v>
      </c>
      <c r="CU226">
        <f>-135.365</f>
        <v>-135.36500000000001</v>
      </c>
      <c r="CV226">
        <f>26.383</f>
        <v>26.382999999999999</v>
      </c>
      <c r="CW226">
        <f>31.135</f>
        <v>31.135000000000002</v>
      </c>
      <c r="CX226">
        <f>42.277</f>
        <v>42.277000000000001</v>
      </c>
      <c r="CY226">
        <f>-26.498</f>
        <v>-26.498000000000001</v>
      </c>
      <c r="CZ226">
        <f>-38.691</f>
        <v>-38.691000000000003</v>
      </c>
      <c r="DA226">
        <f>-25.537</f>
        <v>-25.536999999999999</v>
      </c>
      <c r="DB226">
        <f>17.943</f>
        <v>17.943000000000001</v>
      </c>
      <c r="DC226">
        <f>14.481</f>
        <v>14.481</v>
      </c>
      <c r="DD226">
        <f>-16.703</f>
        <v>-16.702999999999999</v>
      </c>
      <c r="DE226">
        <f>18.933</f>
        <v>18.933</v>
      </c>
      <c r="DF226">
        <f>19.778</f>
        <v>19.777999999999999</v>
      </c>
      <c r="DG226">
        <f>15.739</f>
        <v>15.739000000000001</v>
      </c>
      <c r="DH226">
        <f>-176.694</f>
        <v>-176.69399999999999</v>
      </c>
      <c r="DI226">
        <f>15.683</f>
        <v>15.683</v>
      </c>
      <c r="DJ226">
        <f>22.371</f>
        <v>22.370999999999999</v>
      </c>
      <c r="DK226">
        <f>-110.273</f>
        <v>-110.273</v>
      </c>
      <c r="DL226">
        <f>19.49</f>
        <v>19.489999999999998</v>
      </c>
      <c r="DM226">
        <f>-50.836</f>
        <v>-50.835999999999999</v>
      </c>
      <c r="DN226">
        <f>-36.84</f>
        <v>-36.840000000000003</v>
      </c>
      <c r="DO226">
        <f>-63.422</f>
        <v>-63.421999999999997</v>
      </c>
      <c r="DP226">
        <f>9.822999954</f>
        <v>9.8229999540000001</v>
      </c>
      <c r="DQ226">
        <f>-17.74600053</f>
        <v>-17.74600053</v>
      </c>
      <c r="DR226">
        <f>5.802000135</f>
        <v>5.8020001350000001</v>
      </c>
      <c r="DS226">
        <f>13.02</f>
        <v>13.02</v>
      </c>
      <c r="DT226">
        <f>41.92900002</f>
        <v>41.929000019999997</v>
      </c>
      <c r="DU226">
        <f>15.65800059</f>
        <v>15.65800059</v>
      </c>
    </row>
    <row r="227" spans="1:125">
      <c r="A227" t="str">
        <f>"    Sabra Health Care REIT Inc"</f>
        <v xml:space="preserve">    Sabra Health Care REIT Inc</v>
      </c>
      <c r="B227" t="str">
        <f>"SBRA US Equity"</f>
        <v>SBRA US Equity</v>
      </c>
      <c r="C227" t="str">
        <f t="shared" si="54"/>
        <v>RR008</v>
      </c>
      <c r="D227" t="str">
        <f t="shared" si="55"/>
        <v>CF_FREE_CASH_FLOW</v>
      </c>
      <c r="E227" t="str">
        <f t="shared" si="56"/>
        <v>动态</v>
      </c>
      <c r="F227" t="str">
        <f ca="1">IF(AND(ISNUMBER($F$465),$B$258=1),$F$465,HLOOKUP(INDIRECT(ADDRESS(2,COLUMN())),OFFSET($BN$2,0,0,ROW()-1,60),ROW()-1,FALSE))</f>
        <v/>
      </c>
      <c r="G227">
        <f ca="1">IF(AND(ISNUMBER($G$465),$B$258=1),$G$465,HLOOKUP(INDIRECT(ADDRESS(2,COLUMN())),OFFSET($BN$2,0,0,ROW()-1,60),ROW()-1,FALSE))</f>
        <v>79.994</v>
      </c>
      <c r="H227">
        <f ca="1">IF(AND(ISNUMBER($H$465),$B$258=1),$H$465,HLOOKUP(INDIRECT(ADDRESS(2,COLUMN())),OFFSET($BN$2,0,0,ROW()-1,60),ROW()-1,FALSE))</f>
        <v>-6.0389999999999997</v>
      </c>
      <c r="I227">
        <f ca="1">IF(AND(ISNUMBER($I$465),$B$258=1),$I$465,HLOOKUP(INDIRECT(ADDRESS(2,COLUMN())),OFFSET($BN$2,0,0,ROW()-1,60),ROW()-1,FALSE))</f>
        <v>21.658999999999999</v>
      </c>
      <c r="J227">
        <f ca="1">IF(AND(ISNUMBER($J$465),$B$258=1),$J$465,HLOOKUP(INDIRECT(ADDRESS(2,COLUMN())),OFFSET($BN$2,0,0,ROW()-1,60),ROW()-1,FALSE))</f>
        <v>30.917999999999999</v>
      </c>
      <c r="K227">
        <f ca="1">IF(AND(ISNUMBER($K$465),$B$258=1),$K$465,HLOOKUP(INDIRECT(ADDRESS(2,COLUMN())),OFFSET($BN$2,0,0,ROW()-1,60),ROW()-1,FALSE))</f>
        <v>42.820999999999998</v>
      </c>
      <c r="L227">
        <f ca="1">IF(AND(ISNUMBER($L$465),$B$258=1),$L$465,HLOOKUP(INDIRECT(ADDRESS(2,COLUMN())),OFFSET($BN$2,0,0,ROW()-1,60),ROW()-1,FALSE))</f>
        <v>39.295000000000002</v>
      </c>
      <c r="M227">
        <f ca="1">IF(AND(ISNUMBER($M$465),$B$258=1),$M$465,HLOOKUP(INDIRECT(ADDRESS(2,COLUMN())),OFFSET($BN$2,0,0,ROW()-1,60),ROW()-1,FALSE))</f>
        <v>69.367999999999995</v>
      </c>
      <c r="N227">
        <f ca="1">IF(AND(ISNUMBER($N$465),$B$258=1),$N$465,HLOOKUP(INDIRECT(ADDRESS(2,COLUMN())),OFFSET($BN$2,0,0,ROW()-1,60),ROW()-1,FALSE))</f>
        <v>24.251999999999999</v>
      </c>
      <c r="O227">
        <f ca="1">IF(AND(ISNUMBER($O$465),$B$258=1),$O$465,HLOOKUP(INDIRECT(ADDRESS(2,COLUMN())),OFFSET($BN$2,0,0,ROW()-1,60),ROW()-1,FALSE))</f>
        <v>39.893000000000001</v>
      </c>
      <c r="P227">
        <f ca="1">IF(AND(ISNUMBER($P$465),$B$258=1),$P$465,HLOOKUP(INDIRECT(ADDRESS(2,COLUMN())),OFFSET($BN$2,0,0,ROW()-1,60),ROW()-1,FALSE))</f>
        <v>27.245000000000001</v>
      </c>
      <c r="Q227">
        <f ca="1">IF(AND(ISNUMBER($Q$465),$B$258=1),$Q$465,HLOOKUP(INDIRECT(ADDRESS(2,COLUMN())),OFFSET($BN$2,0,0,ROW()-1,60),ROW()-1,FALSE))</f>
        <v>26.248000000000001</v>
      </c>
      <c r="R227">
        <f ca="1">IF(AND(ISNUMBER($R$465),$B$258=1),$R$465,HLOOKUP(INDIRECT(ADDRESS(2,COLUMN())),OFFSET($BN$2,0,0,ROW()-1,60),ROW()-1,FALSE))</f>
        <v>24.026</v>
      </c>
      <c r="S227">
        <f ca="1">IF(AND(ISNUMBER($S$465),$B$258=1),$S$465,HLOOKUP(INDIRECT(ADDRESS(2,COLUMN())),OFFSET($BN$2,0,0,ROW()-1,60),ROW()-1,FALSE))</f>
        <v>13.778</v>
      </c>
      <c r="T227">
        <f ca="1">IF(AND(ISNUMBER($T$465),$B$258=1),$T$465,HLOOKUP(INDIRECT(ADDRESS(2,COLUMN())),OFFSET($BN$2,0,0,ROW()-1,60),ROW()-1,FALSE))</f>
        <v>41.95</v>
      </c>
      <c r="U227">
        <f ca="1">IF(AND(ISNUMBER($U$465),$B$258=1),$U$465,HLOOKUP(INDIRECT(ADDRESS(2,COLUMN())),OFFSET($BN$2,0,0,ROW()-1,60),ROW()-1,FALSE))</f>
        <v>26.986999999999998</v>
      </c>
      <c r="V227">
        <f ca="1">IF(AND(ISNUMBER($V$465),$B$258=1),$V$465,HLOOKUP(INDIRECT(ADDRESS(2,COLUMN())),OFFSET($BN$2,0,0,ROW()-1,60),ROW()-1,FALSE))</f>
        <v>1.151</v>
      </c>
      <c r="W227">
        <f ca="1">IF(AND(ISNUMBER($W$465),$B$258=1),$W$465,HLOOKUP(INDIRECT(ADDRESS(2,COLUMN())),OFFSET($BN$2,0,0,ROW()-1,60),ROW()-1,FALSE))</f>
        <v>12.512</v>
      </c>
      <c r="X227">
        <f ca="1">IF(AND(ISNUMBER($X$465),$B$258=1),$X$465,HLOOKUP(INDIRECT(ADDRESS(2,COLUMN())),OFFSET($BN$2,0,0,ROW()-1,60),ROW()-1,FALSE))</f>
        <v>26.062999999999999</v>
      </c>
      <c r="Y227">
        <f ca="1">IF(AND(ISNUMBER($Y$465),$B$258=1),$Y$465,HLOOKUP(INDIRECT(ADDRESS(2,COLUMN())),OFFSET($BN$2,0,0,ROW()-1,60),ROW()-1,FALSE))</f>
        <v>1.157</v>
      </c>
      <c r="Z227">
        <f ca="1">IF(AND(ISNUMBER($Z$465),$B$258=1),$Z$465,HLOOKUP(INDIRECT(ADDRESS(2,COLUMN())),OFFSET($BN$2,0,0,ROW()-1,60),ROW()-1,FALSE))</f>
        <v>21.603000000000002</v>
      </c>
      <c r="AA227">
        <f ca="1">IF(AND(ISNUMBER($AA$465),$B$258=1),$AA$465,HLOOKUP(INDIRECT(ADDRESS(2,COLUMN())),OFFSET($BN$2,0,0,ROW()-1,60),ROW()-1,FALSE))</f>
        <v>8.343</v>
      </c>
      <c r="AB227">
        <f ca="1">IF(AND(ISNUMBER($AB$465),$B$258=1),$AB$465,HLOOKUP(INDIRECT(ADDRESS(2,COLUMN())),OFFSET($BN$2,0,0,ROW()-1,60),ROW()-1,FALSE))</f>
        <v>23.506</v>
      </c>
      <c r="AC227">
        <f ca="1">IF(AND(ISNUMBER($AC$465),$B$258=1),$AC$465,HLOOKUP(INDIRECT(ADDRESS(2,COLUMN())),OFFSET($BN$2,0,0,ROW()-1,60),ROW()-1,FALSE))</f>
        <v>7.149</v>
      </c>
      <c r="AD227">
        <f ca="1">IF(AND(ISNUMBER($AD$465),$B$258=1),$AD$465,HLOOKUP(INDIRECT(ADDRESS(2,COLUMN())),OFFSET($BN$2,0,0,ROW()-1,60),ROW()-1,FALSE))</f>
        <v>16.207999999999998</v>
      </c>
      <c r="AE227">
        <f ca="1">IF(AND(ISNUMBER($AE$465),$B$258=1),$AE$465,HLOOKUP(INDIRECT(ADDRESS(2,COLUMN())),OFFSET($BN$2,0,0,ROW()-1,60),ROW()-1,FALSE))</f>
        <v>10.196</v>
      </c>
      <c r="AF227">
        <f ca="1">IF(AND(ISNUMBER($AF$465),$B$258=1),$AF$465,HLOOKUP(INDIRECT(ADDRESS(2,COLUMN())),OFFSET($BN$2,0,0,ROW()-1,60),ROW()-1,FALSE))</f>
        <v>16.581</v>
      </c>
      <c r="AG227">
        <f ca="1">IF(AND(ISNUMBER($AG$465),$B$258=1),$AG$465,HLOOKUP(INDIRECT(ADDRESS(2,COLUMN())),OFFSET($BN$2,0,0,ROW()-1,60),ROW()-1,FALSE))</f>
        <v>5.47</v>
      </c>
      <c r="AH227">
        <f ca="1">IF(AND(ISNUMBER($AH$465),$B$258=1),$AH$465,HLOOKUP(INDIRECT(ADDRESS(2,COLUMN())),OFFSET($BN$2,0,0,ROW()-1,60),ROW()-1,FALSE))</f>
        <v>12.372</v>
      </c>
      <c r="AI227" t="str">
        <f ca="1">IF(AND(ISNUMBER($AI$465),$B$258=1),$AI$465,HLOOKUP(INDIRECT(ADDRESS(2,COLUMN())),OFFSET($BN$2,0,0,ROW()-1,60),ROW()-1,FALSE))</f>
        <v/>
      </c>
      <c r="AJ227" t="str">
        <f ca="1">IF(AND(ISNUMBER($AJ$465),$B$258=1),$AJ$465,HLOOKUP(INDIRECT(ADDRESS(2,COLUMN())),OFFSET($BN$2,0,0,ROW()-1,60),ROW()-1,FALSE))</f>
        <v/>
      </c>
      <c r="AK227" t="str">
        <f ca="1">IF(AND(ISNUMBER($AK$465),$B$258=1),$AK$465,HLOOKUP(INDIRECT(ADDRESS(2,COLUMN())),OFFSET($BN$2,0,0,ROW()-1,60),ROW()-1,FALSE))</f>
        <v/>
      </c>
      <c r="AL227" t="str">
        <f ca="1">IF(AND(ISNUMBER($AL$465),$B$258=1),$AL$465,HLOOKUP(INDIRECT(ADDRESS(2,COLUMN())),OFFSET($BN$2,0,0,ROW()-1,60),ROW()-1,FALSE))</f>
        <v/>
      </c>
      <c r="AM227" t="str">
        <f ca="1">IF(AND(ISNUMBER($AM$465),$B$258=1),$AM$465,HLOOKUP(INDIRECT(ADDRESS(2,COLUMN())),OFFSET($BN$2,0,0,ROW()-1,60),ROW()-1,FALSE))</f>
        <v/>
      </c>
      <c r="AN227" t="str">
        <f ca="1">IF(AND(ISNUMBER($AN$465),$B$258=1),$AN$465,HLOOKUP(INDIRECT(ADDRESS(2,COLUMN())),OFFSET($BN$2,0,0,ROW()-1,60),ROW()-1,FALSE))</f>
        <v/>
      </c>
      <c r="AO227" t="str">
        <f ca="1">IF(AND(ISNUMBER($AO$465),$B$258=1),$AO$465,HLOOKUP(INDIRECT(ADDRESS(2,COLUMN())),OFFSET($BN$2,0,0,ROW()-1,60),ROW()-1,FALSE))</f>
        <v/>
      </c>
      <c r="AP227" t="str">
        <f ca="1">IF(AND(ISNUMBER($AP$465),$B$258=1),$AP$465,HLOOKUP(INDIRECT(ADDRESS(2,COLUMN())),OFFSET($BN$2,0,0,ROW()-1,60),ROW()-1,FALSE))</f>
        <v/>
      </c>
      <c r="AQ227" t="str">
        <f ca="1">IF(AND(ISNUMBER($AQ$465),$B$258=1),$AQ$465,HLOOKUP(INDIRECT(ADDRESS(2,COLUMN())),OFFSET($BN$2,0,0,ROW()-1,60),ROW()-1,FALSE))</f>
        <v/>
      </c>
      <c r="AR227" t="str">
        <f ca="1">IF(AND(ISNUMBER($AR$465),$B$258=1),$AR$465,HLOOKUP(INDIRECT(ADDRESS(2,COLUMN())),OFFSET($BN$2,0,0,ROW()-1,60),ROW()-1,FALSE))</f>
        <v/>
      </c>
      <c r="AS227" t="str">
        <f ca="1">IF(AND(ISNUMBER($AS$465),$B$258=1),$AS$465,HLOOKUP(INDIRECT(ADDRESS(2,COLUMN())),OFFSET($BN$2,0,0,ROW()-1,60),ROW()-1,FALSE))</f>
        <v/>
      </c>
      <c r="AT227" t="str">
        <f ca="1">IF(AND(ISNUMBER($AT$465),$B$258=1),$AT$465,HLOOKUP(INDIRECT(ADDRESS(2,COLUMN())),OFFSET($BN$2,0,0,ROW()-1,60),ROW()-1,FALSE))</f>
        <v/>
      </c>
      <c r="AU227" t="str">
        <f ca="1">IF(AND(ISNUMBER($AU$465),$B$258=1),$AU$465,HLOOKUP(INDIRECT(ADDRESS(2,COLUMN())),OFFSET($BN$2,0,0,ROW()-1,60),ROW()-1,FALSE))</f>
        <v/>
      </c>
      <c r="AV227" t="str">
        <f ca="1">IF(AND(ISNUMBER($AV$465),$B$258=1),$AV$465,HLOOKUP(INDIRECT(ADDRESS(2,COLUMN())),OFFSET($BN$2,0,0,ROW()-1,60),ROW()-1,FALSE))</f>
        <v/>
      </c>
      <c r="AW227" t="str">
        <f ca="1">IF(AND(ISNUMBER($AW$465),$B$258=1),$AW$465,HLOOKUP(INDIRECT(ADDRESS(2,COLUMN())),OFFSET($BN$2,0,0,ROW()-1,60),ROW()-1,FALSE))</f>
        <v/>
      </c>
      <c r="AX227" t="str">
        <f ca="1">IF(AND(ISNUMBER($AX$465),$B$258=1),$AX$465,HLOOKUP(INDIRECT(ADDRESS(2,COLUMN())),OFFSET($BN$2,0,0,ROW()-1,60),ROW()-1,FALSE))</f>
        <v/>
      </c>
      <c r="AY227" t="str">
        <f ca="1">IF(AND(ISNUMBER($AY$465),$B$258=1),$AY$465,HLOOKUP(INDIRECT(ADDRESS(2,COLUMN())),OFFSET($BN$2,0,0,ROW()-1,60),ROW()-1,FALSE))</f>
        <v/>
      </c>
      <c r="AZ227" t="str">
        <f ca="1">IF(AND(ISNUMBER($AZ$465),$B$258=1),$AZ$465,HLOOKUP(INDIRECT(ADDRESS(2,COLUMN())),OFFSET($BN$2,0,0,ROW()-1,60),ROW()-1,FALSE))</f>
        <v/>
      </c>
      <c r="BA227" t="str">
        <f ca="1">IF(AND(ISNUMBER($BA$465),$B$258=1),$BA$465,HLOOKUP(INDIRECT(ADDRESS(2,COLUMN())),OFFSET($BN$2,0,0,ROW()-1,60),ROW()-1,FALSE))</f>
        <v/>
      </c>
      <c r="BB227" t="str">
        <f ca="1">IF(AND(ISNUMBER($BB$465),$B$258=1),$BB$465,HLOOKUP(INDIRECT(ADDRESS(2,COLUMN())),OFFSET($BN$2,0,0,ROW()-1,60),ROW()-1,FALSE))</f>
        <v/>
      </c>
      <c r="BC227" t="str">
        <f ca="1">IF(AND(ISNUMBER($BC$465),$B$258=1),$BC$465,HLOOKUP(INDIRECT(ADDRESS(2,COLUMN())),OFFSET($BN$2,0,0,ROW()-1,60),ROW()-1,FALSE))</f>
        <v/>
      </c>
      <c r="BD227" t="str">
        <f ca="1">IF(AND(ISNUMBER($BD$465),$B$258=1),$BD$465,HLOOKUP(INDIRECT(ADDRESS(2,COLUMN())),OFFSET($BN$2,0,0,ROW()-1,60),ROW()-1,FALSE))</f>
        <v/>
      </c>
      <c r="BE227" t="str">
        <f ca="1">IF(AND(ISNUMBER($BE$465),$B$258=1),$BE$465,HLOOKUP(INDIRECT(ADDRESS(2,COLUMN())),OFFSET($BN$2,0,0,ROW()-1,60),ROW()-1,FALSE))</f>
        <v/>
      </c>
      <c r="BF227" t="str">
        <f ca="1">IF(AND(ISNUMBER($BF$465),$B$258=1),$BF$465,HLOOKUP(INDIRECT(ADDRESS(2,COLUMN())),OFFSET($BN$2,0,0,ROW()-1,60),ROW()-1,FALSE))</f>
        <v/>
      </c>
      <c r="BG227" t="str">
        <f ca="1">IF(AND(ISNUMBER($BG$465),$B$258=1),$BG$465,HLOOKUP(INDIRECT(ADDRESS(2,COLUMN())),OFFSET($BN$2,0,0,ROW()-1,60),ROW()-1,FALSE))</f>
        <v/>
      </c>
      <c r="BH227" t="str">
        <f ca="1">IF(AND(ISNUMBER($BH$465),$B$258=1),$BH$465,HLOOKUP(INDIRECT(ADDRESS(2,COLUMN())),OFFSET($BN$2,0,0,ROW()-1,60),ROW()-1,FALSE))</f>
        <v/>
      </c>
      <c r="BI227" t="str">
        <f ca="1">IF(AND(ISNUMBER($BI$465),$B$258=1),$BI$465,HLOOKUP(INDIRECT(ADDRESS(2,COLUMN())),OFFSET($BN$2,0,0,ROW()-1,60),ROW()-1,FALSE))</f>
        <v/>
      </c>
      <c r="BJ227" t="str">
        <f ca="1">IF(AND(ISNUMBER($BJ$465),$B$258=1),$BJ$465,HLOOKUP(INDIRECT(ADDRESS(2,COLUMN())),OFFSET($BN$2,0,0,ROW()-1,60),ROW()-1,FALSE))</f>
        <v/>
      </c>
      <c r="BK227" t="str">
        <f ca="1">IF(AND(ISNUMBER($BK$465),$B$258=1),$BK$465,HLOOKUP(INDIRECT(ADDRESS(2,COLUMN())),OFFSET($BN$2,0,0,ROW()-1,60),ROW()-1,FALSE))</f>
        <v/>
      </c>
      <c r="BL227" t="str">
        <f ca="1">IF(AND(ISNUMBER($BL$465),$B$258=1),$BL$465,HLOOKUP(INDIRECT(ADDRESS(2,COLUMN())),OFFSET($BN$2,0,0,ROW()-1,60),ROW()-1,FALSE))</f>
        <v/>
      </c>
      <c r="BM227" t="str">
        <f ca="1">IF(AND(ISNUMBER($BM$465),$B$258=1),$BM$465,HLOOKUP(INDIRECT(ADDRESS(2,COLUMN())),OFFSET($BN$2,0,0,ROW()-1,60),ROW()-1,FALSE))</f>
        <v/>
      </c>
      <c r="BN227" t="str">
        <f>""</f>
        <v/>
      </c>
      <c r="BO227">
        <f>79.994</f>
        <v>79.994</v>
      </c>
      <c r="BP227">
        <f>-6.039</f>
        <v>-6.0389999999999997</v>
      </c>
      <c r="BQ227">
        <f>21.659</f>
        <v>21.658999999999999</v>
      </c>
      <c r="BR227">
        <f>30.918</f>
        <v>30.917999999999999</v>
      </c>
      <c r="BS227">
        <f>42.821</f>
        <v>42.820999999999998</v>
      </c>
      <c r="BT227">
        <f>39.295</f>
        <v>39.295000000000002</v>
      </c>
      <c r="BU227">
        <f>69.368</f>
        <v>69.367999999999995</v>
      </c>
      <c r="BV227">
        <f>24.252</f>
        <v>24.251999999999999</v>
      </c>
      <c r="BW227">
        <f>39.893</f>
        <v>39.893000000000001</v>
      </c>
      <c r="BX227">
        <f>27.245</f>
        <v>27.245000000000001</v>
      </c>
      <c r="BY227">
        <f>26.248</f>
        <v>26.248000000000001</v>
      </c>
      <c r="BZ227">
        <f>24.026</f>
        <v>24.026</v>
      </c>
      <c r="CA227">
        <f>13.778</f>
        <v>13.778</v>
      </c>
      <c r="CB227">
        <f>41.95</f>
        <v>41.95</v>
      </c>
      <c r="CC227">
        <f>26.987</f>
        <v>26.986999999999998</v>
      </c>
      <c r="CD227">
        <f>1.151</f>
        <v>1.151</v>
      </c>
      <c r="CE227">
        <f>12.512</f>
        <v>12.512</v>
      </c>
      <c r="CF227">
        <f>26.063</f>
        <v>26.062999999999999</v>
      </c>
      <c r="CG227">
        <f>1.157</f>
        <v>1.157</v>
      </c>
      <c r="CH227">
        <f>21.603</f>
        <v>21.603000000000002</v>
      </c>
      <c r="CI227">
        <f>8.343</f>
        <v>8.343</v>
      </c>
      <c r="CJ227">
        <f>23.506</f>
        <v>23.506</v>
      </c>
      <c r="CK227">
        <f>7.149</f>
        <v>7.149</v>
      </c>
      <c r="CL227">
        <f>16.208</f>
        <v>16.207999999999998</v>
      </c>
      <c r="CM227">
        <f>10.196</f>
        <v>10.196</v>
      </c>
      <c r="CN227">
        <f>16.581</f>
        <v>16.581</v>
      </c>
      <c r="CO227">
        <f>5.47</f>
        <v>5.47</v>
      </c>
      <c r="CP227">
        <f>12.372</f>
        <v>12.372</v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>
      <c r="A228" t="str">
        <f>"    Senior Housing Properties Trus"</f>
        <v xml:space="preserve">    Senior Housing Properties Trus</v>
      </c>
      <c r="B228" t="str">
        <f>"SNH US Equity"</f>
        <v>SNH US Equity</v>
      </c>
      <c r="C228" t="str">
        <f t="shared" si="54"/>
        <v>RR008</v>
      </c>
      <c r="D228" t="str">
        <f t="shared" si="55"/>
        <v>CF_FREE_CASH_FLOW</v>
      </c>
      <c r="E228" t="str">
        <f t="shared" si="56"/>
        <v>动态</v>
      </c>
      <c r="F228" t="str">
        <f ca="1">IF(AND(ISNUMBER($F$466),$B$258=1),$F$466,HLOOKUP(INDIRECT(ADDRESS(2,COLUMN())),OFFSET($BN$2,0,0,ROW()-1,60),ROW()-1,FALSE))</f>
        <v/>
      </c>
      <c r="G228">
        <f ca="1">IF(AND(ISNUMBER($G$466),$B$258=1),$G$466,HLOOKUP(INDIRECT(ADDRESS(2,COLUMN())),OFFSET($BN$2,0,0,ROW()-1,60),ROW()-1,FALSE))</f>
        <v>-69.906000000000006</v>
      </c>
      <c r="H228">
        <f ca="1">IF(AND(ISNUMBER($H$466),$B$258=1),$H$466,HLOOKUP(INDIRECT(ADDRESS(2,COLUMN())),OFFSET($BN$2,0,0,ROW()-1,60),ROW()-1,FALSE))</f>
        <v>71.116</v>
      </c>
      <c r="I228">
        <f ca="1">IF(AND(ISNUMBER($I$466),$B$258=1),$I$466,HLOOKUP(INDIRECT(ADDRESS(2,COLUMN())),OFFSET($BN$2,0,0,ROW()-1,60),ROW()-1,FALSE))</f>
        <v>59.055999999999997</v>
      </c>
      <c r="J228">
        <f ca="1">IF(AND(ISNUMBER($J$466),$B$258=1),$J$466,HLOOKUP(INDIRECT(ADDRESS(2,COLUMN())),OFFSET($BN$2,0,0,ROW()-1,60),ROW()-1,FALSE))</f>
        <v>70.281000000000006</v>
      </c>
      <c r="K228">
        <f ca="1">IF(AND(ISNUMBER($K$466),$B$258=1),$K$466,HLOOKUP(INDIRECT(ADDRESS(2,COLUMN())),OFFSET($BN$2,0,0,ROW()-1,60),ROW()-1,FALSE))</f>
        <v>19.297999999999998</v>
      </c>
      <c r="L228">
        <f ca="1">IF(AND(ISNUMBER($L$466),$B$258=1),$L$466,HLOOKUP(INDIRECT(ADDRESS(2,COLUMN())),OFFSET($BN$2,0,0,ROW()-1,60),ROW()-1,FALSE))</f>
        <v>101.054</v>
      </c>
      <c r="M228">
        <f ca="1">IF(AND(ISNUMBER($M$466),$B$258=1),$M$466,HLOOKUP(INDIRECT(ADDRESS(2,COLUMN())),OFFSET($BN$2,0,0,ROW()-1,60),ROW()-1,FALSE))</f>
        <v>-96.266999999999996</v>
      </c>
      <c r="N228">
        <f ca="1">IF(AND(ISNUMBER($N$466),$B$258=1),$N$466,HLOOKUP(INDIRECT(ADDRESS(2,COLUMN())),OFFSET($BN$2,0,0,ROW()-1,60),ROW()-1,FALSE))</f>
        <v>75.986999999999995</v>
      </c>
      <c r="O228">
        <f ca="1">IF(AND(ISNUMBER($O$466),$B$258=1),$O$466,HLOOKUP(INDIRECT(ADDRESS(2,COLUMN())),OFFSET($BN$2,0,0,ROW()-1,60),ROW()-1,FALSE))</f>
        <v>68.260999999999996</v>
      </c>
      <c r="P228">
        <f ca="1">IF(AND(ISNUMBER($P$466),$B$258=1),$P$466,HLOOKUP(INDIRECT(ADDRESS(2,COLUMN())),OFFSET($BN$2,0,0,ROW()-1,60),ROW()-1,FALSE))</f>
        <v>54.616999999999997</v>
      </c>
      <c r="Q228">
        <f ca="1">IF(AND(ISNUMBER($Q$466),$B$258=1),$Q$466,HLOOKUP(INDIRECT(ADDRESS(2,COLUMN())),OFFSET($BN$2,0,0,ROW()-1,60),ROW()-1,FALSE))</f>
        <v>-506.68099999999998</v>
      </c>
      <c r="R228">
        <f ca="1">IF(AND(ISNUMBER($R$466),$B$258=1),$R$466,HLOOKUP(INDIRECT(ADDRESS(2,COLUMN())),OFFSET($BN$2,0,0,ROW()-1,60),ROW()-1,FALSE))</f>
        <v>-415.83800000000002</v>
      </c>
      <c r="S228">
        <f ca="1">IF(AND(ISNUMBER($S$466),$B$258=1),$S$466,HLOOKUP(INDIRECT(ADDRESS(2,COLUMN())),OFFSET($BN$2,0,0,ROW()-1,60),ROW()-1,FALSE))</f>
        <v>-21.109000000000002</v>
      </c>
      <c r="T228">
        <f ca="1">IF(AND(ISNUMBER($T$466),$B$258=1),$T$466,HLOOKUP(INDIRECT(ADDRESS(2,COLUMN())),OFFSET($BN$2,0,0,ROW()-1,60),ROW()-1,FALSE))</f>
        <v>83.158000000000001</v>
      </c>
      <c r="U228">
        <f ca="1">IF(AND(ISNUMBER($U$466),$B$258=1),$U$466,HLOOKUP(INDIRECT(ADDRESS(2,COLUMN())),OFFSET($BN$2,0,0,ROW()-1,60),ROW()-1,FALSE))</f>
        <v>-1024.6379999999999</v>
      </c>
      <c r="V228">
        <f ca="1">IF(AND(ISNUMBER($V$466),$B$258=1),$V$466,HLOOKUP(INDIRECT(ADDRESS(2,COLUMN())),OFFSET($BN$2,0,0,ROW()-1,60),ROW()-1,FALSE))</f>
        <v>22.966000000000001</v>
      </c>
      <c r="W228">
        <f ca="1">IF(AND(ISNUMBER($W$466),$B$258=1),$W$466,HLOOKUP(INDIRECT(ADDRESS(2,COLUMN())),OFFSET($BN$2,0,0,ROW()-1,60),ROW()-1,FALSE))</f>
        <v>-1.4550000000000001</v>
      </c>
      <c r="X228">
        <f ca="1">IF(AND(ISNUMBER($X$466),$B$258=1),$X$466,HLOOKUP(INDIRECT(ADDRESS(2,COLUMN())),OFFSET($BN$2,0,0,ROW()-1,60),ROW()-1,FALSE))</f>
        <v>10.327999999999999</v>
      </c>
      <c r="Y228">
        <f ca="1">IF(AND(ISNUMBER($Y$466),$B$258=1),$Y$466,HLOOKUP(INDIRECT(ADDRESS(2,COLUMN())),OFFSET($BN$2,0,0,ROW()-1,60),ROW()-1,FALSE))</f>
        <v>55.231999999999999</v>
      </c>
      <c r="Z228">
        <f ca="1">IF(AND(ISNUMBER($Z$466),$B$258=1),$Z$466,HLOOKUP(INDIRECT(ADDRESS(2,COLUMN())),OFFSET($BN$2,0,0,ROW()-1,60),ROW()-1,FALSE))</f>
        <v>-2.9750000000000001</v>
      </c>
      <c r="AA228">
        <f ca="1">IF(AND(ISNUMBER($AA$466),$B$258=1),$AA$466,HLOOKUP(INDIRECT(ADDRESS(2,COLUMN())),OFFSET($BN$2,0,0,ROW()-1,60),ROW()-1,FALSE))</f>
        <v>-37.195999999999998</v>
      </c>
      <c r="AB228">
        <f ca="1">IF(AND(ISNUMBER($AB$466),$B$258=1),$AB$466,HLOOKUP(INDIRECT(ADDRESS(2,COLUMN())),OFFSET($BN$2,0,0,ROW()-1,60),ROW()-1,FALSE))</f>
        <v>-49.048999999999999</v>
      </c>
      <c r="AC228">
        <f ca="1">IF(AND(ISNUMBER($AC$466),$B$258=1),$AC$466,HLOOKUP(INDIRECT(ADDRESS(2,COLUMN())),OFFSET($BN$2,0,0,ROW()-1,60),ROW()-1,FALSE))</f>
        <v>-36.877000000000002</v>
      </c>
      <c r="AD228">
        <f ca="1">IF(AND(ISNUMBER($AD$466),$B$258=1),$AD$466,HLOOKUP(INDIRECT(ADDRESS(2,COLUMN())),OFFSET($BN$2,0,0,ROW()-1,60),ROW()-1,FALSE))</f>
        <v>39.524000000000001</v>
      </c>
      <c r="AE228">
        <f ca="1">IF(AND(ISNUMBER($AE$466),$B$258=1),$AE$466,HLOOKUP(INDIRECT(ADDRESS(2,COLUMN())),OFFSET($BN$2,0,0,ROW()-1,60),ROW()-1,FALSE))</f>
        <v>-214.286</v>
      </c>
      <c r="AF228">
        <f ca="1">IF(AND(ISNUMBER($AF$466),$B$258=1),$AF$466,HLOOKUP(INDIRECT(ADDRESS(2,COLUMN())),OFFSET($BN$2,0,0,ROW()-1,60),ROW()-1,FALSE))</f>
        <v>-176.35</v>
      </c>
      <c r="AG228">
        <f ca="1">IF(AND(ISNUMBER($AG$466),$B$258=1),$AG$466,HLOOKUP(INDIRECT(ADDRESS(2,COLUMN())),OFFSET($BN$2,0,0,ROW()-1,60),ROW()-1,FALSE))</f>
        <v>-108.086</v>
      </c>
      <c r="AH228">
        <f ca="1">IF(AND(ISNUMBER($AH$466),$B$258=1),$AH$466,HLOOKUP(INDIRECT(ADDRESS(2,COLUMN())),OFFSET($BN$2,0,0,ROW()-1,60),ROW()-1,FALSE))</f>
        <v>-83.463999999999999</v>
      </c>
      <c r="AI228" t="str">
        <f ca="1">IF(AND(ISNUMBER($AI$466),$B$258=1),$AI$466,HLOOKUP(INDIRECT(ADDRESS(2,COLUMN())),OFFSET($BN$2,0,0,ROW()-1,60),ROW()-1,FALSE))</f>
        <v/>
      </c>
      <c r="AJ228">
        <f ca="1">IF(AND(ISNUMBER($AJ$466),$B$258=1),$AJ$466,HLOOKUP(INDIRECT(ADDRESS(2,COLUMN())),OFFSET($BN$2,0,0,ROW()-1,60),ROW()-1,FALSE))</f>
        <v>17.861999999999998</v>
      </c>
      <c r="AK228">
        <f ca="1">IF(AND(ISNUMBER($AK$466),$B$258=1),$AK$466,HLOOKUP(INDIRECT(ADDRESS(2,COLUMN())),OFFSET($BN$2,0,0,ROW()-1,60),ROW()-1,FALSE))</f>
        <v>29.765999999999998</v>
      </c>
      <c r="AL228">
        <f ca="1">IF(AND(ISNUMBER($AL$466),$B$258=1),$AL$466,HLOOKUP(INDIRECT(ADDRESS(2,COLUMN())),OFFSET($BN$2,0,0,ROW()-1,60),ROW()-1,FALSE))</f>
        <v>45.646999999999998</v>
      </c>
      <c r="AM228">
        <f ca="1">IF(AND(ISNUMBER($AM$466),$B$258=1),$AM$466,HLOOKUP(INDIRECT(ADDRESS(2,COLUMN())),OFFSET($BN$2,0,0,ROW()-1,60),ROW()-1,FALSE))</f>
        <v>-74.884</v>
      </c>
      <c r="AN228">
        <f ca="1">IF(AND(ISNUMBER($AN$466),$B$258=1),$AN$466,HLOOKUP(INDIRECT(ADDRESS(2,COLUMN())),OFFSET($BN$2,0,0,ROW()-1,60),ROW()-1,FALSE))</f>
        <v>-275.99</v>
      </c>
      <c r="AO228">
        <f ca="1">IF(AND(ISNUMBER($AO$466),$B$258=1),$AO$466,HLOOKUP(INDIRECT(ADDRESS(2,COLUMN())),OFFSET($BN$2,0,0,ROW()-1,60),ROW()-1,FALSE))</f>
        <v>-7.726</v>
      </c>
      <c r="AP228">
        <f ca="1">IF(AND(ISNUMBER($AP$466),$B$258=1),$AP$466,HLOOKUP(INDIRECT(ADDRESS(2,COLUMN())),OFFSET($BN$2,0,0,ROW()-1,60),ROW()-1,FALSE))</f>
        <v>20.388999999999999</v>
      </c>
      <c r="AQ228">
        <f ca="1">IF(AND(ISNUMBER($AQ$466),$B$258=1),$AQ$466,HLOOKUP(INDIRECT(ADDRESS(2,COLUMN())),OFFSET($BN$2,0,0,ROW()-1,60),ROW()-1,FALSE))</f>
        <v>-123.352</v>
      </c>
      <c r="AR228">
        <f ca="1">IF(AND(ISNUMBER($AR$466),$B$258=1),$AR$466,HLOOKUP(INDIRECT(ADDRESS(2,COLUMN())),OFFSET($BN$2,0,0,ROW()-1,60),ROW()-1,FALSE))</f>
        <v>-252.09800000000001</v>
      </c>
      <c r="AS228">
        <f ca="1">IF(AND(ISNUMBER($AS$466),$B$258=1),$AS$466,HLOOKUP(INDIRECT(ADDRESS(2,COLUMN())),OFFSET($BN$2,0,0,ROW()-1,60),ROW()-1,FALSE))</f>
        <v>-51.807000000000002</v>
      </c>
      <c r="AT228">
        <f ca="1">IF(AND(ISNUMBER($AT$466),$B$258=1),$AT$466,HLOOKUP(INDIRECT(ADDRESS(2,COLUMN())),OFFSET($BN$2,0,0,ROW()-1,60),ROW()-1,FALSE))</f>
        <v>-251.191</v>
      </c>
      <c r="AU228">
        <f ca="1">IF(AND(ISNUMBER($AU$466),$B$258=1),$AU$466,HLOOKUP(INDIRECT(ADDRESS(2,COLUMN())),OFFSET($BN$2,0,0,ROW()-1,60),ROW()-1,FALSE))</f>
        <v>-39.14</v>
      </c>
      <c r="AV228">
        <f ca="1">IF(AND(ISNUMBER($AV$466),$B$258=1),$AV$466,HLOOKUP(INDIRECT(ADDRESS(2,COLUMN())),OFFSET($BN$2,0,0,ROW()-1,60),ROW()-1,FALSE))</f>
        <v>23.579000000000001</v>
      </c>
      <c r="AW228">
        <f ca="1">IF(AND(ISNUMBER($AW$466),$B$258=1),$AW$466,HLOOKUP(INDIRECT(ADDRESS(2,COLUMN())),OFFSET($BN$2,0,0,ROW()-1,60),ROW()-1,FALSE))</f>
        <v>20.474</v>
      </c>
      <c r="AX228">
        <f ca="1">IF(AND(ISNUMBER($AX$466),$B$258=1),$AX$466,HLOOKUP(INDIRECT(ADDRESS(2,COLUMN())),OFFSET($BN$2,0,0,ROW()-1,60),ROW()-1,FALSE))</f>
        <v>20.747</v>
      </c>
      <c r="AY228">
        <f ca="1">IF(AND(ISNUMBER($AY$466),$B$258=1),$AY$466,HLOOKUP(INDIRECT(ADDRESS(2,COLUMN())),OFFSET($BN$2,0,0,ROW()-1,60),ROW()-1,FALSE))</f>
        <v>-8.2729999999999997</v>
      </c>
      <c r="AZ228">
        <f ca="1">IF(AND(ISNUMBER($AZ$466),$B$258=1),$AZ$466,HLOOKUP(INDIRECT(ADDRESS(2,COLUMN())),OFFSET($BN$2,0,0,ROW()-1,60),ROW()-1,FALSE))</f>
        <v>-38.908999999999999</v>
      </c>
      <c r="BA228">
        <f ca="1">IF(AND(ISNUMBER($BA$466),$B$258=1),$BA$466,HLOOKUP(INDIRECT(ADDRESS(2,COLUMN())),OFFSET($BN$2,0,0,ROW()-1,60),ROW()-1,FALSE))</f>
        <v>22.725000000000001</v>
      </c>
      <c r="BB228">
        <f ca="1">IF(AND(ISNUMBER($BB$466),$B$258=1),$BB$466,HLOOKUP(INDIRECT(ADDRESS(2,COLUMN())),OFFSET($BN$2,0,0,ROW()-1,60),ROW()-1,FALSE))</f>
        <v>20.579000000000001</v>
      </c>
      <c r="BC228">
        <f ca="1">IF(AND(ISNUMBER($BC$466),$B$258=1),$BC$466,HLOOKUP(INDIRECT(ADDRESS(2,COLUMN())),OFFSET($BN$2,0,0,ROW()-1,60),ROW()-1,FALSE))</f>
        <v>-39.981000000000002</v>
      </c>
      <c r="BD228">
        <f ca="1">IF(AND(ISNUMBER($BD$466),$B$258=1),$BD$466,HLOOKUP(INDIRECT(ADDRESS(2,COLUMN())),OFFSET($BN$2,0,0,ROW()-1,60),ROW()-1,FALSE))</f>
        <v>21.582000260000001</v>
      </c>
      <c r="BE228">
        <f ca="1">IF(AND(ISNUMBER($BE$466),$B$258=1),$BE$466,HLOOKUP(INDIRECT(ADDRESS(2,COLUMN())),OFFSET($BN$2,0,0,ROW()-1,60),ROW()-1,FALSE))</f>
        <v>3.5890007019999999</v>
      </c>
      <c r="BF228">
        <f ca="1">IF(AND(ISNUMBER($BF$466),$B$258=1),$BF$466,HLOOKUP(INDIRECT(ADDRESS(2,COLUMN())),OFFSET($BN$2,0,0,ROW()-1,60),ROW()-1,FALSE))</f>
        <v>21.551999330000001</v>
      </c>
      <c r="BG228">
        <f ca="1">IF(AND(ISNUMBER($BG$466),$B$258=1),$BG$466,HLOOKUP(INDIRECT(ADDRESS(2,COLUMN())),OFFSET($BN$2,0,0,ROW()-1,60),ROW()-1,FALSE))</f>
        <v>-79.94</v>
      </c>
      <c r="BH228">
        <f ca="1">IF(AND(ISNUMBER($BH$466),$B$258=1),$BH$466,HLOOKUP(INDIRECT(ADDRESS(2,COLUMN())),OFFSET($BN$2,0,0,ROW()-1,60),ROW()-1,FALSE))</f>
        <v>20.95600057</v>
      </c>
      <c r="BI228">
        <f ca="1">IF(AND(ISNUMBER($BI$466),$B$258=1),$BI$466,HLOOKUP(INDIRECT(ADDRESS(2,COLUMN())),OFFSET($BN$2,0,0,ROW()-1,60),ROW()-1,FALSE))</f>
        <v>15.98599911</v>
      </c>
      <c r="BJ228">
        <f ca="1">IF(AND(ISNUMBER($BJ$466),$B$258=1),$BJ$466,HLOOKUP(INDIRECT(ADDRESS(2,COLUMN())),OFFSET($BN$2,0,0,ROW()-1,60),ROW()-1,FALSE))</f>
        <v>0.43799972500000001</v>
      </c>
      <c r="BK228">
        <f ca="1">IF(AND(ISNUMBER($BK$466),$B$258=1),$BK$466,HLOOKUP(INDIRECT(ADDRESS(2,COLUMN())),OFFSET($BN$2,0,0,ROW()-1,60),ROW()-1,FALSE))</f>
        <v>-66.537996289999995</v>
      </c>
      <c r="BL228" t="str">
        <f ca="1">IF(AND(ISNUMBER($BL$466),$B$258=1),$BL$466,HLOOKUP(INDIRECT(ADDRESS(2,COLUMN())),OFFSET($BN$2,0,0,ROW()-1,60),ROW()-1,FALSE))</f>
        <v/>
      </c>
      <c r="BM228" t="str">
        <f ca="1">IF(AND(ISNUMBER($BM$466),$B$258=1),$BM$466,HLOOKUP(INDIRECT(ADDRESS(2,COLUMN())),OFFSET($BN$2,0,0,ROW()-1,60),ROW()-1,FALSE))</f>
        <v/>
      </c>
      <c r="BN228" t="str">
        <f>""</f>
        <v/>
      </c>
      <c r="BO228">
        <f>-69.906</f>
        <v>-69.906000000000006</v>
      </c>
      <c r="BP228">
        <f>71.116</f>
        <v>71.116</v>
      </c>
      <c r="BQ228">
        <f>59.056</f>
        <v>59.055999999999997</v>
      </c>
      <c r="BR228">
        <f>70.281</f>
        <v>70.281000000000006</v>
      </c>
      <c r="BS228">
        <f>19.298</f>
        <v>19.297999999999998</v>
      </c>
      <c r="BT228">
        <f>101.054</f>
        <v>101.054</v>
      </c>
      <c r="BU228">
        <f>-96.267</f>
        <v>-96.266999999999996</v>
      </c>
      <c r="BV228">
        <f>75.987</f>
        <v>75.986999999999995</v>
      </c>
      <c r="BW228">
        <f>68.261</f>
        <v>68.260999999999996</v>
      </c>
      <c r="BX228">
        <f>54.617</f>
        <v>54.616999999999997</v>
      </c>
      <c r="BY228">
        <f>-506.681</f>
        <v>-506.68099999999998</v>
      </c>
      <c r="BZ228">
        <f>-415.838</f>
        <v>-415.83800000000002</v>
      </c>
      <c r="CA228">
        <f>-21.109</f>
        <v>-21.109000000000002</v>
      </c>
      <c r="CB228">
        <f>83.158</f>
        <v>83.158000000000001</v>
      </c>
      <c r="CC228">
        <f>-1024.638</f>
        <v>-1024.6379999999999</v>
      </c>
      <c r="CD228">
        <f>22.966</f>
        <v>22.966000000000001</v>
      </c>
      <c r="CE228">
        <f>-1.455</f>
        <v>-1.4550000000000001</v>
      </c>
      <c r="CF228">
        <f>10.328</f>
        <v>10.327999999999999</v>
      </c>
      <c r="CG228">
        <f>55.232</f>
        <v>55.231999999999999</v>
      </c>
      <c r="CH228">
        <f>-2.975</f>
        <v>-2.9750000000000001</v>
      </c>
      <c r="CI228">
        <f>-37.196</f>
        <v>-37.195999999999998</v>
      </c>
      <c r="CJ228">
        <f>-49.049</f>
        <v>-49.048999999999999</v>
      </c>
      <c r="CK228">
        <f>-36.877</f>
        <v>-36.877000000000002</v>
      </c>
      <c r="CL228">
        <f>39.524</f>
        <v>39.524000000000001</v>
      </c>
      <c r="CM228">
        <f>-214.286</f>
        <v>-214.286</v>
      </c>
      <c r="CN228">
        <f>-176.35</f>
        <v>-176.35</v>
      </c>
      <c r="CO228">
        <f>-108.086</f>
        <v>-108.086</v>
      </c>
      <c r="CP228">
        <f>-83.464</f>
        <v>-83.463999999999999</v>
      </c>
      <c r="CQ228" t="str">
        <f>""</f>
        <v/>
      </c>
      <c r="CR228">
        <f>17.862</f>
        <v>17.861999999999998</v>
      </c>
      <c r="CS228">
        <f>29.766</f>
        <v>29.765999999999998</v>
      </c>
      <c r="CT228">
        <f>45.647</f>
        <v>45.646999999999998</v>
      </c>
      <c r="CU228">
        <f>-74.884</f>
        <v>-74.884</v>
      </c>
      <c r="CV228">
        <f>-275.99</f>
        <v>-275.99</v>
      </c>
      <c r="CW228">
        <f>-7.726</f>
        <v>-7.726</v>
      </c>
      <c r="CX228">
        <f>20.389</f>
        <v>20.388999999999999</v>
      </c>
      <c r="CY228">
        <f>-123.352</f>
        <v>-123.352</v>
      </c>
      <c r="CZ228">
        <f>-252.098</f>
        <v>-252.09800000000001</v>
      </c>
      <c r="DA228">
        <f>-51.807</f>
        <v>-51.807000000000002</v>
      </c>
      <c r="DB228">
        <f>-251.191</f>
        <v>-251.191</v>
      </c>
      <c r="DC228">
        <f>-39.14</f>
        <v>-39.14</v>
      </c>
      <c r="DD228">
        <f>23.579</f>
        <v>23.579000000000001</v>
      </c>
      <c r="DE228">
        <f>20.474</f>
        <v>20.474</v>
      </c>
      <c r="DF228">
        <f>20.747</f>
        <v>20.747</v>
      </c>
      <c r="DG228">
        <f>-8.273</f>
        <v>-8.2729999999999997</v>
      </c>
      <c r="DH228">
        <f>-38.909</f>
        <v>-38.908999999999999</v>
      </c>
      <c r="DI228">
        <f>22.725</f>
        <v>22.725000000000001</v>
      </c>
      <c r="DJ228">
        <f>20.579</f>
        <v>20.579000000000001</v>
      </c>
      <c r="DK228">
        <f>-39.981</f>
        <v>-39.981000000000002</v>
      </c>
      <c r="DL228">
        <f>21.58200026</f>
        <v>21.582000260000001</v>
      </c>
      <c r="DM228">
        <f>3.589000702</f>
        <v>3.5890007019999999</v>
      </c>
      <c r="DN228">
        <f>21.55199933</f>
        <v>21.551999330000001</v>
      </c>
      <c r="DO228">
        <f>-79.94</f>
        <v>-79.94</v>
      </c>
      <c r="DP228">
        <f>20.95600057</f>
        <v>20.95600057</v>
      </c>
      <c r="DQ228">
        <f>15.98599911</f>
        <v>15.98599911</v>
      </c>
      <c r="DR228">
        <f>0.437999725</f>
        <v>0.43799972500000001</v>
      </c>
      <c r="DS228">
        <f>-66.53799629</f>
        <v>-66.537996289999995</v>
      </c>
      <c r="DT228" t="str">
        <f>""</f>
        <v/>
      </c>
      <c r="DU228" t="str">
        <f>""</f>
        <v/>
      </c>
    </row>
    <row r="229" spans="1:125">
      <c r="A229" t="str">
        <f>"    Ventas Inc"</f>
        <v xml:space="preserve">    Ventas Inc</v>
      </c>
      <c r="B229" t="str">
        <f>"VTR US Equity"</f>
        <v>VTR US Equity</v>
      </c>
      <c r="C229" t="str">
        <f t="shared" si="54"/>
        <v>RR008</v>
      </c>
      <c r="D229" t="str">
        <f t="shared" si="55"/>
        <v>CF_FREE_CASH_FLOW</v>
      </c>
      <c r="E229" t="str">
        <f t="shared" si="56"/>
        <v>动态</v>
      </c>
      <c r="F229" t="str">
        <f ca="1">IF(AND(ISNUMBER($F$467),$B$258=1),$F$467,HLOOKUP(INDIRECT(ADDRESS(2,COLUMN())),OFFSET($BN$2,0,0,ROW()-1,60),ROW()-1,FALSE))</f>
        <v/>
      </c>
      <c r="G229">
        <f ca="1">IF(AND(ISNUMBER($G$467),$B$258=1),$G$467,HLOOKUP(INDIRECT(ADDRESS(2,COLUMN())),OFFSET($BN$2,0,0,ROW()-1,60),ROW()-1,FALSE))</f>
        <v>99.998999999999995</v>
      </c>
      <c r="H229">
        <f ca="1">IF(AND(ISNUMBER($H$467),$B$258=1),$H$467,HLOOKUP(INDIRECT(ADDRESS(2,COLUMN())),OFFSET($BN$2,0,0,ROW()-1,60),ROW()-1,FALSE))</f>
        <v>231.76900000000001</v>
      </c>
      <c r="I229">
        <f ca="1">IF(AND(ISNUMBER($I$467),$B$258=1),$I$467,HLOOKUP(INDIRECT(ADDRESS(2,COLUMN())),OFFSET($BN$2,0,0,ROW()-1,60),ROW()-1,FALSE))</f>
        <v>271.93599999999998</v>
      </c>
      <c r="J229">
        <f ca="1">IF(AND(ISNUMBER($J$467),$B$258=1),$J$467,HLOOKUP(INDIRECT(ADDRESS(2,COLUMN())),OFFSET($BN$2,0,0,ROW()-1,60),ROW()-1,FALSE))</f>
        <v>26.600999999999999</v>
      </c>
      <c r="K229">
        <f ca="1">IF(AND(ISNUMBER($K$467),$B$258=1),$K$467,HLOOKUP(INDIRECT(ADDRESS(2,COLUMN())),OFFSET($BN$2,0,0,ROW()-1,60),ROW()-1,FALSE))</f>
        <v>267.26600000000002</v>
      </c>
      <c r="L229">
        <f ca="1">IF(AND(ISNUMBER($L$467),$B$258=1),$L$467,HLOOKUP(INDIRECT(ADDRESS(2,COLUMN())),OFFSET($BN$2,0,0,ROW()-1,60),ROW()-1,FALSE))</f>
        <v>-1094.819</v>
      </c>
      <c r="M229">
        <f ca="1">IF(AND(ISNUMBER($M$467),$B$258=1),$M$467,HLOOKUP(INDIRECT(ADDRESS(2,COLUMN())),OFFSET($BN$2,0,0,ROW()-1,60),ROW()-1,FALSE))</f>
        <v>308.89600000000002</v>
      </c>
      <c r="N229">
        <f ca="1">IF(AND(ISNUMBER($N$467),$B$258=1),$N$467,HLOOKUP(INDIRECT(ADDRESS(2,COLUMN())),OFFSET($BN$2,0,0,ROW()-1,60),ROW()-1,FALSE))</f>
        <v>205.041</v>
      </c>
      <c r="O229">
        <f ca="1">IF(AND(ISNUMBER($O$467),$B$258=1),$O$467,HLOOKUP(INDIRECT(ADDRESS(2,COLUMN())),OFFSET($BN$2,0,0,ROW()-1,60),ROW()-1,FALSE))</f>
        <v>215.03100000000001</v>
      </c>
      <c r="P229">
        <f ca="1">IF(AND(ISNUMBER($P$467),$B$258=1),$P$467,HLOOKUP(INDIRECT(ADDRESS(2,COLUMN())),OFFSET($BN$2,0,0,ROW()-1,60),ROW()-1,FALSE))</f>
        <v>-1058.9680000000001</v>
      </c>
      <c r="Q229">
        <f ca="1">IF(AND(ISNUMBER($Q$467),$B$258=1),$Q$467,HLOOKUP(INDIRECT(ADDRESS(2,COLUMN())),OFFSET($BN$2,0,0,ROW()-1,60),ROW()-1,FALSE))</f>
        <v>140.76300000000001</v>
      </c>
      <c r="R229">
        <f ca="1">IF(AND(ISNUMBER($R$467),$B$258=1),$R$467,HLOOKUP(INDIRECT(ADDRESS(2,COLUMN())),OFFSET($BN$2,0,0,ROW()-1,60),ROW()-1,FALSE))</f>
        <v>-783.00800000000004</v>
      </c>
      <c r="S229">
        <f ca="1">IF(AND(ISNUMBER($S$467),$B$258=1),$S$467,HLOOKUP(INDIRECT(ADDRESS(2,COLUMN())),OFFSET($BN$2,0,0,ROW()-1,60),ROW()-1,FALSE))</f>
        <v>-16.209</v>
      </c>
      <c r="T229">
        <f ca="1">IF(AND(ISNUMBER($T$467),$B$258=1),$T$467,HLOOKUP(INDIRECT(ADDRESS(2,COLUMN())),OFFSET($BN$2,0,0,ROW()-1,60),ROW()-1,FALSE))</f>
        <v>-636.197</v>
      </c>
      <c r="U229">
        <f ca="1">IF(AND(ISNUMBER($U$467),$B$258=1),$U$467,HLOOKUP(INDIRECT(ADDRESS(2,COLUMN())),OFFSET($BN$2,0,0,ROW()-1,60),ROW()-1,FALSE))</f>
        <v>179.15199999999999</v>
      </c>
      <c r="V229">
        <f ca="1">IF(AND(ISNUMBER($V$467),$B$258=1),$V$467,HLOOKUP(INDIRECT(ADDRESS(2,COLUMN())),OFFSET($BN$2,0,0,ROW()-1,60),ROW()-1,FALSE))</f>
        <v>65.075000000000003</v>
      </c>
      <c r="W229">
        <f ca="1">IF(AND(ISNUMBER($W$467),$B$258=1),$W$467,HLOOKUP(INDIRECT(ADDRESS(2,COLUMN())),OFFSET($BN$2,0,0,ROW()-1,60),ROW()-1,FALSE))</f>
        <v>229.07599999999999</v>
      </c>
      <c r="X229">
        <f ca="1">IF(AND(ISNUMBER($X$467),$B$258=1),$X$467,HLOOKUP(INDIRECT(ADDRESS(2,COLUMN())),OFFSET($BN$2,0,0,ROW()-1,60),ROW()-1,FALSE))</f>
        <v>-788.62800000000004</v>
      </c>
      <c r="Y229">
        <f ca="1">IF(AND(ISNUMBER($Y$467),$B$258=1),$Y$467,HLOOKUP(INDIRECT(ADDRESS(2,COLUMN())),OFFSET($BN$2,0,0,ROW()-1,60),ROW()-1,FALSE))</f>
        <v>16.952000000000002</v>
      </c>
      <c r="Z229">
        <f ca="1">IF(AND(ISNUMBER($Z$467),$B$258=1),$Z$467,HLOOKUP(INDIRECT(ADDRESS(2,COLUMN())),OFFSET($BN$2,0,0,ROW()-1,60),ROW()-1,FALSE))</f>
        <v>138.18700000000001</v>
      </c>
      <c r="AA229">
        <f ca="1">IF(AND(ISNUMBER($AA$467),$B$258=1),$AA$467,HLOOKUP(INDIRECT(ADDRESS(2,COLUMN())),OFFSET($BN$2,0,0,ROW()-1,60),ROW()-1,FALSE))</f>
        <v>-93.748999999999995</v>
      </c>
      <c r="AB229">
        <f ca="1">IF(AND(ISNUMBER($AB$467),$B$258=1),$AB$467,HLOOKUP(INDIRECT(ADDRESS(2,COLUMN())),OFFSET($BN$2,0,0,ROW()-1,60),ROW()-1,FALSE))</f>
        <v>-55.012999999999998</v>
      </c>
      <c r="AC229">
        <f ca="1">IF(AND(ISNUMBER($AC$467),$B$258=1),$AC$467,HLOOKUP(INDIRECT(ADDRESS(2,COLUMN())),OFFSET($BN$2,0,0,ROW()-1,60),ROW()-1,FALSE))</f>
        <v>-726.13699999999994</v>
      </c>
      <c r="AD229">
        <f ca="1">IF(AND(ISNUMBER($AD$467),$B$258=1),$AD$467,HLOOKUP(INDIRECT(ADDRESS(2,COLUMN())),OFFSET($BN$2,0,0,ROW()-1,60),ROW()-1,FALSE))</f>
        <v>203.16800000000001</v>
      </c>
      <c r="AE229">
        <f ca="1">IF(AND(ISNUMBER($AE$467),$B$258=1),$AE$467,HLOOKUP(INDIRECT(ADDRESS(2,COLUMN())),OFFSET($BN$2,0,0,ROW()-1,60),ROW()-1,FALSE))</f>
        <v>96.204999999999998</v>
      </c>
      <c r="AF229">
        <f ca="1">IF(AND(ISNUMBER($AF$467),$B$258=1),$AF$467,HLOOKUP(INDIRECT(ADDRESS(2,COLUMN())),OFFSET($BN$2,0,0,ROW()-1,60),ROW()-1,FALSE))</f>
        <v>144.72300000000001</v>
      </c>
      <c r="AG229">
        <f ca="1">IF(AND(ISNUMBER($AG$467),$B$258=1),$AG$467,HLOOKUP(INDIRECT(ADDRESS(2,COLUMN())),OFFSET($BN$2,0,0,ROW()-1,60),ROW()-1,FALSE))</f>
        <v>-220.20599999999999</v>
      </c>
      <c r="AH229">
        <f ca="1">IF(AND(ISNUMBER($AH$467),$B$258=1),$AH$467,HLOOKUP(INDIRECT(ADDRESS(2,COLUMN())),OFFSET($BN$2,0,0,ROW()-1,60),ROW()-1,FALSE))</f>
        <v>122.806</v>
      </c>
      <c r="AI229">
        <f ca="1">IF(AND(ISNUMBER($AI$467),$B$258=1),$AI$467,HLOOKUP(INDIRECT(ADDRESS(2,COLUMN())),OFFSET($BN$2,0,0,ROW()-1,60),ROW()-1,FALSE))</f>
        <v>59.606999999999999</v>
      </c>
      <c r="AJ229">
        <f ca="1">IF(AND(ISNUMBER($AJ$467),$B$258=1),$AJ$467,HLOOKUP(INDIRECT(ADDRESS(2,COLUMN())),OFFSET($BN$2,0,0,ROW()-1,60),ROW()-1,FALSE))</f>
        <v>-84.004999999999995</v>
      </c>
      <c r="AK229">
        <f ca="1">IF(AND(ISNUMBER($AK$467),$B$258=1),$AK$467,HLOOKUP(INDIRECT(ADDRESS(2,COLUMN())),OFFSET($BN$2,0,0,ROW()-1,60),ROW()-1,FALSE))</f>
        <v>78.317999999999998</v>
      </c>
      <c r="AL229">
        <f ca="1">IF(AND(ISNUMBER($AL$467),$B$258=1),$AL$467,HLOOKUP(INDIRECT(ADDRESS(2,COLUMN())),OFFSET($BN$2,0,0,ROW()-1,60),ROW()-1,FALSE))</f>
        <v>99.406000000000006</v>
      </c>
      <c r="AM229">
        <f ca="1">IF(AND(ISNUMBER($AM$467),$B$258=1),$AM$467,HLOOKUP(INDIRECT(ADDRESS(2,COLUMN())),OFFSET($BN$2,0,0,ROW()-1,60),ROW()-1,FALSE))</f>
        <v>70.302999999999997</v>
      </c>
      <c r="AN229">
        <f ca="1">IF(AND(ISNUMBER($AN$467),$B$258=1),$AN$467,HLOOKUP(INDIRECT(ADDRESS(2,COLUMN())),OFFSET($BN$2,0,0,ROW()-1,60),ROW()-1,FALSE))</f>
        <v>120.529</v>
      </c>
      <c r="AO229">
        <f ca="1">IF(AND(ISNUMBER($AO$467),$B$258=1),$AO$467,HLOOKUP(INDIRECT(ADDRESS(2,COLUMN())),OFFSET($BN$2,0,0,ROW()-1,60),ROW()-1,FALSE))</f>
        <v>70.456999999999994</v>
      </c>
      <c r="AP229">
        <f ca="1">IF(AND(ISNUMBER($AP$467),$B$258=1),$AP$467,HLOOKUP(INDIRECT(ADDRESS(2,COLUMN())),OFFSET($BN$2,0,0,ROW()-1,60),ROW()-1,FALSE))</f>
        <v>101.29900000000001</v>
      </c>
      <c r="AQ229">
        <f ca="1">IF(AND(ISNUMBER($AQ$467),$B$258=1),$AQ$467,HLOOKUP(INDIRECT(ADDRESS(2,COLUMN())),OFFSET($BN$2,0,0,ROW()-1,60),ROW()-1,FALSE))</f>
        <v>248.18</v>
      </c>
      <c r="AR229">
        <f ca="1">IF(AND(ISNUMBER($AR$467),$B$258=1),$AR$467,HLOOKUP(INDIRECT(ADDRESS(2,COLUMN())),OFFSET($BN$2,0,0,ROW()-1,60),ROW()-1,FALSE))</f>
        <v>-101.355</v>
      </c>
      <c r="AS229">
        <f ca="1">IF(AND(ISNUMBER($AS$467),$B$258=1),$AS$467,HLOOKUP(INDIRECT(ADDRESS(2,COLUMN())),OFFSET($BN$2,0,0,ROW()-1,60),ROW()-1,FALSE))</f>
        <v>65.198999999999998</v>
      </c>
      <c r="AT229">
        <f ca="1">IF(AND(ISNUMBER($AT$467),$B$258=1),$AT$467,HLOOKUP(INDIRECT(ADDRESS(2,COLUMN())),OFFSET($BN$2,0,0,ROW()-1,60),ROW()-1,FALSE))</f>
        <v>97.722999999999999</v>
      </c>
      <c r="AU229">
        <f ca="1">IF(AND(ISNUMBER($AU$467),$B$258=1),$AU$467,HLOOKUP(INDIRECT(ADDRESS(2,COLUMN())),OFFSET($BN$2,0,0,ROW()-1,60),ROW()-1,FALSE))</f>
        <v>10.741</v>
      </c>
      <c r="AV229">
        <f ca="1">IF(AND(ISNUMBER($AV$467),$B$258=1),$AV$467,HLOOKUP(INDIRECT(ADDRESS(2,COLUMN())),OFFSET($BN$2,0,0,ROW()-1,60),ROW()-1,FALSE))</f>
        <v>90.620999999999995</v>
      </c>
      <c r="AW229">
        <f ca="1">IF(AND(ISNUMBER($AW$467),$B$258=1),$AW$467,HLOOKUP(INDIRECT(ADDRESS(2,COLUMN())),OFFSET($BN$2,0,0,ROW()-1,60),ROW()-1,FALSE))</f>
        <v>-1114.0309999999999</v>
      </c>
      <c r="AX229">
        <f ca="1">IF(AND(ISNUMBER($AX$467),$B$258=1),$AX$467,HLOOKUP(INDIRECT(ADDRESS(2,COLUMN())),OFFSET($BN$2,0,0,ROW()-1,60),ROW()-1,FALSE))</f>
        <v>57.753</v>
      </c>
      <c r="AY229">
        <f ca="1">IF(AND(ISNUMBER($AY$467),$B$258=1),$AY$467,HLOOKUP(INDIRECT(ADDRESS(2,COLUMN())),OFFSET($BN$2,0,0,ROW()-1,60),ROW()-1,FALSE))</f>
        <v>-366.08</v>
      </c>
      <c r="AZ229">
        <f ca="1">IF(AND(ISNUMBER($AZ$467),$B$258=1),$AZ$467,HLOOKUP(INDIRECT(ADDRESS(2,COLUMN())),OFFSET($BN$2,0,0,ROW()-1,60),ROW()-1,FALSE))</f>
        <v>72.957999999999998</v>
      </c>
      <c r="BA229">
        <f ca="1">IF(AND(ISNUMBER($BA$467),$B$258=1),$BA$467,HLOOKUP(INDIRECT(ADDRESS(2,COLUMN())),OFFSET($BN$2,0,0,ROW()-1,60),ROW()-1,FALSE))</f>
        <v>20.173999999999999</v>
      </c>
      <c r="BB229">
        <f ca="1">IF(AND(ISNUMBER($BB$467),$B$258=1),$BB$467,HLOOKUP(INDIRECT(ADDRESS(2,COLUMN())),OFFSET($BN$2,0,0,ROW()-1,60),ROW()-1,FALSE))</f>
        <v>20.802</v>
      </c>
      <c r="BC229">
        <f ca="1">IF(AND(ISNUMBER($BC$467),$B$258=1),$BC$467,HLOOKUP(INDIRECT(ADDRESS(2,COLUMN())),OFFSET($BN$2,0,0,ROW()-1,60),ROW()-1,FALSE))</f>
        <v>42.610999999999997</v>
      </c>
      <c r="BD229">
        <f ca="1">IF(AND(ISNUMBER($BD$467),$B$258=1),$BD$467,HLOOKUP(INDIRECT(ADDRESS(2,COLUMN())),OFFSET($BN$2,0,0,ROW()-1,60),ROW()-1,FALSE))</f>
        <v>-26.800999999999998</v>
      </c>
      <c r="BE229">
        <f ca="1">IF(AND(ISNUMBER($BE$467),$B$258=1),$BE$467,HLOOKUP(INDIRECT(ADDRESS(2,COLUMN())),OFFSET($BN$2,0,0,ROW()-1,60),ROW()-1,FALSE))</f>
        <v>-408.524</v>
      </c>
      <c r="BF229">
        <f ca="1">IF(AND(ISNUMBER($BF$467),$B$258=1),$BF$467,HLOOKUP(INDIRECT(ADDRESS(2,COLUMN())),OFFSET($BN$2,0,0,ROW()-1,60),ROW()-1,FALSE))</f>
        <v>26.925999999999998</v>
      </c>
      <c r="BG229">
        <f ca="1">IF(AND(ISNUMBER($BG$467),$B$258=1),$BG$467,HLOOKUP(INDIRECT(ADDRESS(2,COLUMN())),OFFSET($BN$2,0,0,ROW()-1,60),ROW()-1,FALSE))</f>
        <v>-17.861999999999998</v>
      </c>
      <c r="BH229">
        <f ca="1">IF(AND(ISNUMBER($BH$467),$B$258=1),$BH$467,HLOOKUP(INDIRECT(ADDRESS(2,COLUMN())),OFFSET($BN$2,0,0,ROW()-1,60),ROW()-1,FALSE))</f>
        <v>19.754999999999999</v>
      </c>
      <c r="BI229">
        <f ca="1">IF(AND(ISNUMBER($BI$467),$B$258=1),$BI$467,HLOOKUP(INDIRECT(ADDRESS(2,COLUMN())),OFFSET($BN$2,0,0,ROW()-1,60),ROW()-1,FALSE))</f>
        <v>-38.850999999999999</v>
      </c>
      <c r="BJ229">
        <f ca="1">IF(AND(ISNUMBER($BJ$467),$B$258=1),$BJ$467,HLOOKUP(INDIRECT(ADDRESS(2,COLUMN())),OFFSET($BN$2,0,0,ROW()-1,60),ROW()-1,FALSE))</f>
        <v>-137.01499999999999</v>
      </c>
      <c r="BK229">
        <f ca="1">IF(AND(ISNUMBER($BK$467),$B$258=1),$BK$467,HLOOKUP(INDIRECT(ADDRESS(2,COLUMN())),OFFSET($BN$2,0,0,ROW()-1,60),ROW()-1,FALSE))</f>
        <v>29.51799965</v>
      </c>
      <c r="BL229" t="str">
        <f ca="1">IF(AND(ISNUMBER($BL$467),$B$258=1),$BL$467,HLOOKUP(INDIRECT(ADDRESS(2,COLUMN())),OFFSET($BN$2,0,0,ROW()-1,60),ROW()-1,FALSE))</f>
        <v/>
      </c>
      <c r="BM229">
        <f ca="1">IF(AND(ISNUMBER($BM$467),$B$258=1),$BM$467,HLOOKUP(INDIRECT(ADDRESS(2,COLUMN())),OFFSET($BN$2,0,0,ROW()-1,60),ROW()-1,FALSE))</f>
        <v>38.173000000000002</v>
      </c>
      <c r="BN229" t="str">
        <f>""</f>
        <v/>
      </c>
      <c r="BO229">
        <f>99.999</f>
        <v>99.998999999999995</v>
      </c>
      <c r="BP229">
        <f>231.769</f>
        <v>231.76900000000001</v>
      </c>
      <c r="BQ229">
        <f>271.936</f>
        <v>271.93599999999998</v>
      </c>
      <c r="BR229">
        <f>26.601</f>
        <v>26.600999999999999</v>
      </c>
      <c r="BS229">
        <f>267.266</f>
        <v>267.26600000000002</v>
      </c>
      <c r="BT229">
        <f>-1094.819</f>
        <v>-1094.819</v>
      </c>
      <c r="BU229">
        <f>308.896</f>
        <v>308.89600000000002</v>
      </c>
      <c r="BV229">
        <f>205.041</f>
        <v>205.041</v>
      </c>
      <c r="BW229">
        <f>215.031</f>
        <v>215.03100000000001</v>
      </c>
      <c r="BX229">
        <f>-1058.968</f>
        <v>-1058.9680000000001</v>
      </c>
      <c r="BY229">
        <f>140.763</f>
        <v>140.76300000000001</v>
      </c>
      <c r="BZ229">
        <f>-783.008</f>
        <v>-783.00800000000004</v>
      </c>
      <c r="CA229">
        <f>-16.209</f>
        <v>-16.209</v>
      </c>
      <c r="CB229">
        <f>-636.197</f>
        <v>-636.197</v>
      </c>
      <c r="CC229">
        <f>179.152</f>
        <v>179.15199999999999</v>
      </c>
      <c r="CD229">
        <f>65.075</f>
        <v>65.075000000000003</v>
      </c>
      <c r="CE229">
        <f>229.076</f>
        <v>229.07599999999999</v>
      </c>
      <c r="CF229">
        <f>-788.628</f>
        <v>-788.62800000000004</v>
      </c>
      <c r="CG229">
        <f>16.952</f>
        <v>16.952000000000002</v>
      </c>
      <c r="CH229">
        <f>138.187</f>
        <v>138.18700000000001</v>
      </c>
      <c r="CI229">
        <f>-93.749</f>
        <v>-93.748999999999995</v>
      </c>
      <c r="CJ229">
        <f>-55.013</f>
        <v>-55.012999999999998</v>
      </c>
      <c r="CK229">
        <f>-726.137</f>
        <v>-726.13699999999994</v>
      </c>
      <c r="CL229">
        <f>203.168</f>
        <v>203.16800000000001</v>
      </c>
      <c r="CM229">
        <f>96.205</f>
        <v>96.204999999999998</v>
      </c>
      <c r="CN229">
        <f>144.723</f>
        <v>144.72300000000001</v>
      </c>
      <c r="CO229">
        <f>-220.206</f>
        <v>-220.20599999999999</v>
      </c>
      <c r="CP229">
        <f>122.806</f>
        <v>122.806</v>
      </c>
      <c r="CQ229">
        <f>59.607</f>
        <v>59.606999999999999</v>
      </c>
      <c r="CR229">
        <f>-84.005</f>
        <v>-84.004999999999995</v>
      </c>
      <c r="CS229">
        <f>78.318</f>
        <v>78.317999999999998</v>
      </c>
      <c r="CT229">
        <f>99.406</f>
        <v>99.406000000000006</v>
      </c>
      <c r="CU229">
        <f>70.303</f>
        <v>70.302999999999997</v>
      </c>
      <c r="CV229">
        <f>120.529</f>
        <v>120.529</v>
      </c>
      <c r="CW229">
        <f>70.457</f>
        <v>70.456999999999994</v>
      </c>
      <c r="CX229">
        <f>101.299</f>
        <v>101.29900000000001</v>
      </c>
      <c r="CY229">
        <f>248.18</f>
        <v>248.18</v>
      </c>
      <c r="CZ229">
        <f>-101.355</f>
        <v>-101.355</v>
      </c>
      <c r="DA229">
        <f>65.199</f>
        <v>65.198999999999998</v>
      </c>
      <c r="DB229">
        <f>97.723</f>
        <v>97.722999999999999</v>
      </c>
      <c r="DC229">
        <f>10.741</f>
        <v>10.741</v>
      </c>
      <c r="DD229">
        <f>90.621</f>
        <v>90.620999999999995</v>
      </c>
      <c r="DE229">
        <f>-1114.031</f>
        <v>-1114.0309999999999</v>
      </c>
      <c r="DF229">
        <f>57.753</f>
        <v>57.753</v>
      </c>
      <c r="DG229">
        <f>-366.08</f>
        <v>-366.08</v>
      </c>
      <c r="DH229">
        <f>72.958</f>
        <v>72.957999999999998</v>
      </c>
      <c r="DI229">
        <f>20.174</f>
        <v>20.173999999999999</v>
      </c>
      <c r="DJ229">
        <f>20.802</f>
        <v>20.802</v>
      </c>
      <c r="DK229">
        <f>42.611</f>
        <v>42.610999999999997</v>
      </c>
      <c r="DL229">
        <f>-26.801</f>
        <v>-26.800999999999998</v>
      </c>
      <c r="DM229">
        <f>-408.524</f>
        <v>-408.524</v>
      </c>
      <c r="DN229">
        <f>26.926</f>
        <v>26.925999999999998</v>
      </c>
      <c r="DO229">
        <f>-17.862</f>
        <v>-17.861999999999998</v>
      </c>
      <c r="DP229">
        <f>19.755</f>
        <v>19.754999999999999</v>
      </c>
      <c r="DQ229">
        <f>-38.851</f>
        <v>-38.850999999999999</v>
      </c>
      <c r="DR229">
        <f>-137.015</f>
        <v>-137.01499999999999</v>
      </c>
      <c r="DS229">
        <f>29.51799965</f>
        <v>29.51799965</v>
      </c>
      <c r="DT229" t="str">
        <f>""</f>
        <v/>
      </c>
      <c r="DU229">
        <f>38.173</f>
        <v>38.173000000000002</v>
      </c>
    </row>
    <row r="230" spans="1:125">
      <c r="A230" t="str">
        <f>"    Welltower Inc"</f>
        <v xml:space="preserve">    Welltower Inc</v>
      </c>
      <c r="B230" t="str">
        <f>"HCN US Equity"</f>
        <v>HCN US Equity</v>
      </c>
      <c r="C230" t="str">
        <f t="shared" si="54"/>
        <v>RR008</v>
      </c>
      <c r="D230" t="str">
        <f t="shared" si="55"/>
        <v>CF_FREE_CASH_FLOW</v>
      </c>
      <c r="E230" t="str">
        <f t="shared" si="56"/>
        <v>动态</v>
      </c>
      <c r="F230" t="str">
        <f ca="1">IF(AND(ISNUMBER($F$468),$B$258=1),$F$468,HLOOKUP(INDIRECT(ADDRESS(2,COLUMN())),OFFSET($BN$2,0,0,ROW()-1,60),ROW()-1,FALSE))</f>
        <v/>
      </c>
      <c r="G230">
        <f ca="1">IF(AND(ISNUMBER($G$468),$B$258=1),$G$468,HLOOKUP(INDIRECT(ADDRESS(2,COLUMN())),OFFSET($BN$2,0,0,ROW()-1,60),ROW()-1,FALSE))</f>
        <v>-83.638000000000005</v>
      </c>
      <c r="H230">
        <f ca="1">IF(AND(ISNUMBER($H$468),$B$258=1),$H$468,HLOOKUP(INDIRECT(ADDRESS(2,COLUMN())),OFFSET($BN$2,0,0,ROW()-1,60),ROW()-1,FALSE))</f>
        <v>-135.23699999999999</v>
      </c>
      <c r="I230">
        <f ca="1">IF(AND(ISNUMBER($I$468),$B$258=1),$I$468,HLOOKUP(INDIRECT(ADDRESS(2,COLUMN())),OFFSET($BN$2,0,0,ROW()-1,60),ROW()-1,FALSE))</f>
        <v>193.07599999999999</v>
      </c>
      <c r="J230">
        <f ca="1">IF(AND(ISNUMBER($J$468),$B$258=1),$J$468,HLOOKUP(INDIRECT(ADDRESS(2,COLUMN())),OFFSET($BN$2,0,0,ROW()-1,60),ROW()-1,FALSE))</f>
        <v>171.721</v>
      </c>
      <c r="K230">
        <f ca="1">IF(AND(ISNUMBER($K$468),$B$258=1),$K$468,HLOOKUP(INDIRECT(ADDRESS(2,COLUMN())),OFFSET($BN$2,0,0,ROW()-1,60),ROW()-1,FALSE))</f>
        <v>-496.82</v>
      </c>
      <c r="L230">
        <f ca="1">IF(AND(ISNUMBER($L$468),$B$258=1),$L$468,HLOOKUP(INDIRECT(ADDRESS(2,COLUMN())),OFFSET($BN$2,0,0,ROW()-1,60),ROW()-1,FALSE))</f>
        <v>-865.33600000000001</v>
      </c>
      <c r="M230">
        <f ca="1">IF(AND(ISNUMBER($M$468),$B$258=1),$M$468,HLOOKUP(INDIRECT(ADDRESS(2,COLUMN())),OFFSET($BN$2,0,0,ROW()-1,60),ROW()-1,FALSE))</f>
        <v>123.443</v>
      </c>
      <c r="N230">
        <f ca="1">IF(AND(ISNUMBER($N$468),$B$258=1),$N$468,HLOOKUP(INDIRECT(ADDRESS(2,COLUMN())),OFFSET($BN$2,0,0,ROW()-1,60),ROW()-1,FALSE))</f>
        <v>107.363</v>
      </c>
      <c r="O230">
        <f ca="1">IF(AND(ISNUMBER($O$468),$B$258=1),$O$468,HLOOKUP(INDIRECT(ADDRESS(2,COLUMN())),OFFSET($BN$2,0,0,ROW()-1,60),ROW()-1,FALSE))</f>
        <v>-682.76400000000001</v>
      </c>
      <c r="P230">
        <f ca="1">IF(AND(ISNUMBER($P$468),$B$258=1),$P$468,HLOOKUP(INDIRECT(ADDRESS(2,COLUMN())),OFFSET($BN$2,0,0,ROW()-1,60),ROW()-1,FALSE))</f>
        <v>-24.783999999999999</v>
      </c>
      <c r="Q230">
        <f ca="1">IF(AND(ISNUMBER($Q$468),$B$258=1),$Q$468,HLOOKUP(INDIRECT(ADDRESS(2,COLUMN())),OFFSET($BN$2,0,0,ROW()-1,60),ROW()-1,FALSE))</f>
        <v>-351.99599999999998</v>
      </c>
      <c r="R230">
        <f ca="1">IF(AND(ISNUMBER($R$468),$B$258=1),$R$468,HLOOKUP(INDIRECT(ADDRESS(2,COLUMN())),OFFSET($BN$2,0,0,ROW()-1,60),ROW()-1,FALSE))</f>
        <v>-1364.192</v>
      </c>
      <c r="S230">
        <f ca="1">IF(AND(ISNUMBER($S$468),$B$258=1),$S$468,HLOOKUP(INDIRECT(ADDRESS(2,COLUMN())),OFFSET($BN$2,0,0,ROW()-1,60),ROW()-1,FALSE))</f>
        <v>-1038.2919999999999</v>
      </c>
      <c r="T230">
        <f ca="1">IF(AND(ISNUMBER($T$468),$B$258=1),$T$468,HLOOKUP(INDIRECT(ADDRESS(2,COLUMN())),OFFSET($BN$2,0,0,ROW()-1,60),ROW()-1,FALSE))</f>
        <v>-321.87799999999999</v>
      </c>
      <c r="U230">
        <f ca="1">IF(AND(ISNUMBER($U$468),$B$258=1),$U$468,HLOOKUP(INDIRECT(ADDRESS(2,COLUMN())),OFFSET($BN$2,0,0,ROW()-1,60),ROW()-1,FALSE))</f>
        <v>-165.91800000000001</v>
      </c>
      <c r="V230">
        <f ca="1">IF(AND(ISNUMBER($V$468),$B$258=1),$V$468,HLOOKUP(INDIRECT(ADDRESS(2,COLUMN())),OFFSET($BN$2,0,0,ROW()-1,60),ROW()-1,FALSE))</f>
        <v>123.497</v>
      </c>
      <c r="W230">
        <f ca="1">IF(AND(ISNUMBER($W$468),$B$258=1),$W$468,HLOOKUP(INDIRECT(ADDRESS(2,COLUMN())),OFFSET($BN$2,0,0,ROW()-1,60),ROW()-1,FALSE))</f>
        <v>-264.041</v>
      </c>
      <c r="X230">
        <f ca="1">IF(AND(ISNUMBER($X$468),$B$258=1),$X$468,HLOOKUP(INDIRECT(ADDRESS(2,COLUMN())),OFFSET($BN$2,0,0,ROW()-1,60),ROW()-1,FALSE))</f>
        <v>-511.22800000000001</v>
      </c>
      <c r="Y230">
        <f ca="1">IF(AND(ISNUMBER($Y$468),$B$258=1),$Y$468,HLOOKUP(INDIRECT(ADDRESS(2,COLUMN())),OFFSET($BN$2,0,0,ROW()-1,60),ROW()-1,FALSE))</f>
        <v>-566.81100000000004</v>
      </c>
      <c r="Z230">
        <f ca="1">IF(AND(ISNUMBER($Z$468),$B$258=1),$Z$468,HLOOKUP(INDIRECT(ADDRESS(2,COLUMN())),OFFSET($BN$2,0,0,ROW()-1,60),ROW()-1,FALSE))</f>
        <v>-1650.77</v>
      </c>
      <c r="AA230">
        <f ca="1">IF(AND(ISNUMBER($AA$468),$B$258=1),$AA$468,HLOOKUP(INDIRECT(ADDRESS(2,COLUMN())),OFFSET($BN$2,0,0,ROW()-1,60),ROW()-1,FALSE))</f>
        <v>-970.65200000000004</v>
      </c>
      <c r="AB230">
        <f ca="1">IF(AND(ISNUMBER($AB$468),$B$258=1),$AB$468,HLOOKUP(INDIRECT(ADDRESS(2,COLUMN())),OFFSET($BN$2,0,0,ROW()-1,60),ROW()-1,FALSE))</f>
        <v>-749.09799999999996</v>
      </c>
      <c r="AC230">
        <f ca="1">IF(AND(ISNUMBER($AC$468),$B$258=1),$AC$468,HLOOKUP(INDIRECT(ADDRESS(2,COLUMN())),OFFSET($BN$2,0,0,ROW()-1,60),ROW()-1,FALSE))</f>
        <v>-411.072</v>
      </c>
      <c r="AD230">
        <f ca="1">IF(AND(ISNUMBER($AD$468),$B$258=1),$AD$468,HLOOKUP(INDIRECT(ADDRESS(2,COLUMN())),OFFSET($BN$2,0,0,ROW()-1,60),ROW()-1,FALSE))</f>
        <v>-396.15600000000001</v>
      </c>
      <c r="AE230">
        <f ca="1">IF(AND(ISNUMBER($AE$468),$B$258=1),$AE$468,HLOOKUP(INDIRECT(ADDRESS(2,COLUMN())),OFFSET($BN$2,0,0,ROW()-1,60),ROW()-1,FALSE))</f>
        <v>-704.08699999999999</v>
      </c>
      <c r="AF230">
        <f ca="1">IF(AND(ISNUMBER($AF$468),$B$258=1),$AF$468,HLOOKUP(INDIRECT(ADDRESS(2,COLUMN())),OFFSET($BN$2,0,0,ROW()-1,60),ROW()-1,FALSE))</f>
        <v>-483.81200000000001</v>
      </c>
      <c r="AG230">
        <f ca="1">IF(AND(ISNUMBER($AG$468),$B$258=1),$AG$468,HLOOKUP(INDIRECT(ADDRESS(2,COLUMN())),OFFSET($BN$2,0,0,ROW()-1,60),ROW()-1,FALSE))</f>
        <v>-2559.4340000000002</v>
      </c>
      <c r="AH230">
        <f ca="1">IF(AND(ISNUMBER($AH$468),$B$258=1),$AH$468,HLOOKUP(INDIRECT(ADDRESS(2,COLUMN())),OFFSET($BN$2,0,0,ROW()-1,60),ROW()-1,FALSE))</f>
        <v>-569.56500000000005</v>
      </c>
      <c r="AI230">
        <f ca="1">IF(AND(ISNUMBER($AI$468),$B$258=1),$AI$468,HLOOKUP(INDIRECT(ADDRESS(2,COLUMN())),OFFSET($BN$2,0,0,ROW()-1,60),ROW()-1,FALSE))</f>
        <v>-1197.075</v>
      </c>
      <c r="AJ230">
        <f ca="1">IF(AND(ISNUMBER($AJ$468),$B$258=1),$AJ$468,HLOOKUP(INDIRECT(ADDRESS(2,COLUMN())),OFFSET($BN$2,0,0,ROW()-1,60),ROW()-1,FALSE))</f>
        <v>-313.99299999999999</v>
      </c>
      <c r="AK230">
        <f ca="1">IF(AND(ISNUMBER($AK$468),$B$258=1),$AK$468,HLOOKUP(INDIRECT(ADDRESS(2,COLUMN())),OFFSET($BN$2,0,0,ROW()-1,60),ROW()-1,FALSE))</f>
        <v>-129.04400000000001</v>
      </c>
      <c r="AL230">
        <f ca="1">IF(AND(ISNUMBER($AL$468),$B$258=1),$AL$468,HLOOKUP(INDIRECT(ADDRESS(2,COLUMN())),OFFSET($BN$2,0,0,ROW()-1,60),ROW()-1,FALSE))</f>
        <v>-69.322999999999993</v>
      </c>
      <c r="AM230">
        <f ca="1">IF(AND(ISNUMBER($AM$468),$B$258=1),$AM$468,HLOOKUP(INDIRECT(ADDRESS(2,COLUMN())),OFFSET($BN$2,0,0,ROW()-1,60),ROW()-1,FALSE))</f>
        <v>-90.771000000000001</v>
      </c>
      <c r="AN230">
        <f ca="1">IF(AND(ISNUMBER($AN$468),$B$258=1),$AN$468,HLOOKUP(INDIRECT(ADDRESS(2,COLUMN())),OFFSET($BN$2,0,0,ROW()-1,60),ROW()-1,FALSE))</f>
        <v>-12.903</v>
      </c>
      <c r="AO230">
        <f ca="1">IF(AND(ISNUMBER($AO$468),$B$258=1),$AO$468,HLOOKUP(INDIRECT(ADDRESS(2,COLUMN())),OFFSET($BN$2,0,0,ROW()-1,60),ROW()-1,FALSE))</f>
        <v>-48.752000000000002</v>
      </c>
      <c r="AP230">
        <f ca="1">IF(AND(ISNUMBER($AP$468),$B$258=1),$AP$468,HLOOKUP(INDIRECT(ADDRESS(2,COLUMN())),OFFSET($BN$2,0,0,ROW()-1,60),ROW()-1,FALSE))</f>
        <v>-65.274000000000001</v>
      </c>
      <c r="AQ230">
        <f ca="1">IF(AND(ISNUMBER($AQ$468),$B$258=1),$AQ$468,HLOOKUP(INDIRECT(ADDRESS(2,COLUMN())),OFFSET($BN$2,0,0,ROW()-1,60),ROW()-1,FALSE))</f>
        <v>-107.492</v>
      </c>
      <c r="AR230">
        <f ca="1">IF(AND(ISNUMBER($AR$468),$B$258=1),$AR$468,HLOOKUP(INDIRECT(ADDRESS(2,COLUMN())),OFFSET($BN$2,0,0,ROW()-1,60),ROW()-1,FALSE))</f>
        <v>-236.124</v>
      </c>
      <c r="AS230">
        <f ca="1">IF(AND(ISNUMBER($AS$468),$B$258=1),$AS$468,HLOOKUP(INDIRECT(ADDRESS(2,COLUMN())),OFFSET($BN$2,0,0,ROW()-1,60),ROW()-1,FALSE))</f>
        <v>-275.33499999999998</v>
      </c>
      <c r="AT230">
        <f ca="1">IF(AND(ISNUMBER($AT$468),$B$258=1),$AT$468,HLOOKUP(INDIRECT(ADDRESS(2,COLUMN())),OFFSET($BN$2,0,0,ROW()-1,60),ROW()-1,FALSE))</f>
        <v>-92.742000000000004</v>
      </c>
      <c r="AU230">
        <f ca="1">IF(AND(ISNUMBER($AU$468),$B$258=1),$AU$468,HLOOKUP(INDIRECT(ADDRESS(2,COLUMN())),OFFSET($BN$2,0,0,ROW()-1,60),ROW()-1,FALSE))</f>
        <v>-114.95699999999999</v>
      </c>
      <c r="AV230">
        <f ca="1">IF(AND(ISNUMBER($AV$468),$B$258=1),$AV$468,HLOOKUP(INDIRECT(ADDRESS(2,COLUMN())),OFFSET($BN$2,0,0,ROW()-1,60),ROW()-1,FALSE))</f>
        <v>-93.602999999999994</v>
      </c>
      <c r="AW230">
        <f ca="1">IF(AND(ISNUMBER($AW$468),$B$258=1),$AW$468,HLOOKUP(INDIRECT(ADDRESS(2,COLUMN())),OFFSET($BN$2,0,0,ROW()-1,60),ROW()-1,FALSE))</f>
        <v>-50.871000000000002</v>
      </c>
      <c r="AX230">
        <f ca="1">IF(AND(ISNUMBER($AX$468),$B$258=1),$AX$468,HLOOKUP(INDIRECT(ADDRESS(2,COLUMN())),OFFSET($BN$2,0,0,ROW()-1,60),ROW()-1,FALSE))</f>
        <v>-100.31699999999999</v>
      </c>
      <c r="AY230">
        <f ca="1">IF(AND(ISNUMBER($AY$468),$B$258=1),$AY$468,HLOOKUP(INDIRECT(ADDRESS(2,COLUMN())),OFFSET($BN$2,0,0,ROW()-1,60),ROW()-1,FALSE))</f>
        <v>-81.125</v>
      </c>
      <c r="AZ230">
        <f ca="1">IF(AND(ISNUMBER($AZ$468),$B$258=1),$AZ$468,HLOOKUP(INDIRECT(ADDRESS(2,COLUMN())),OFFSET($BN$2,0,0,ROW()-1,60),ROW()-1,FALSE))</f>
        <v>-54.991</v>
      </c>
      <c r="BA230">
        <f ca="1">IF(AND(ISNUMBER($BA$468),$B$258=1),$BA$468,HLOOKUP(INDIRECT(ADDRESS(2,COLUMN())),OFFSET($BN$2,0,0,ROW()-1,60),ROW()-1,FALSE))</f>
        <v>-51.18</v>
      </c>
      <c r="BB230">
        <f ca="1">IF(AND(ISNUMBER($BB$468),$B$258=1),$BB$468,HLOOKUP(INDIRECT(ADDRESS(2,COLUMN())),OFFSET($BN$2,0,0,ROW()-1,60),ROW()-1,FALSE))</f>
        <v>-25.440999999999999</v>
      </c>
      <c r="BC230">
        <f ca="1">IF(AND(ISNUMBER($BC$468),$B$258=1),$BC$468,HLOOKUP(INDIRECT(ADDRESS(2,COLUMN())),OFFSET($BN$2,0,0,ROW()-1,60),ROW()-1,FALSE))</f>
        <v>-314.42399999999998</v>
      </c>
      <c r="BD230">
        <f ca="1">IF(AND(ISNUMBER($BD$468),$B$258=1),$BD$468,HLOOKUP(INDIRECT(ADDRESS(2,COLUMN())),OFFSET($BN$2,0,0,ROW()-1,60),ROW()-1,FALSE))</f>
        <v>38.625</v>
      </c>
      <c r="BE230">
        <f ca="1">IF(AND(ISNUMBER($BE$468),$B$258=1),$BE$468,HLOOKUP(INDIRECT(ADDRESS(2,COLUMN())),OFFSET($BN$2,0,0,ROW()-1,60),ROW()-1,FALSE))</f>
        <v>-146.815</v>
      </c>
      <c r="BF230">
        <f ca="1">IF(AND(ISNUMBER($BF$468),$B$258=1),$BF$468,HLOOKUP(INDIRECT(ADDRESS(2,COLUMN())),OFFSET($BN$2,0,0,ROW()-1,60),ROW()-1,FALSE))</f>
        <v>-2.9220000000000002</v>
      </c>
      <c r="BG230">
        <f ca="1">IF(AND(ISNUMBER($BG$468),$B$258=1),$BG$468,HLOOKUP(INDIRECT(ADDRESS(2,COLUMN())),OFFSET($BN$2,0,0,ROW()-1,60),ROW()-1,FALSE))</f>
        <v>-61.896999999999998</v>
      </c>
      <c r="BH230">
        <f ca="1">IF(AND(ISNUMBER($BH$468),$B$258=1),$BH$468,HLOOKUP(INDIRECT(ADDRESS(2,COLUMN())),OFFSET($BN$2,0,0,ROW()-1,60),ROW()-1,FALSE))</f>
        <v>-244.06200000000001</v>
      </c>
      <c r="BI230">
        <f ca="1">IF(AND(ISNUMBER($BI$468),$B$258=1),$BI$468,HLOOKUP(INDIRECT(ADDRESS(2,COLUMN())),OFFSET($BN$2,0,0,ROW()-1,60),ROW()-1,FALSE))</f>
        <v>-30.123000000000001</v>
      </c>
      <c r="BJ230">
        <f ca="1">IF(AND(ISNUMBER($BJ$468),$B$258=1),$BJ$468,HLOOKUP(INDIRECT(ADDRESS(2,COLUMN())),OFFSET($BN$2,0,0,ROW()-1,60),ROW()-1,FALSE))</f>
        <v>-62.44</v>
      </c>
      <c r="BK230">
        <f ca="1">IF(AND(ISNUMBER($BK$468),$B$258=1),$BK$468,HLOOKUP(INDIRECT(ADDRESS(2,COLUMN())),OFFSET($BN$2,0,0,ROW()-1,60),ROW()-1,FALSE))</f>
        <v>11.559998</v>
      </c>
      <c r="BL230">
        <f ca="1">IF(AND(ISNUMBER($BL$468),$B$258=1),$BL$468,HLOOKUP(INDIRECT(ADDRESS(2,COLUMN())),OFFSET($BN$2,0,0,ROW()-1,60),ROW()-1,FALSE))</f>
        <v>-194.47399999999999</v>
      </c>
      <c r="BM230">
        <f ca="1">IF(AND(ISNUMBER($BM$468),$B$258=1),$BM$468,HLOOKUP(INDIRECT(ADDRESS(2,COLUMN())),OFFSET($BN$2,0,0,ROW()-1,60),ROW()-1,FALSE))</f>
        <v>-78.484999999999999</v>
      </c>
      <c r="BN230" t="str">
        <f>""</f>
        <v/>
      </c>
      <c r="BO230">
        <f>-83.638</f>
        <v>-83.638000000000005</v>
      </c>
      <c r="BP230">
        <f>-135.237</f>
        <v>-135.23699999999999</v>
      </c>
      <c r="BQ230">
        <f>193.076</f>
        <v>193.07599999999999</v>
      </c>
      <c r="BR230">
        <f>171.721</f>
        <v>171.721</v>
      </c>
      <c r="BS230">
        <f>-496.82</f>
        <v>-496.82</v>
      </c>
      <c r="BT230">
        <f>-865.336</f>
        <v>-865.33600000000001</v>
      </c>
      <c r="BU230">
        <f>123.443</f>
        <v>123.443</v>
      </c>
      <c r="BV230">
        <f>107.363</f>
        <v>107.363</v>
      </c>
      <c r="BW230">
        <f>-682.764</f>
        <v>-682.76400000000001</v>
      </c>
      <c r="BX230">
        <f>-24.784</f>
        <v>-24.783999999999999</v>
      </c>
      <c r="BY230">
        <f>-351.996</f>
        <v>-351.99599999999998</v>
      </c>
      <c r="BZ230">
        <f>-1364.192</f>
        <v>-1364.192</v>
      </c>
      <c r="CA230">
        <f>-1038.292</f>
        <v>-1038.2919999999999</v>
      </c>
      <c r="CB230">
        <f>-321.878</f>
        <v>-321.87799999999999</v>
      </c>
      <c r="CC230">
        <f>-165.918</f>
        <v>-165.91800000000001</v>
      </c>
      <c r="CD230">
        <f>123.497</f>
        <v>123.497</v>
      </c>
      <c r="CE230">
        <f>-264.041</f>
        <v>-264.041</v>
      </c>
      <c r="CF230">
        <f>-511.228</f>
        <v>-511.22800000000001</v>
      </c>
      <c r="CG230">
        <f>-566.811</f>
        <v>-566.81100000000004</v>
      </c>
      <c r="CH230">
        <f>-1650.77</f>
        <v>-1650.77</v>
      </c>
      <c r="CI230">
        <f>-970.652</f>
        <v>-970.65200000000004</v>
      </c>
      <c r="CJ230">
        <f>-749.098</f>
        <v>-749.09799999999996</v>
      </c>
      <c r="CK230">
        <f>-411.072</f>
        <v>-411.072</v>
      </c>
      <c r="CL230">
        <f>-396.156</f>
        <v>-396.15600000000001</v>
      </c>
      <c r="CM230">
        <f>-704.087</f>
        <v>-704.08699999999999</v>
      </c>
      <c r="CN230">
        <f>-483.812</f>
        <v>-483.81200000000001</v>
      </c>
      <c r="CO230">
        <f>-2559.434</f>
        <v>-2559.4340000000002</v>
      </c>
      <c r="CP230">
        <f>-569.565</f>
        <v>-569.56500000000005</v>
      </c>
      <c r="CQ230">
        <f>-1197.075</f>
        <v>-1197.075</v>
      </c>
      <c r="CR230">
        <f>-313.993</f>
        <v>-313.99299999999999</v>
      </c>
      <c r="CS230">
        <f>-129.044</f>
        <v>-129.04400000000001</v>
      </c>
      <c r="CT230">
        <f>-69.323</f>
        <v>-69.322999999999993</v>
      </c>
      <c r="CU230">
        <f>-90.771</f>
        <v>-90.771000000000001</v>
      </c>
      <c r="CV230">
        <f>-12.903</f>
        <v>-12.903</v>
      </c>
      <c r="CW230">
        <f>-48.752</f>
        <v>-48.752000000000002</v>
      </c>
      <c r="CX230">
        <f>-65.274</f>
        <v>-65.274000000000001</v>
      </c>
      <c r="CY230">
        <f>-107.492</f>
        <v>-107.492</v>
      </c>
      <c r="CZ230">
        <f>-236.124</f>
        <v>-236.124</v>
      </c>
      <c r="DA230">
        <f>-275.335</f>
        <v>-275.33499999999998</v>
      </c>
      <c r="DB230">
        <f>-92.742</f>
        <v>-92.742000000000004</v>
      </c>
      <c r="DC230">
        <f>-114.957</f>
        <v>-114.95699999999999</v>
      </c>
      <c r="DD230">
        <f>-93.603</f>
        <v>-93.602999999999994</v>
      </c>
      <c r="DE230">
        <f>-50.871</f>
        <v>-50.871000000000002</v>
      </c>
      <c r="DF230">
        <f>-100.317</f>
        <v>-100.31699999999999</v>
      </c>
      <c r="DG230">
        <f>-81.125</f>
        <v>-81.125</v>
      </c>
      <c r="DH230">
        <f>-54.991</f>
        <v>-54.991</v>
      </c>
      <c r="DI230">
        <f>-51.18</f>
        <v>-51.18</v>
      </c>
      <c r="DJ230">
        <f>-25.441</f>
        <v>-25.440999999999999</v>
      </c>
      <c r="DK230">
        <f>-314.424</f>
        <v>-314.42399999999998</v>
      </c>
      <c r="DL230">
        <f>38.625</f>
        <v>38.625</v>
      </c>
      <c r="DM230">
        <f>-146.815</f>
        <v>-146.815</v>
      </c>
      <c r="DN230">
        <f>-2.922</f>
        <v>-2.9220000000000002</v>
      </c>
      <c r="DO230">
        <f>-61.897</f>
        <v>-61.896999999999998</v>
      </c>
      <c r="DP230">
        <f>-244.062</f>
        <v>-244.06200000000001</v>
      </c>
      <c r="DQ230">
        <f>-30.123</f>
        <v>-30.123000000000001</v>
      </c>
      <c r="DR230">
        <f>-62.44</f>
        <v>-62.44</v>
      </c>
      <c r="DS230">
        <f>11.559998</f>
        <v>11.559998</v>
      </c>
      <c r="DT230">
        <f>-194.474</f>
        <v>-194.47399999999999</v>
      </c>
      <c r="DU230">
        <f>-78.485</f>
        <v>-78.484999999999999</v>
      </c>
    </row>
    <row r="231" spans="1:125">
      <c r="A231" t="str">
        <f>"FFO支付比率(%)"</f>
        <v>FFO支付比率(%)</v>
      </c>
      <c r="B231" t="str">
        <f>""</f>
        <v/>
      </c>
      <c r="E231" t="str">
        <f>"Median"</f>
        <v>Median</v>
      </c>
      <c r="F231" t="str">
        <f ca="1">IF(ISERROR(IF(MEDIAN($F$232:$F$242) = 0, "", MEDIAN($F$232:$F$242))), "", (IF(MEDIAN($F$232:$F$242) = 0, "", MEDIAN($F$232:$F$242))))</f>
        <v/>
      </c>
      <c r="G231">
        <f ca="1">IF(ISERROR(IF(MEDIAN($G$232:$G$242) = 0, "", MEDIAN($G$232:$G$242))), "", (IF(MEDIAN($G$232:$G$242) = 0, "", MEDIAN($G$232:$G$242))))</f>
        <v>81.168449850000002</v>
      </c>
      <c r="H231">
        <f ca="1">IF(ISERROR(IF(MEDIAN($H$232:$H$242) = 0, "", MEDIAN($H$232:$H$242))), "", (IF(MEDIAN($H$232:$H$242) = 0, "", MEDIAN($H$232:$H$242))))</f>
        <v>80.229395679999996</v>
      </c>
      <c r="I231">
        <f ca="1">IF(ISERROR(IF(MEDIAN($I$232:$I$242) = 0, "", MEDIAN($I$232:$I$242))), "", (IF(MEDIAN($I$232:$I$242) = 0, "", MEDIAN($I$232:$I$242))))</f>
        <v>82.41528074</v>
      </c>
      <c r="J231">
        <f ca="1">IF(ISERROR(IF(MEDIAN($J$232:$J$242) = 0, "", MEDIAN($J$232:$J$242))), "", (IF(MEDIAN($J$232:$J$242) = 0, "", MEDIAN($J$232:$J$242))))</f>
        <v>77.631727409999996</v>
      </c>
      <c r="K231">
        <f ca="1">IF(ISERROR(IF(MEDIAN($K$232:$K$242) = 0, "", MEDIAN($K$232:$K$242))), "", (IF(MEDIAN($K$232:$K$242) = 0, "", MEDIAN($K$232:$K$242))))</f>
        <v>76.79781509</v>
      </c>
      <c r="L231">
        <f ca="1">IF(ISERROR(IF(MEDIAN($L$232:$L$242) = 0, "", MEDIAN($L$232:$L$242))), "", (IF(MEDIAN($L$232:$L$242) = 0, "", MEDIAN($L$232:$L$242))))</f>
        <v>77.145367300000004</v>
      </c>
      <c r="M231">
        <f ca="1">IF(ISERROR(IF(MEDIAN($M$232:$M$242) = 0, "", MEDIAN($M$232:$M$242))), "", (IF(MEDIAN($M$232:$M$242) = 0, "", MEDIAN($M$232:$M$242))))</f>
        <v>74.139022870000005</v>
      </c>
      <c r="N231">
        <f ca="1">IF(ISERROR(IF(MEDIAN($N$232:$N$242) = 0, "", MEDIAN($N$232:$N$242))), "", (IF(MEDIAN($N$232:$N$242) = 0, "", MEDIAN($N$232:$N$242))))</f>
        <v>78.149280279999999</v>
      </c>
      <c r="O231">
        <f ca="1">IF(ISERROR(IF(MEDIAN($O$232:$O$242) = 0, "", MEDIAN($O$232:$O$242))), "", (IF(MEDIAN($O$232:$O$242) = 0, "", MEDIAN($O$232:$O$242))))</f>
        <v>72.258510954999991</v>
      </c>
      <c r="P231">
        <f ca="1">IF(ISERROR(IF(MEDIAN($P$232:$P$242) = 0, "", MEDIAN($P$232:$P$242))), "", (IF(MEDIAN($P$232:$P$242) = 0, "", MEDIAN($P$232:$P$242))))</f>
        <v>74.951517510000002</v>
      </c>
      <c r="Q231">
        <f ca="1">IF(ISERROR(IF(MEDIAN($Q$232:$Q$242) = 0, "", MEDIAN($Q$232:$Q$242))), "", (IF(MEDIAN($Q$232:$Q$242) = 0, "", MEDIAN($Q$232:$Q$242))))</f>
        <v>84.954549189999994</v>
      </c>
      <c r="R231">
        <f ca="1">IF(ISERROR(IF(MEDIAN($R$232:$R$242) = 0, "", MEDIAN($R$232:$R$242))), "", (IF(MEDIAN($R$232:$R$242) = 0, "", MEDIAN($R$232:$R$242))))</f>
        <v>79.177632529999997</v>
      </c>
      <c r="S231">
        <f ca="1">IF(ISERROR(IF(MEDIAN($S$232:$S$242) = 0, "", MEDIAN($S$232:$S$242))), "", (IF(MEDIAN($S$232:$S$242) = 0, "", MEDIAN($S$232:$S$242))))</f>
        <v>79.547680670000005</v>
      </c>
      <c r="T231">
        <f ca="1">IF(ISERROR(IF(MEDIAN($T$232:$T$242) = 0, "", MEDIAN($T$232:$T$242))), "", (IF(MEDIAN($T$232:$T$242) = 0, "", MEDIAN($T$232:$T$242))))</f>
        <v>75.789244074999999</v>
      </c>
      <c r="U231">
        <f ca="1">IF(ISERROR(IF(MEDIAN($U$232:$U$242) = 0, "", MEDIAN($U$232:$U$242))), "", (IF(MEDIAN($U$232:$U$242) = 0, "", MEDIAN($U$232:$U$242))))</f>
        <v>78.963977569999997</v>
      </c>
      <c r="V231">
        <f ca="1">IF(ISERROR(IF(MEDIAN($V$232:$V$242) = 0, "", MEDIAN($V$232:$V$242))), "", (IF(MEDIAN($V$232:$V$242) = 0, "", MEDIAN($V$232:$V$242))))</f>
        <v>79.916413610000006</v>
      </c>
      <c r="W231">
        <f ca="1">IF(ISERROR(IF(MEDIAN($W$232:$W$242) = 0, "", MEDIAN($W$232:$W$242))), "", (IF(MEDIAN($W$232:$W$242) = 0, "", MEDIAN($W$232:$W$242))))</f>
        <v>76.654423719999997</v>
      </c>
      <c r="X231">
        <f ca="1">IF(ISERROR(IF(MEDIAN($X$232:$X$242) = 0, "", MEDIAN($X$232:$X$242))), "", (IF(MEDIAN($X$232:$X$242) = 0, "", MEDIAN($X$232:$X$242))))</f>
        <v>81.514189590000001</v>
      </c>
      <c r="Y231">
        <f ca="1">IF(ISERROR(IF(MEDIAN($Y$232:$Y$242) = 0, "", MEDIAN($Y$232:$Y$242))), "", (IF(MEDIAN($Y$232:$Y$242) = 0, "", MEDIAN($Y$232:$Y$242))))</f>
        <v>75.263713080000002</v>
      </c>
      <c r="Z231">
        <f ca="1">IF(ISERROR(IF(MEDIAN($Z$232:$Z$242) = 0, "", MEDIAN($Z$232:$Z$242))), "", (IF(MEDIAN($Z$232:$Z$242) = 0, "", MEDIAN($Z$232:$Z$242))))</f>
        <v>77.155945674999998</v>
      </c>
      <c r="AA231">
        <f ca="1">IF(ISERROR(IF(MEDIAN($AA$232:$AA$242) = 0, "", MEDIAN($AA$232:$AA$242))), "", (IF(MEDIAN($AA$232:$AA$242) = 0, "", MEDIAN($AA$232:$AA$242))))</f>
        <v>84.863529139999997</v>
      </c>
      <c r="AB231">
        <f ca="1">IF(ISERROR(IF(MEDIAN($AB$232:$AB$242) = 0, "", MEDIAN($AB$232:$AB$242))), "", (IF(MEDIAN($AB$232:$AB$242) = 0, "", MEDIAN($AB$232:$AB$242))))</f>
        <v>87.73452322</v>
      </c>
      <c r="AC231">
        <f ca="1">IF(ISERROR(IF(MEDIAN($AC$232:$AC$242) = 0, "", MEDIAN($AC$232:$AC$242))), "", (IF(MEDIAN($AC$232:$AC$242) = 0, "", MEDIAN($AC$232:$AC$242))))</f>
        <v>88.349439845000006</v>
      </c>
      <c r="AD231">
        <f ca="1">IF(ISERROR(IF(MEDIAN($AD$232:$AD$242) = 0, "", MEDIAN($AD$232:$AD$242))), "", (IF(MEDIAN($AD$232:$AD$242) = 0, "", MEDIAN($AD$232:$AD$242))))</f>
        <v>87.800196595000003</v>
      </c>
      <c r="AE231">
        <f ca="1">IF(ISERROR(IF(MEDIAN($AE$232:$AE$242) = 0, "", MEDIAN($AE$232:$AE$242))), "", (IF(MEDIAN($AE$232:$AE$242) = 0, "", MEDIAN($AE$232:$AE$242))))</f>
        <v>86.398044810000002</v>
      </c>
      <c r="AF231">
        <f ca="1">IF(ISERROR(IF(MEDIAN($AF$232:$AF$242) = 0, "", MEDIAN($AF$232:$AF$242))), "", (IF(MEDIAN($AF$232:$AF$242) = 0, "", MEDIAN($AF$232:$AF$242))))</f>
        <v>95.064143760000007</v>
      </c>
      <c r="AG231">
        <f ca="1">IF(ISERROR(IF(MEDIAN($AG$232:$AG$242) = 0, "", MEDIAN($AG$232:$AG$242))), "", (IF(MEDIAN($AG$232:$AG$242) = 0, "", MEDIAN($AG$232:$AG$242))))</f>
        <v>94.359438365000003</v>
      </c>
      <c r="AH231">
        <f ca="1">IF(ISERROR(IF(MEDIAN($AH$232:$AH$242) = 0, "", MEDIAN($AH$232:$AH$242))), "", (IF(MEDIAN($AH$232:$AH$242) = 0, "", MEDIAN($AH$232:$AH$242))))</f>
        <v>93.055314659999993</v>
      </c>
      <c r="AI231">
        <f ca="1">IF(ISERROR(IF(MEDIAN($AI$232:$AI$242) = 0, "", MEDIAN($AI$232:$AI$242))), "", (IF(MEDIAN($AI$232:$AI$242) = 0, "", MEDIAN($AI$232:$AI$242))))</f>
        <v>77.65679634</v>
      </c>
      <c r="AJ231">
        <f ca="1">IF(ISERROR(IF(MEDIAN($AJ$232:$AJ$242) = 0, "", MEDIAN($AJ$232:$AJ$242))), "", (IF(MEDIAN($AJ$232:$AJ$242) = 0, "", MEDIAN($AJ$232:$AJ$242))))</f>
        <v>85.80673401</v>
      </c>
      <c r="AK231">
        <f ca="1">IF(ISERROR(IF(MEDIAN($AK$232:$AK$242) = 0, "", MEDIAN($AK$232:$AK$242))), "", (IF(MEDIAN($AK$232:$AK$242) = 0, "", MEDIAN($AK$232:$AK$242))))</f>
        <v>85.996100190000007</v>
      </c>
      <c r="AL231">
        <f ca="1">IF(ISERROR(IF(MEDIAN($AL$232:$AL$242) = 0, "", MEDIAN($AL$232:$AL$242))), "", (IF(MEDIAN($AL$232:$AL$242) = 0, "", MEDIAN($AL$232:$AL$242))))</f>
        <v>85.308838069999993</v>
      </c>
      <c r="AM231">
        <f ca="1">IF(ISERROR(IF(MEDIAN($AM$232:$AM$242) = 0, "", MEDIAN($AM$232:$AM$242))), "", (IF(MEDIAN($AM$232:$AM$242) = 0, "", MEDIAN($AM$232:$AM$242))))</f>
        <v>105.30420094999999</v>
      </c>
      <c r="AN231">
        <f ca="1">IF(ISERROR(IF(MEDIAN($AN$232:$AN$242) = 0, "", MEDIAN($AN$232:$AN$242))), "", (IF(MEDIAN($AN$232:$AN$242) = 0, "", MEDIAN($AN$232:$AN$242))))</f>
        <v>88.564239465</v>
      </c>
      <c r="AO231">
        <f ca="1">IF(ISERROR(IF(MEDIAN($AO$232:$AO$242) = 0, "", MEDIAN($AO$232:$AO$242))), "", (IF(MEDIAN($AO$232:$AO$242) = 0, "", MEDIAN($AO$232:$AO$242))))</f>
        <v>84.055578629999999</v>
      </c>
      <c r="AP231">
        <f ca="1">IF(ISERROR(IF(MEDIAN($AP$232:$AP$242) = 0, "", MEDIAN($AP$232:$AP$242))), "", (IF(MEDIAN($AP$232:$AP$242) = 0, "", MEDIAN($AP$232:$AP$242))))</f>
        <v>84.089084790000001</v>
      </c>
      <c r="AQ231">
        <f ca="1">IF(ISERROR(IF(MEDIAN($AQ$232:$AQ$242) = 0, "", MEDIAN($AQ$232:$AQ$242))), "", (IF(MEDIAN($AQ$232:$AQ$242) = 0, "", MEDIAN($AQ$232:$AQ$242))))</f>
        <v>88.033171369999991</v>
      </c>
      <c r="AR231">
        <f ca="1">IF(ISERROR(IF(MEDIAN($AR$232:$AR$242) = 0, "", MEDIAN($AR$232:$AR$242))), "", (IF(MEDIAN($AR$232:$AR$242) = 0, "", MEDIAN($AR$232:$AR$242))))</f>
        <v>82.139251790000003</v>
      </c>
      <c r="AS231">
        <f ca="1">IF(ISERROR(IF(MEDIAN($AS$232:$AS$242) = 0, "", MEDIAN($AS$232:$AS$242))), "", (IF(MEDIAN($AS$232:$AS$242) = 0, "", MEDIAN($AS$232:$AS$242))))</f>
        <v>87.481548750000002</v>
      </c>
      <c r="AT231">
        <f ca="1">IF(ISERROR(IF(MEDIAN($AT$232:$AT$242) = 0, "", MEDIAN($AT$232:$AT$242))), "", (IF(MEDIAN($AT$232:$AT$242) = 0, "", MEDIAN($AT$232:$AT$242))))</f>
        <v>83.24508462</v>
      </c>
      <c r="AU231">
        <f ca="1">IF(ISERROR(IF(MEDIAN($AU$232:$AU$242) = 0, "", MEDIAN($AU$232:$AU$242))), "", (IF(MEDIAN($AU$232:$AU$242) = 0, "", MEDIAN($AU$232:$AU$242))))</f>
        <v>82.911301264999992</v>
      </c>
      <c r="AV231">
        <f ca="1">IF(ISERROR(IF(MEDIAN($AV$232:$AV$242) = 0, "", MEDIAN($AV$232:$AV$242))), "", (IF(MEDIAN($AV$232:$AV$242) = 0, "", MEDIAN($AV$232:$AV$242))))</f>
        <v>83.812654764999991</v>
      </c>
      <c r="AW231">
        <f ca="1">IF(ISERROR(IF(MEDIAN($AW$232:$AW$242) = 0, "", MEDIAN($AW$232:$AW$242))), "", (IF(MEDIAN($AW$232:$AW$242) = 0, "", MEDIAN($AW$232:$AW$242))))</f>
        <v>82.327775389999999</v>
      </c>
      <c r="AX231">
        <f ca="1">IF(ISERROR(IF(MEDIAN($AX$232:$AX$242) = 0, "", MEDIAN($AX$232:$AX$242))), "", (IF(MEDIAN($AX$232:$AX$242) = 0, "", MEDIAN($AX$232:$AX$242))))</f>
        <v>76.630259069999994</v>
      </c>
      <c r="AY231">
        <f ca="1">IF(ISERROR(IF(MEDIAN($AY$232:$AY$242) = 0, "", MEDIAN($AY$232:$AY$242))), "", (IF(MEDIAN($AY$232:$AY$242) = 0, "", MEDIAN($AY$232:$AY$242))))</f>
        <v>90.607031474999999</v>
      </c>
      <c r="AZ231">
        <f ca="1">IF(ISERROR(IF(MEDIAN($AZ$232:$AZ$242) = 0, "", MEDIAN($AZ$232:$AZ$242))), "", (IF(MEDIAN($AZ$232:$AZ$242) = 0, "", MEDIAN($AZ$232:$AZ$242))))</f>
        <v>84.662863864999991</v>
      </c>
      <c r="BA231">
        <f ca="1">IF(ISERROR(IF(MEDIAN($BA$232:$BA$242) = 0, "", MEDIAN($BA$232:$BA$242))), "", (IF(MEDIAN($BA$232:$BA$242) = 0, "", MEDIAN($BA$232:$BA$242))))</f>
        <v>84.233732809999992</v>
      </c>
      <c r="BB231">
        <f ca="1">IF(ISERROR(IF(MEDIAN($BB$232:$BB$242) = 0, "", MEDIAN($BB$232:$BB$242))), "", (IF(MEDIAN($BB$232:$BB$242) = 0, "", MEDIAN($BB$232:$BB$242))))</f>
        <v>86.598517049999998</v>
      </c>
      <c r="BC231">
        <f ca="1">IF(ISERROR(IF(MEDIAN($BC$232:$BC$242) = 0, "", MEDIAN($BC$232:$BC$242))), "", (IF(MEDIAN($BC$232:$BC$242) = 0, "", MEDIAN($BC$232:$BC$242))))</f>
        <v>100.864348905</v>
      </c>
      <c r="BD231">
        <f ca="1">IF(ISERROR(IF(MEDIAN($BD$232:$BD$242) = 0, "", MEDIAN($BD$232:$BD$242))), "", (IF(MEDIAN($BD$232:$BD$242) = 0, "", MEDIAN($BD$232:$BD$242))))</f>
        <v>81.197202619999999</v>
      </c>
      <c r="BE231">
        <f ca="1">IF(ISERROR(IF(MEDIAN($BE$232:$BE$242) = 0, "", MEDIAN($BE$232:$BE$242))), "", (IF(MEDIAN($BE$232:$BE$242) = 0, "", MEDIAN($BE$232:$BE$242))))</f>
        <v>102.697837725</v>
      </c>
      <c r="BF231">
        <f ca="1">IF(ISERROR(IF(MEDIAN($BF$232:$BF$242) = 0, "", MEDIAN($BF$232:$BF$242))), "", (IF(MEDIAN($BF$232:$BF$242) = 0, "", MEDIAN($BF$232:$BF$242))))</f>
        <v>83.971279199999998</v>
      </c>
      <c r="BG231">
        <f ca="1">IF(ISERROR(IF(MEDIAN($BG$232:$BG$242) = 0, "", MEDIAN($BG$232:$BG$242))), "", (IF(MEDIAN($BG$232:$BG$242) = 0, "", MEDIAN($BG$232:$BG$242))))</f>
        <v>84.378843790000005</v>
      </c>
      <c r="BH231">
        <f ca="1">IF(ISERROR(IF(MEDIAN($BH$232:$BH$242) = 0, "", MEDIAN($BH$232:$BH$242))), "", (IF(MEDIAN($BH$232:$BH$242) = 0, "", MEDIAN($BH$232:$BH$242))))</f>
        <v>83.961254710000006</v>
      </c>
      <c r="BI231">
        <f ca="1">IF(ISERROR(IF(MEDIAN($BI$232:$BI$242) = 0, "", MEDIAN($BI$232:$BI$242))), "", (IF(MEDIAN($BI$232:$BI$242) = 0, "", MEDIAN($BI$232:$BI$242))))</f>
        <v>84.435484790000004</v>
      </c>
      <c r="BJ231">
        <f ca="1">IF(ISERROR(IF(MEDIAN($BJ$232:$BJ$242) = 0, "", MEDIAN($BJ$232:$BJ$242))), "", (IF(MEDIAN($BJ$232:$BJ$242) = 0, "", MEDIAN($BJ$232:$BJ$242))))</f>
        <v>79.785094290000004</v>
      </c>
      <c r="BK231">
        <f ca="1">IF(ISERROR(IF(MEDIAN($BK$232:$BK$242) = 0, "", MEDIAN($BK$232:$BK$242))), "", (IF(MEDIAN($BK$232:$BK$242) = 0, "", MEDIAN($BK$232:$BK$242))))</f>
        <v>66.486888829999998</v>
      </c>
      <c r="BL231">
        <f ca="1">IF(ISERROR(IF(MEDIAN($BL$232:$BL$242) = 0, "", MEDIAN($BL$232:$BL$242))), "", (IF(MEDIAN($BL$232:$BL$242) = 0, "", MEDIAN($BL$232:$BL$242))))</f>
        <v>52.681790509999999</v>
      </c>
      <c r="BM231">
        <f ca="1">IF(ISERROR(IF(MEDIAN($BM$232:$BM$242) = 0, "", MEDIAN($BM$232:$BM$242))), "", (IF(MEDIAN($BM$232:$BM$242) = 0, "", MEDIAN($BM$232:$BM$242))))</f>
        <v>65.742301819999994</v>
      </c>
      <c r="BN231" t="str">
        <f>""</f>
        <v/>
      </c>
      <c r="BO231">
        <f>81.16844985</f>
        <v>81.168449850000002</v>
      </c>
      <c r="BP231">
        <f>80.22939568</f>
        <v>80.229395679999996</v>
      </c>
      <c r="BQ231">
        <f>82.41528074</f>
        <v>82.41528074</v>
      </c>
      <c r="BR231">
        <f>77.63172741</f>
        <v>77.631727409999996</v>
      </c>
      <c r="BS231">
        <f>76.79781509</f>
        <v>76.79781509</v>
      </c>
      <c r="BT231">
        <f>77.1453673</f>
        <v>77.145367300000004</v>
      </c>
      <c r="BU231">
        <f>74.13902287</f>
        <v>74.139022870000005</v>
      </c>
      <c r="BV231">
        <f>78.14928028</f>
        <v>78.149280279999999</v>
      </c>
      <c r="BW231">
        <f>72.25851095</f>
        <v>72.258510950000002</v>
      </c>
      <c r="BX231">
        <f>74.95151751</f>
        <v>74.951517510000002</v>
      </c>
      <c r="BY231">
        <f>84.95454919</f>
        <v>84.954549189999994</v>
      </c>
      <c r="BZ231">
        <f>79.17763253</f>
        <v>79.177632529999997</v>
      </c>
      <c r="CA231">
        <f>79.54768067</f>
        <v>79.547680670000005</v>
      </c>
      <c r="CB231">
        <f>75.78924407</f>
        <v>75.789244069999995</v>
      </c>
      <c r="CC231">
        <f>78.96397757</f>
        <v>78.963977569999997</v>
      </c>
      <c r="CD231">
        <f>79.91641361</f>
        <v>79.916413610000006</v>
      </c>
      <c r="CE231">
        <f>76.65442372</f>
        <v>76.654423719999997</v>
      </c>
      <c r="CF231">
        <f>81.51418959</f>
        <v>81.514189590000001</v>
      </c>
      <c r="CG231">
        <f>75.26371308</f>
        <v>75.263713080000002</v>
      </c>
      <c r="CH231">
        <f>77.15594568</f>
        <v>77.155945680000002</v>
      </c>
      <c r="CI231">
        <f>84.86352914</f>
        <v>84.863529139999997</v>
      </c>
      <c r="CJ231">
        <f>87.73452322</f>
        <v>87.73452322</v>
      </c>
      <c r="CK231">
        <f>88.34943985</f>
        <v>88.349439849999996</v>
      </c>
      <c r="CL231">
        <f>87.80019659</f>
        <v>87.800196589999999</v>
      </c>
      <c r="CM231">
        <f>86.39804481</f>
        <v>86.398044810000002</v>
      </c>
      <c r="CN231">
        <f>95.06414376</f>
        <v>95.064143759999993</v>
      </c>
      <c r="CO231">
        <f>94.35943836</f>
        <v>94.359438359999999</v>
      </c>
      <c r="CP231">
        <f>93.05531466</f>
        <v>93.055314659999993</v>
      </c>
      <c r="CQ231">
        <f>77.65679634</f>
        <v>77.65679634</v>
      </c>
      <c r="CR231">
        <f>85.80673401</f>
        <v>85.80673401</v>
      </c>
      <c r="CS231">
        <f>85.99610019</f>
        <v>85.996100190000007</v>
      </c>
      <c r="CT231">
        <f>85.30883807</f>
        <v>85.308838069999993</v>
      </c>
      <c r="CU231">
        <f>105.3042009</f>
        <v>105.3042009</v>
      </c>
      <c r="CV231">
        <f>88.56423947</f>
        <v>88.564239470000004</v>
      </c>
      <c r="CW231">
        <f>84.05557863</f>
        <v>84.055578629999999</v>
      </c>
      <c r="CX231">
        <f>84.08908479</f>
        <v>84.089084790000001</v>
      </c>
      <c r="CY231">
        <f>88.03317137</f>
        <v>88.033171370000005</v>
      </c>
      <c r="CZ231">
        <f>82.13925179</f>
        <v>82.139251790000003</v>
      </c>
      <c r="DA231">
        <f>87.48154875</f>
        <v>87.481548750000002</v>
      </c>
      <c r="DB231">
        <f>83.24508462</f>
        <v>83.24508462</v>
      </c>
      <c r="DC231">
        <f>82.91130126</f>
        <v>82.911301260000002</v>
      </c>
      <c r="DD231">
        <f>83.81265476</f>
        <v>83.812654760000001</v>
      </c>
      <c r="DE231">
        <f>82.32777539</f>
        <v>82.327775389999999</v>
      </c>
      <c r="DF231">
        <f>76.63025907</f>
        <v>76.630259069999994</v>
      </c>
      <c r="DG231">
        <f>90.60703147</f>
        <v>90.607031469999995</v>
      </c>
      <c r="DH231">
        <f>84.66286386</f>
        <v>84.662863860000002</v>
      </c>
      <c r="DI231">
        <f>84.23373281</f>
        <v>84.233732810000006</v>
      </c>
      <c r="DJ231">
        <f>86.59851705</f>
        <v>86.598517049999998</v>
      </c>
      <c r="DK231">
        <f>100.8643489</f>
        <v>100.8643489</v>
      </c>
      <c r="DL231">
        <f>81.19720262</f>
        <v>81.197202619999999</v>
      </c>
      <c r="DM231">
        <f>102.6978377</f>
        <v>102.69783769999999</v>
      </c>
      <c r="DN231">
        <f>83.9712792</f>
        <v>83.971279199999998</v>
      </c>
      <c r="DO231">
        <f>84.37884379</f>
        <v>84.378843790000005</v>
      </c>
      <c r="DP231">
        <f>83.96125471</f>
        <v>83.961254710000006</v>
      </c>
      <c r="DQ231">
        <f>84.43548479</f>
        <v>84.435484790000004</v>
      </c>
      <c r="DR231">
        <f>79.78509429</f>
        <v>79.785094290000004</v>
      </c>
      <c r="DS231">
        <f>66.48688883</f>
        <v>66.486888829999998</v>
      </c>
      <c r="DT231">
        <f>52.68179051</f>
        <v>52.681790509999999</v>
      </c>
      <c r="DU231">
        <f>65.74230182</f>
        <v>65.742301819999994</v>
      </c>
    </row>
    <row r="232" spans="1:125">
      <c r="A232" t="str">
        <f>"    Alexandria Real Estate Equitie"</f>
        <v xml:space="preserve">    Alexandria Real Estate Equitie</v>
      </c>
      <c r="B232" t="str">
        <f>"ARE US Equity"</f>
        <v>ARE US Equity</v>
      </c>
      <c r="C232" t="str">
        <f t="shared" ref="C232:C242" si="57">"RR106"</f>
        <v>RR106</v>
      </c>
      <c r="D232" t="str">
        <f t="shared" ref="D232:D242" si="58">"FFO_PAYOUT_RATIO"</f>
        <v>FFO_PAYOUT_RATIO</v>
      </c>
      <c r="E232" t="str">
        <f t="shared" ref="E232:E242" si="59">"动态"</f>
        <v>动态</v>
      </c>
      <c r="F232" t="str">
        <f ca="1">IF(AND(ISNUMBER($F$469),$B$258=1),$F$469,HLOOKUP(INDIRECT(ADDRESS(2,COLUMN())),OFFSET($BN$2,0,0,ROW()-1,60),ROW()-1,FALSE))</f>
        <v/>
      </c>
      <c r="G232">
        <f ca="1">IF(AND(ISNUMBER($G$469),$B$258=1),$G$469,HLOOKUP(INDIRECT(ADDRESS(2,COLUMN())),OFFSET($BN$2,0,0,ROW()-1,60),ROW()-1,FALSE))</f>
        <v>60.957242319999999</v>
      </c>
      <c r="H232">
        <f ca="1">IF(AND(ISNUMBER($H$469),$B$258=1),$H$469,HLOOKUP(INDIRECT(ADDRESS(2,COLUMN())),OFFSET($BN$2,0,0,ROW()-1,60),ROW()-1,FALSE))</f>
        <v>58.462915469999999</v>
      </c>
      <c r="I232">
        <f ca="1">IF(AND(ISNUMBER($I$469),$B$258=1),$I$469,HLOOKUP(INDIRECT(ADDRESS(2,COLUMN())),OFFSET($BN$2,0,0,ROW()-1,60),ROW()-1,FALSE))</f>
        <v>58.899145949999998</v>
      </c>
      <c r="J232">
        <f ca="1">IF(AND(ISNUMBER($J$469),$B$258=1),$J$469,HLOOKUP(INDIRECT(ADDRESS(2,COLUMN())),OFFSET($BN$2,0,0,ROW()-1,60),ROW()-1,FALSE))</f>
        <v>62.050125020000003</v>
      </c>
      <c r="K232">
        <f ca="1">IF(AND(ISNUMBER($K$469),$B$258=1),$K$469,HLOOKUP(INDIRECT(ADDRESS(2,COLUMN())),OFFSET($BN$2,0,0,ROW()-1,60),ROW()-1,FALSE))</f>
        <v>98.706268489999999</v>
      </c>
      <c r="L232">
        <f ca="1">IF(AND(ISNUMBER($L$469),$B$258=1),$L$469,HLOOKUP(INDIRECT(ADDRESS(2,COLUMN())),OFFSET($BN$2,0,0,ROW()-1,60),ROW()-1,FALSE))</f>
        <v>71.902654870000006</v>
      </c>
      <c r="M232">
        <f ca="1">IF(AND(ISNUMBER($M$469),$B$258=1),$M$469,HLOOKUP(INDIRECT(ADDRESS(2,COLUMN())),OFFSET($BN$2,0,0,ROW()-1,60),ROW()-1,FALSE))</f>
        <v>202.63522029999999</v>
      </c>
      <c r="N232">
        <f ca="1">IF(AND(ISNUMBER($N$469),$B$258=1),$N$469,HLOOKUP(INDIRECT(ADDRESS(2,COLUMN())),OFFSET($BN$2,0,0,ROW()-1,60),ROW()-1,FALSE))</f>
        <v>86.362941449999994</v>
      </c>
      <c r="O232">
        <f ca="1">IF(AND(ISNUMBER($O$469),$B$258=1),$O$469,HLOOKUP(INDIRECT(ADDRESS(2,COLUMN())),OFFSET($BN$2,0,0,ROW()-1,60),ROW()-1,FALSE))</f>
        <v>53.466288390000003</v>
      </c>
      <c r="P232">
        <f ca="1">IF(AND(ISNUMBER($P$469),$B$258=1),$P$469,HLOOKUP(INDIRECT(ADDRESS(2,COLUMN())),OFFSET($BN$2,0,0,ROW()-1,60),ROW()-1,FALSE))</f>
        <v>55.60039458</v>
      </c>
      <c r="Q232">
        <f ca="1">IF(AND(ISNUMBER($Q$469),$B$258=1),$Q$469,HLOOKUP(INDIRECT(ADDRESS(2,COLUMN())),OFFSET($BN$2,0,0,ROW()-1,60),ROW()-1,FALSE))</f>
        <v>57.054787920000003</v>
      </c>
      <c r="R232">
        <f ca="1">IF(AND(ISNUMBER($R$469),$B$258=1),$R$469,HLOOKUP(INDIRECT(ADDRESS(2,COLUMN())),OFFSET($BN$2,0,0,ROW()-1,60),ROW()-1,FALSE))</f>
        <v>58.353041650000002</v>
      </c>
      <c r="S232">
        <f ca="1">IF(AND(ISNUMBER($S$469),$B$258=1),$S$469,HLOOKUP(INDIRECT(ADDRESS(2,COLUMN())),OFFSET($BN$2,0,0,ROW()-1,60),ROW()-1,FALSE))</f>
        <v>85.84361122</v>
      </c>
      <c r="T232">
        <f ca="1">IF(AND(ISNUMBER($T$469),$B$258=1),$T$469,HLOOKUP(INDIRECT(ADDRESS(2,COLUMN())),OFFSET($BN$2,0,0,ROW()-1,60),ROW()-1,FALSE))</f>
        <v>60.5430171</v>
      </c>
      <c r="U232">
        <f ca="1">IF(AND(ISNUMBER($U$469),$B$258=1),$U$469,HLOOKUP(INDIRECT(ADDRESS(2,COLUMN())),OFFSET($BN$2,0,0,ROW()-1,60),ROW()-1,FALSE))</f>
        <v>62.842402939999999</v>
      </c>
      <c r="V232">
        <f ca="1">IF(AND(ISNUMBER($V$469),$B$258=1),$V$469,HLOOKUP(INDIRECT(ADDRESS(2,COLUMN())),OFFSET($BN$2,0,0,ROW()-1,60),ROW()-1,FALSE))</f>
        <v>58.642109060000003</v>
      </c>
      <c r="W232">
        <f ca="1">IF(AND(ISNUMBER($W$469),$B$258=1),$W$469,HLOOKUP(INDIRECT(ADDRESS(2,COLUMN())),OFFSET($BN$2,0,0,ROW()-1,60),ROW()-1,FALSE))</f>
        <v>60.185993170000003</v>
      </c>
      <c r="X232">
        <f ca="1">IF(AND(ISNUMBER($X$469),$B$258=1),$X$469,HLOOKUP(INDIRECT(ADDRESS(2,COLUMN())),OFFSET($BN$2,0,0,ROW()-1,60),ROW()-1,FALSE))</f>
        <v>66.184743319999995</v>
      </c>
      <c r="Y232">
        <f ca="1">IF(AND(ISNUMBER($Y$469),$B$258=1),$Y$469,HLOOKUP(INDIRECT(ADDRESS(2,COLUMN())),OFFSET($BN$2,0,0,ROW()-1,60),ROW()-1,FALSE))</f>
        <v>61.293454230000002</v>
      </c>
      <c r="Z232">
        <f ca="1">IF(AND(ISNUMBER($Z$469),$B$258=1),$Z$469,HLOOKUP(INDIRECT(ADDRESS(2,COLUMN())),OFFSET($BN$2,0,0,ROW()-1,60),ROW()-1,FALSE))</f>
        <v>50.950858060000002</v>
      </c>
      <c r="AA232">
        <f ca="1">IF(AND(ISNUMBER($AA$469),$B$258=1),$AA$469,HLOOKUP(INDIRECT(ADDRESS(2,COLUMN())),OFFSET($BN$2,0,0,ROW()-1,60),ROW()-1,FALSE))</f>
        <v>49.829377340000001</v>
      </c>
      <c r="AB232">
        <f ca="1">IF(AND(ISNUMBER($AB$469),$B$258=1),$AB$469,HLOOKUP(INDIRECT(ADDRESS(2,COLUMN())),OFFSET($BN$2,0,0,ROW()-1,60),ROW()-1,FALSE))</f>
        <v>49.257727039999999</v>
      </c>
      <c r="AC232">
        <f ca="1">IF(AND(ISNUMBER($AC$469),$B$258=1),$AC$469,HLOOKUP(INDIRECT(ADDRESS(2,COLUMN())),OFFSET($BN$2,0,0,ROW()-1,60),ROW()-1,FALSE))</f>
        <v>44.959298339999997</v>
      </c>
      <c r="AD232">
        <f ca="1">IF(AND(ISNUMBER($AD$469),$B$258=1),$AD$469,HLOOKUP(INDIRECT(ADDRESS(2,COLUMN())),OFFSET($BN$2,0,0,ROW()-1,60),ROW()-1,FALSE))</f>
        <v>50.912836660000004</v>
      </c>
      <c r="AE232">
        <f ca="1">IF(AND(ISNUMBER($AE$469),$B$258=1),$AE$469,HLOOKUP(INDIRECT(ADDRESS(2,COLUMN())),OFFSET($BN$2,0,0,ROW()-1,60),ROW()-1,FALSE))</f>
        <v>44.391883300000003</v>
      </c>
      <c r="AF232">
        <f ca="1">IF(AND(ISNUMBER($AF$469),$B$258=1),$AF$469,HLOOKUP(INDIRECT(ADDRESS(2,COLUMN())),OFFSET($BN$2,0,0,ROW()-1,60),ROW()-1,FALSE))</f>
        <v>44.611824560000002</v>
      </c>
      <c r="AG232">
        <f ca="1">IF(AND(ISNUMBER($AG$469),$B$258=1),$AG$469,HLOOKUP(INDIRECT(ADDRESS(2,COLUMN())),OFFSET($BN$2,0,0,ROW()-1,60),ROW()-1,FALSE))</f>
        <v>39.934201170000001</v>
      </c>
      <c r="AH232">
        <f ca="1">IF(AND(ISNUMBER($AH$469),$B$258=1),$AH$469,HLOOKUP(INDIRECT(ADDRESS(2,COLUMN())),OFFSET($BN$2,0,0,ROW()-1,60),ROW()-1,FALSE))</f>
        <v>41.198298039999997</v>
      </c>
      <c r="AI232">
        <f ca="1">IF(AND(ISNUMBER($AI$469),$B$258=1),$AI$469,HLOOKUP(INDIRECT(ADDRESS(2,COLUMN())),OFFSET($BN$2,0,0,ROW()-1,60),ROW()-1,FALSE))</f>
        <v>42.223115059999998</v>
      </c>
      <c r="AJ232">
        <f ca="1">IF(AND(ISNUMBER($AJ$469),$B$258=1),$AJ$469,HLOOKUP(INDIRECT(ADDRESS(2,COLUMN())),OFFSET($BN$2,0,0,ROW()-1,60),ROW()-1,FALSE))</f>
        <v>32.365182040000001</v>
      </c>
      <c r="AK232">
        <f ca="1">IF(AND(ISNUMBER($AK$469),$B$258=1),$AK$469,HLOOKUP(INDIRECT(ADDRESS(2,COLUMN())),OFFSET($BN$2,0,0,ROW()-1,60),ROW()-1,FALSE))</f>
        <v>159.59908229999999</v>
      </c>
      <c r="AL232">
        <f ca="1">IF(AND(ISNUMBER($AL$469),$B$258=1),$AL$469,HLOOKUP(INDIRECT(ADDRESS(2,COLUMN())),OFFSET($BN$2,0,0,ROW()-1,60),ROW()-1,FALSE))</f>
        <v>28.413519359999999</v>
      </c>
      <c r="AM232">
        <f ca="1">IF(AND(ISNUMBER($AM$469),$B$258=1),$AM$469,HLOOKUP(INDIRECT(ADDRESS(2,COLUMN())),OFFSET($BN$2,0,0,ROW()-1,60),ROW()-1,FALSE))</f>
        <v>28.205083599999998</v>
      </c>
      <c r="AN232">
        <f ca="1">IF(AND(ISNUMBER($AN$469),$B$258=1),$AN$469,HLOOKUP(INDIRECT(ADDRESS(2,COLUMN())),OFFSET($BN$2,0,0,ROW()-1,60),ROW()-1,FALSE))</f>
        <v>27.036507929999999</v>
      </c>
      <c r="AO232">
        <f ca="1">IF(AND(ISNUMBER($AO$469),$B$258=1),$AO$469,HLOOKUP(INDIRECT(ADDRESS(2,COLUMN())),OFFSET($BN$2,0,0,ROW()-1,60),ROW()-1,FALSE))</f>
        <v>20.75819027</v>
      </c>
      <c r="AP232">
        <f ca="1">IF(AND(ISNUMBER($AP$469),$B$258=1),$AP$469,HLOOKUP(INDIRECT(ADDRESS(2,COLUMN())),OFFSET($BN$2,0,0,ROW()-1,60),ROW()-1,FALSE))</f>
        <v>42.366477199999999</v>
      </c>
      <c r="AQ232">
        <f ca="1">IF(AND(ISNUMBER($AQ$469),$B$258=1),$AQ$469,HLOOKUP(INDIRECT(ADDRESS(2,COLUMN())),OFFSET($BN$2,0,0,ROW()-1,60),ROW()-1,FALSE))</f>
        <v>53.836951900000003</v>
      </c>
      <c r="AR232">
        <f ca="1">IF(AND(ISNUMBER($AR$469),$B$258=1),$AR$469,HLOOKUP(INDIRECT(ADDRESS(2,COLUMN())),OFFSET($BN$2,0,0,ROW()-1,60),ROW()-1,FALSE))</f>
        <v>54.796033970000003</v>
      </c>
      <c r="AS232">
        <f ca="1">IF(AND(ISNUMBER($AS$469),$B$258=1),$AS$469,HLOOKUP(INDIRECT(ADDRESS(2,COLUMN())),OFFSET($BN$2,0,0,ROW()-1,60),ROW()-1,FALSE))</f>
        <v>55.25108067</v>
      </c>
      <c r="AT232">
        <f ca="1">IF(AND(ISNUMBER($AT$469),$B$258=1),$AT$469,HLOOKUP(INDIRECT(ADDRESS(2,COLUMN())),OFFSET($BN$2,0,0,ROW()-1,60),ROW()-1,FALSE))</f>
        <v>64.303405060000003</v>
      </c>
      <c r="AU232">
        <f ca="1">IF(AND(ISNUMBER($AU$469),$B$258=1),$AU$469,HLOOKUP(INDIRECT(ADDRESS(2,COLUMN())),OFFSET($BN$2,0,0,ROW()-1,60),ROW()-1,FALSE))</f>
        <v>52.950218499999998</v>
      </c>
      <c r="AV232">
        <f ca="1">IF(AND(ISNUMBER($AV$469),$B$258=1),$AV$469,HLOOKUP(INDIRECT(ADDRESS(2,COLUMN())),OFFSET($BN$2,0,0,ROW()-1,60),ROW()-1,FALSE))</f>
        <v>52.047421389999997</v>
      </c>
      <c r="AW232">
        <f ca="1">IF(AND(ISNUMBER($AW$469),$B$258=1),$AW$469,HLOOKUP(INDIRECT(ADDRESS(2,COLUMN())),OFFSET($BN$2,0,0,ROW()-1,60),ROW()-1,FALSE))</f>
        <v>53.054700029999999</v>
      </c>
      <c r="AX232">
        <f ca="1">IF(AND(ISNUMBER($AX$469),$B$258=1),$AX$469,HLOOKUP(INDIRECT(ADDRESS(2,COLUMN())),OFFSET($BN$2,0,0,ROW()-1,60),ROW()-1,FALSE))</f>
        <v>56.95808933</v>
      </c>
      <c r="AY232">
        <f ca="1">IF(AND(ISNUMBER($AY$469),$B$258=1),$AY$469,HLOOKUP(INDIRECT(ADDRESS(2,COLUMN())),OFFSET($BN$2,0,0,ROW()-1,60),ROW()-1,FALSE))</f>
        <v>68.613004050000001</v>
      </c>
      <c r="AZ232">
        <f ca="1">IF(AND(ISNUMBER($AZ$469),$B$258=1),$AZ$469,HLOOKUP(INDIRECT(ADDRESS(2,COLUMN())),OFFSET($BN$2,0,0,ROW()-1,60),ROW()-1,FALSE))</f>
        <v>53.797355660000001</v>
      </c>
      <c r="BA232">
        <f ca="1">IF(AND(ISNUMBER($BA$469),$B$258=1),$BA$469,HLOOKUP(INDIRECT(ADDRESS(2,COLUMN())),OFFSET($BN$2,0,0,ROW()-1,60),ROW()-1,FALSE))</f>
        <v>54.742074109999997</v>
      </c>
      <c r="BB232">
        <f ca="1">IF(AND(ISNUMBER($BB$469),$B$258=1),$BB$469,HLOOKUP(INDIRECT(ADDRESS(2,COLUMN())),OFFSET($BN$2,0,0,ROW()-1,60),ROW()-1,FALSE))</f>
        <v>55.5004724</v>
      </c>
      <c r="BC232">
        <f ca="1">IF(AND(ISNUMBER($BC$469),$B$258=1),$BC$469,HLOOKUP(INDIRECT(ADDRESS(2,COLUMN())),OFFSET($BN$2,0,0,ROW()-1,60),ROW()-1,FALSE))</f>
        <v>65.519158309999995</v>
      </c>
      <c r="BD232">
        <f ca="1">IF(AND(ISNUMBER($BD$469),$B$258=1),$BD$469,HLOOKUP(INDIRECT(ADDRESS(2,COLUMN())),OFFSET($BN$2,0,0,ROW()-1,60),ROW()-1,FALSE))</f>
        <v>55.227403600000002</v>
      </c>
      <c r="BE232">
        <f ca="1">IF(AND(ISNUMBER($BE$469),$B$258=1),$BE$469,HLOOKUP(INDIRECT(ADDRESS(2,COLUMN())),OFFSET($BN$2,0,0,ROW()-1,60),ROW()-1,FALSE))</f>
        <v>55.827850669999997</v>
      </c>
      <c r="BF232">
        <f ca="1">IF(AND(ISNUMBER($BF$469),$B$258=1),$BF$469,HLOOKUP(INDIRECT(ADDRESS(2,COLUMN())),OFFSET($BN$2,0,0,ROW()-1,60),ROW()-1,FALSE))</f>
        <v>54.427690609999999</v>
      </c>
      <c r="BG232">
        <f ca="1">IF(AND(ISNUMBER($BG$469),$B$258=1),$BG$469,HLOOKUP(INDIRECT(ADDRESS(2,COLUMN())),OFFSET($BN$2,0,0,ROW()-1,60),ROW()-1,FALSE))</f>
        <v>54.783686729999999</v>
      </c>
      <c r="BH232">
        <f ca="1">IF(AND(ISNUMBER($BH$469),$B$258=1),$BH$469,HLOOKUP(INDIRECT(ADDRESS(2,COLUMN())),OFFSET($BN$2,0,0,ROW()-1,60),ROW()-1,FALSE))</f>
        <v>56.442347789999999</v>
      </c>
      <c r="BI232">
        <f ca="1">IF(AND(ISNUMBER($BI$469),$B$258=1),$BI$469,HLOOKUP(INDIRECT(ADDRESS(2,COLUMN())),OFFSET($BN$2,0,0,ROW()-1,60),ROW()-1,FALSE))</f>
        <v>60.343174359999999</v>
      </c>
      <c r="BJ232">
        <f ca="1">IF(AND(ISNUMBER($BJ$469),$B$258=1),$BJ$469,HLOOKUP(INDIRECT(ADDRESS(2,COLUMN())),OFFSET($BN$2,0,0,ROW()-1,60),ROW()-1,FALSE))</f>
        <v>53.677395310000001</v>
      </c>
      <c r="BK232">
        <f ca="1">IF(AND(ISNUMBER($BK$469),$B$258=1),$BK$469,HLOOKUP(INDIRECT(ADDRESS(2,COLUMN())),OFFSET($BN$2,0,0,ROW()-1,60),ROW()-1,FALSE))</f>
        <v>53.128863529999997</v>
      </c>
      <c r="BL232">
        <f ca="1">IF(AND(ISNUMBER($BL$469),$B$258=1),$BL$469,HLOOKUP(INDIRECT(ADDRESS(2,COLUMN())),OFFSET($BN$2,0,0,ROW()-1,60),ROW()-1,FALSE))</f>
        <v>17.657833119999999</v>
      </c>
      <c r="BM232">
        <f ca="1">IF(AND(ISNUMBER($BM$469),$B$258=1),$BM$469,HLOOKUP(INDIRECT(ADDRESS(2,COLUMN())),OFFSET($BN$2,0,0,ROW()-1,60),ROW()-1,FALSE))</f>
        <v>50.013920779999999</v>
      </c>
      <c r="BN232" t="str">
        <f>""</f>
        <v/>
      </c>
      <c r="BO232">
        <f>60.95724232</f>
        <v>60.957242319999999</v>
      </c>
      <c r="BP232">
        <f>58.46291547</f>
        <v>58.462915469999999</v>
      </c>
      <c r="BQ232">
        <f>58.89914595</f>
        <v>58.899145949999998</v>
      </c>
      <c r="BR232">
        <f>62.05012502</f>
        <v>62.050125020000003</v>
      </c>
      <c r="BS232">
        <f>98.70626849</f>
        <v>98.706268489999999</v>
      </c>
      <c r="BT232">
        <f>71.90265487</f>
        <v>71.902654870000006</v>
      </c>
      <c r="BU232">
        <f>202.6352203</f>
        <v>202.63522029999999</v>
      </c>
      <c r="BV232">
        <f>86.36294145</f>
        <v>86.362941449999994</v>
      </c>
      <c r="BW232">
        <f>53.46628839</f>
        <v>53.466288390000003</v>
      </c>
      <c r="BX232">
        <f>55.60039458</f>
        <v>55.60039458</v>
      </c>
      <c r="BY232">
        <f>57.05478792</f>
        <v>57.054787920000003</v>
      </c>
      <c r="BZ232">
        <f>58.35304165</f>
        <v>58.353041650000002</v>
      </c>
      <c r="CA232">
        <f>85.84361122</f>
        <v>85.84361122</v>
      </c>
      <c r="CB232">
        <f>60.5430171</f>
        <v>60.5430171</v>
      </c>
      <c r="CC232">
        <f>62.84240294</f>
        <v>62.842402939999999</v>
      </c>
      <c r="CD232">
        <f>58.64210906</f>
        <v>58.642109060000003</v>
      </c>
      <c r="CE232">
        <f>60.18599317</f>
        <v>60.185993170000003</v>
      </c>
      <c r="CF232">
        <f>66.18474332</f>
        <v>66.184743319999995</v>
      </c>
      <c r="CG232">
        <f>61.29345423</f>
        <v>61.293454230000002</v>
      </c>
      <c r="CH232">
        <f>50.95085806</f>
        <v>50.950858060000002</v>
      </c>
      <c r="CI232">
        <f>49.82937734</f>
        <v>49.829377340000001</v>
      </c>
      <c r="CJ232">
        <f>49.25772704</f>
        <v>49.257727039999999</v>
      </c>
      <c r="CK232">
        <f>44.95929834</f>
        <v>44.959298339999997</v>
      </c>
      <c r="CL232">
        <f>50.91283666</f>
        <v>50.912836660000004</v>
      </c>
      <c r="CM232">
        <f>44.3918833</f>
        <v>44.391883300000003</v>
      </c>
      <c r="CN232">
        <f>44.61182456</f>
        <v>44.611824560000002</v>
      </c>
      <c r="CO232">
        <f>39.93420117</f>
        <v>39.934201170000001</v>
      </c>
      <c r="CP232">
        <f>41.19829804</f>
        <v>41.198298039999997</v>
      </c>
      <c r="CQ232">
        <f>42.22311506</f>
        <v>42.223115059999998</v>
      </c>
      <c r="CR232">
        <f>32.36518204</f>
        <v>32.365182040000001</v>
      </c>
      <c r="CS232">
        <f>159.5990823</f>
        <v>159.59908229999999</v>
      </c>
      <c r="CT232">
        <f>28.41351936</f>
        <v>28.413519359999999</v>
      </c>
      <c r="CU232">
        <f>28.2050836</f>
        <v>28.205083599999998</v>
      </c>
      <c r="CV232">
        <f>27.03650793</f>
        <v>27.036507929999999</v>
      </c>
      <c r="CW232">
        <f>20.75819027</f>
        <v>20.75819027</v>
      </c>
      <c r="CX232">
        <f>42.3664772</f>
        <v>42.366477199999999</v>
      </c>
      <c r="CY232">
        <f>53.8369519</f>
        <v>53.836951900000003</v>
      </c>
      <c r="CZ232">
        <f>54.79603397</f>
        <v>54.796033970000003</v>
      </c>
      <c r="DA232">
        <f>55.25108067</f>
        <v>55.25108067</v>
      </c>
      <c r="DB232">
        <f>64.30340506</f>
        <v>64.303405060000003</v>
      </c>
      <c r="DC232">
        <f>52.9502185</f>
        <v>52.950218499999998</v>
      </c>
      <c r="DD232">
        <f>52.04742139</f>
        <v>52.047421389999997</v>
      </c>
      <c r="DE232">
        <f>53.05470003</f>
        <v>53.054700029999999</v>
      </c>
      <c r="DF232">
        <f>56.95808933</f>
        <v>56.95808933</v>
      </c>
      <c r="DG232">
        <f>68.61300405</f>
        <v>68.613004050000001</v>
      </c>
      <c r="DH232">
        <f>53.79735566</f>
        <v>53.797355660000001</v>
      </c>
      <c r="DI232">
        <f>54.74207411</f>
        <v>54.742074109999997</v>
      </c>
      <c r="DJ232">
        <f>55.5004724</f>
        <v>55.5004724</v>
      </c>
      <c r="DK232">
        <f>65.51915831</f>
        <v>65.519158309999995</v>
      </c>
      <c r="DL232">
        <f>55.2274036</f>
        <v>55.227403600000002</v>
      </c>
      <c r="DM232">
        <f>55.82785067</f>
        <v>55.827850669999997</v>
      </c>
      <c r="DN232">
        <f>54.42769061</f>
        <v>54.427690609999999</v>
      </c>
      <c r="DO232">
        <f>54.78368673</f>
        <v>54.783686729999999</v>
      </c>
      <c r="DP232">
        <f>56.44234779</f>
        <v>56.442347789999999</v>
      </c>
      <c r="DQ232">
        <f>60.34317436</f>
        <v>60.343174359999999</v>
      </c>
      <c r="DR232">
        <f>53.67739531</f>
        <v>53.677395310000001</v>
      </c>
      <c r="DS232">
        <f>53.12886353</f>
        <v>53.128863529999997</v>
      </c>
      <c r="DT232">
        <f>17.65783312</f>
        <v>17.657833119999999</v>
      </c>
      <c r="DU232">
        <f>50.01392078</f>
        <v>50.013920779999999</v>
      </c>
    </row>
    <row r="233" spans="1:125">
      <c r="A233" t="str">
        <f>"    Care Capital Properties Inc"</f>
        <v xml:space="preserve">    Care Capital Properties Inc</v>
      </c>
      <c r="B233" t="str">
        <f>"CCP US Equity"</f>
        <v>CCP US Equity</v>
      </c>
      <c r="C233" t="str">
        <f t="shared" si="57"/>
        <v>RR106</v>
      </c>
      <c r="D233" t="str">
        <f t="shared" si="58"/>
        <v>FFO_PAYOUT_RATIO</v>
      </c>
      <c r="E233" t="str">
        <f t="shared" si="59"/>
        <v>动态</v>
      </c>
      <c r="F233" t="str">
        <f ca="1">IF(AND(ISNUMBER($F$470),$B$258=1),$F$470,HLOOKUP(INDIRECT(ADDRESS(2,COLUMN())),OFFSET($BN$2,0,0,ROW()-1,60),ROW()-1,FALSE))</f>
        <v/>
      </c>
      <c r="G233" t="str">
        <f ca="1">IF(AND(ISNUMBER($G$470),$B$258=1),$G$470,HLOOKUP(INDIRECT(ADDRESS(2,COLUMN())),OFFSET($BN$2,0,0,ROW()-1,60),ROW()-1,FALSE))</f>
        <v/>
      </c>
      <c r="H233" t="str">
        <f ca="1">IF(AND(ISNUMBER($H$470),$B$258=1),$H$470,HLOOKUP(INDIRECT(ADDRESS(2,COLUMN())),OFFSET($BN$2,0,0,ROW()-1,60),ROW()-1,FALSE))</f>
        <v/>
      </c>
      <c r="I233">
        <f ca="1">IF(AND(ISNUMBER($I$470),$B$258=1),$I$470,HLOOKUP(INDIRECT(ADDRESS(2,COLUMN())),OFFSET($BN$2,0,0,ROW()-1,60),ROW()-1,FALSE))</f>
        <v>60.81336494</v>
      </c>
      <c r="J233">
        <f ca="1">IF(AND(ISNUMBER($J$470),$B$258=1),$J$470,HLOOKUP(INDIRECT(ADDRESS(2,COLUMN())),OFFSET($BN$2,0,0,ROW()-1,60),ROW()-1,FALSE))</f>
        <v>83.184030140000004</v>
      </c>
      <c r="K233">
        <f ca="1">IF(AND(ISNUMBER($K$470),$B$258=1),$K$470,HLOOKUP(INDIRECT(ADDRESS(2,COLUMN())),OFFSET($BN$2,0,0,ROW()-1,60),ROW()-1,FALSE))</f>
        <v>76.79781509</v>
      </c>
      <c r="L233">
        <f ca="1">IF(AND(ISNUMBER($L$470),$B$258=1),$L$470,HLOOKUP(INDIRECT(ADDRESS(2,COLUMN())),OFFSET($BN$2,0,0,ROW()-1,60),ROW()-1,FALSE))</f>
        <v>87.389756849999998</v>
      </c>
      <c r="M233">
        <f ca="1">IF(AND(ISNUMBER($M$470),$B$258=1),$M$470,HLOOKUP(INDIRECT(ADDRESS(2,COLUMN())),OFFSET($BN$2,0,0,ROW()-1,60),ROW()-1,FALSE))</f>
        <v>74.139022870000005</v>
      </c>
      <c r="N233">
        <f ca="1">IF(AND(ISNUMBER($N$470),$B$258=1),$N$470,HLOOKUP(INDIRECT(ADDRESS(2,COLUMN())),OFFSET($BN$2,0,0,ROW()-1,60),ROW()-1,FALSE))</f>
        <v>74.634944520000005</v>
      </c>
      <c r="O233">
        <f ca="1">IF(AND(ISNUMBER($O$470),$B$258=1),$O$470,HLOOKUP(INDIRECT(ADDRESS(2,COLUMN())),OFFSET($BN$2,0,0,ROW()-1,60),ROW()-1,FALSE))</f>
        <v>68.651951870000005</v>
      </c>
      <c r="P233">
        <f ca="1">IF(AND(ISNUMBER($P$470),$B$258=1),$P$470,HLOOKUP(INDIRECT(ADDRESS(2,COLUMN())),OFFSET($BN$2,0,0,ROW()-1,60),ROW()-1,FALSE))</f>
        <v>71.444039090000004</v>
      </c>
      <c r="Q233">
        <f ca="1">IF(AND(ISNUMBER($Q$470),$B$258=1),$Q$470,HLOOKUP(INDIRECT(ADDRESS(2,COLUMN())),OFFSET($BN$2,0,0,ROW()-1,60),ROW()-1,FALSE))</f>
        <v>0</v>
      </c>
      <c r="R233" t="str">
        <f ca="1">IF(AND(ISNUMBER($R$470),$B$258=1),$R$470,HLOOKUP(INDIRECT(ADDRESS(2,COLUMN())),OFFSET($BN$2,0,0,ROW()-1,60),ROW()-1,FALSE))</f>
        <v/>
      </c>
      <c r="S233" t="str">
        <f ca="1">IF(AND(ISNUMBER($S$470),$B$258=1),$S$470,HLOOKUP(INDIRECT(ADDRESS(2,COLUMN())),OFFSET($BN$2,0,0,ROW()-1,60),ROW()-1,FALSE))</f>
        <v/>
      </c>
      <c r="T233" t="str">
        <f ca="1">IF(AND(ISNUMBER($T$470),$B$258=1),$T$470,HLOOKUP(INDIRECT(ADDRESS(2,COLUMN())),OFFSET($BN$2,0,0,ROW()-1,60),ROW()-1,FALSE))</f>
        <v/>
      </c>
      <c r="U233" t="str">
        <f ca="1">IF(AND(ISNUMBER($U$470),$B$258=1),$U$470,HLOOKUP(INDIRECT(ADDRESS(2,COLUMN())),OFFSET($BN$2,0,0,ROW()-1,60),ROW()-1,FALSE))</f>
        <v/>
      </c>
      <c r="V233" t="str">
        <f ca="1">IF(AND(ISNUMBER($V$470),$B$258=1),$V$470,HLOOKUP(INDIRECT(ADDRESS(2,COLUMN())),OFFSET($BN$2,0,0,ROW()-1,60),ROW()-1,FALSE))</f>
        <v/>
      </c>
      <c r="W233" t="str">
        <f ca="1">IF(AND(ISNUMBER($W$470),$B$258=1),$W$470,HLOOKUP(INDIRECT(ADDRESS(2,COLUMN())),OFFSET($BN$2,0,0,ROW()-1,60),ROW()-1,FALSE))</f>
        <v/>
      </c>
      <c r="X233" t="str">
        <f ca="1">IF(AND(ISNUMBER($X$470),$B$258=1),$X$470,HLOOKUP(INDIRECT(ADDRESS(2,COLUMN())),OFFSET($BN$2,0,0,ROW()-1,60),ROW()-1,FALSE))</f>
        <v/>
      </c>
      <c r="Y233" t="str">
        <f ca="1">IF(AND(ISNUMBER($Y$470),$B$258=1),$Y$470,HLOOKUP(INDIRECT(ADDRESS(2,COLUMN())),OFFSET($BN$2,0,0,ROW()-1,60),ROW()-1,FALSE))</f>
        <v/>
      </c>
      <c r="Z233" t="str">
        <f ca="1">IF(AND(ISNUMBER($Z$470),$B$258=1),$Z$470,HLOOKUP(INDIRECT(ADDRESS(2,COLUMN())),OFFSET($BN$2,0,0,ROW()-1,60),ROW()-1,FALSE))</f>
        <v/>
      </c>
      <c r="AA233" t="str">
        <f ca="1">IF(AND(ISNUMBER($AA$470),$B$258=1),$AA$470,HLOOKUP(INDIRECT(ADDRESS(2,COLUMN())),OFFSET($BN$2,0,0,ROW()-1,60),ROW()-1,FALSE))</f>
        <v/>
      </c>
      <c r="AB233" t="str">
        <f ca="1">IF(AND(ISNUMBER($AB$470),$B$258=1),$AB$470,HLOOKUP(INDIRECT(ADDRESS(2,COLUMN())),OFFSET($BN$2,0,0,ROW()-1,60),ROW()-1,FALSE))</f>
        <v/>
      </c>
      <c r="AC233" t="str">
        <f ca="1">IF(AND(ISNUMBER($AC$470),$B$258=1),$AC$470,HLOOKUP(INDIRECT(ADDRESS(2,COLUMN())),OFFSET($BN$2,0,0,ROW()-1,60),ROW()-1,FALSE))</f>
        <v/>
      </c>
      <c r="AD233" t="str">
        <f ca="1">IF(AND(ISNUMBER($AD$470),$B$258=1),$AD$470,HLOOKUP(INDIRECT(ADDRESS(2,COLUMN())),OFFSET($BN$2,0,0,ROW()-1,60),ROW()-1,FALSE))</f>
        <v/>
      </c>
      <c r="AE233" t="str">
        <f ca="1">IF(AND(ISNUMBER($AE$470),$B$258=1),$AE$470,HLOOKUP(INDIRECT(ADDRESS(2,COLUMN())),OFFSET($BN$2,0,0,ROW()-1,60),ROW()-1,FALSE))</f>
        <v/>
      </c>
      <c r="AF233" t="str">
        <f ca="1">IF(AND(ISNUMBER($AF$470),$B$258=1),$AF$470,HLOOKUP(INDIRECT(ADDRESS(2,COLUMN())),OFFSET($BN$2,0,0,ROW()-1,60),ROW()-1,FALSE))</f>
        <v/>
      </c>
      <c r="AG233" t="str">
        <f ca="1">IF(AND(ISNUMBER($AG$470),$B$258=1),$AG$470,HLOOKUP(INDIRECT(ADDRESS(2,COLUMN())),OFFSET($BN$2,0,0,ROW()-1,60),ROW()-1,FALSE))</f>
        <v/>
      </c>
      <c r="AH233" t="str">
        <f ca="1">IF(AND(ISNUMBER($AH$470),$B$258=1),$AH$470,HLOOKUP(INDIRECT(ADDRESS(2,COLUMN())),OFFSET($BN$2,0,0,ROW()-1,60),ROW()-1,FALSE))</f>
        <v/>
      </c>
      <c r="AI233" t="str">
        <f ca="1">IF(AND(ISNUMBER($AI$470),$B$258=1),$AI$470,HLOOKUP(INDIRECT(ADDRESS(2,COLUMN())),OFFSET($BN$2,0,0,ROW()-1,60),ROW()-1,FALSE))</f>
        <v/>
      </c>
      <c r="AJ233" t="str">
        <f ca="1">IF(AND(ISNUMBER($AJ$470),$B$258=1),$AJ$470,HLOOKUP(INDIRECT(ADDRESS(2,COLUMN())),OFFSET($BN$2,0,0,ROW()-1,60),ROW()-1,FALSE))</f>
        <v/>
      </c>
      <c r="AK233" t="str">
        <f ca="1">IF(AND(ISNUMBER($AK$470),$B$258=1),$AK$470,HLOOKUP(INDIRECT(ADDRESS(2,COLUMN())),OFFSET($BN$2,0,0,ROW()-1,60),ROW()-1,FALSE))</f>
        <v/>
      </c>
      <c r="AL233" t="str">
        <f ca="1">IF(AND(ISNUMBER($AL$470),$B$258=1),$AL$470,HLOOKUP(INDIRECT(ADDRESS(2,COLUMN())),OFFSET($BN$2,0,0,ROW()-1,60),ROW()-1,FALSE))</f>
        <v/>
      </c>
      <c r="AM233" t="str">
        <f ca="1">IF(AND(ISNUMBER($AM$470),$B$258=1),$AM$470,HLOOKUP(INDIRECT(ADDRESS(2,COLUMN())),OFFSET($BN$2,0,0,ROW()-1,60),ROW()-1,FALSE))</f>
        <v/>
      </c>
      <c r="AN233" t="str">
        <f ca="1">IF(AND(ISNUMBER($AN$470),$B$258=1),$AN$470,HLOOKUP(INDIRECT(ADDRESS(2,COLUMN())),OFFSET($BN$2,0,0,ROW()-1,60),ROW()-1,FALSE))</f>
        <v/>
      </c>
      <c r="AO233" t="str">
        <f ca="1">IF(AND(ISNUMBER($AO$470),$B$258=1),$AO$470,HLOOKUP(INDIRECT(ADDRESS(2,COLUMN())),OFFSET($BN$2,0,0,ROW()-1,60),ROW()-1,FALSE))</f>
        <v/>
      </c>
      <c r="AP233" t="str">
        <f ca="1">IF(AND(ISNUMBER($AP$470),$B$258=1),$AP$470,HLOOKUP(INDIRECT(ADDRESS(2,COLUMN())),OFFSET($BN$2,0,0,ROW()-1,60),ROW()-1,FALSE))</f>
        <v/>
      </c>
      <c r="AQ233" t="str">
        <f ca="1">IF(AND(ISNUMBER($AQ$470),$B$258=1),$AQ$470,HLOOKUP(INDIRECT(ADDRESS(2,COLUMN())),OFFSET($BN$2,0,0,ROW()-1,60),ROW()-1,FALSE))</f>
        <v/>
      </c>
      <c r="AR233" t="str">
        <f ca="1">IF(AND(ISNUMBER($AR$470),$B$258=1),$AR$470,HLOOKUP(INDIRECT(ADDRESS(2,COLUMN())),OFFSET($BN$2,0,0,ROW()-1,60),ROW()-1,FALSE))</f>
        <v/>
      </c>
      <c r="AS233" t="str">
        <f ca="1">IF(AND(ISNUMBER($AS$470),$B$258=1),$AS$470,HLOOKUP(INDIRECT(ADDRESS(2,COLUMN())),OFFSET($BN$2,0,0,ROW()-1,60),ROW()-1,FALSE))</f>
        <v/>
      </c>
      <c r="AT233" t="str">
        <f ca="1">IF(AND(ISNUMBER($AT$470),$B$258=1),$AT$470,HLOOKUP(INDIRECT(ADDRESS(2,COLUMN())),OFFSET($BN$2,0,0,ROW()-1,60),ROW()-1,FALSE))</f>
        <v/>
      </c>
      <c r="AU233" t="str">
        <f ca="1">IF(AND(ISNUMBER($AU$470),$B$258=1),$AU$470,HLOOKUP(INDIRECT(ADDRESS(2,COLUMN())),OFFSET($BN$2,0,0,ROW()-1,60),ROW()-1,FALSE))</f>
        <v/>
      </c>
      <c r="AV233" t="str">
        <f ca="1">IF(AND(ISNUMBER($AV$470),$B$258=1),$AV$470,HLOOKUP(INDIRECT(ADDRESS(2,COLUMN())),OFFSET($BN$2,0,0,ROW()-1,60),ROW()-1,FALSE))</f>
        <v/>
      </c>
      <c r="AW233" t="str">
        <f ca="1">IF(AND(ISNUMBER($AW$470),$B$258=1),$AW$470,HLOOKUP(INDIRECT(ADDRESS(2,COLUMN())),OFFSET($BN$2,0,0,ROW()-1,60),ROW()-1,FALSE))</f>
        <v/>
      </c>
      <c r="AX233" t="str">
        <f ca="1">IF(AND(ISNUMBER($AX$470),$B$258=1),$AX$470,HLOOKUP(INDIRECT(ADDRESS(2,COLUMN())),OFFSET($BN$2,0,0,ROW()-1,60),ROW()-1,FALSE))</f>
        <v/>
      </c>
      <c r="AY233" t="str">
        <f ca="1">IF(AND(ISNUMBER($AY$470),$B$258=1),$AY$470,HLOOKUP(INDIRECT(ADDRESS(2,COLUMN())),OFFSET($BN$2,0,0,ROW()-1,60),ROW()-1,FALSE))</f>
        <v/>
      </c>
      <c r="AZ233" t="str">
        <f ca="1">IF(AND(ISNUMBER($AZ$470),$B$258=1),$AZ$470,HLOOKUP(INDIRECT(ADDRESS(2,COLUMN())),OFFSET($BN$2,0,0,ROW()-1,60),ROW()-1,FALSE))</f>
        <v/>
      </c>
      <c r="BA233" t="str">
        <f ca="1">IF(AND(ISNUMBER($BA$470),$B$258=1),$BA$470,HLOOKUP(INDIRECT(ADDRESS(2,COLUMN())),OFFSET($BN$2,0,0,ROW()-1,60),ROW()-1,FALSE))</f>
        <v/>
      </c>
      <c r="BB233" t="str">
        <f ca="1">IF(AND(ISNUMBER($BB$470),$B$258=1),$BB$470,HLOOKUP(INDIRECT(ADDRESS(2,COLUMN())),OFFSET($BN$2,0,0,ROW()-1,60),ROW()-1,FALSE))</f>
        <v/>
      </c>
      <c r="BC233" t="str">
        <f ca="1">IF(AND(ISNUMBER($BC$470),$B$258=1),$BC$470,HLOOKUP(INDIRECT(ADDRESS(2,COLUMN())),OFFSET($BN$2,0,0,ROW()-1,60),ROW()-1,FALSE))</f>
        <v/>
      </c>
      <c r="BD233" t="str">
        <f ca="1">IF(AND(ISNUMBER($BD$470),$B$258=1),$BD$470,HLOOKUP(INDIRECT(ADDRESS(2,COLUMN())),OFFSET($BN$2,0,0,ROW()-1,60),ROW()-1,FALSE))</f>
        <v/>
      </c>
      <c r="BE233" t="str">
        <f ca="1">IF(AND(ISNUMBER($BE$470),$B$258=1),$BE$470,HLOOKUP(INDIRECT(ADDRESS(2,COLUMN())),OFFSET($BN$2,0,0,ROW()-1,60),ROW()-1,FALSE))</f>
        <v/>
      </c>
      <c r="BF233" t="str">
        <f ca="1">IF(AND(ISNUMBER($BF$470),$B$258=1),$BF$470,HLOOKUP(INDIRECT(ADDRESS(2,COLUMN())),OFFSET($BN$2,0,0,ROW()-1,60),ROW()-1,FALSE))</f>
        <v/>
      </c>
      <c r="BG233" t="str">
        <f ca="1">IF(AND(ISNUMBER($BG$470),$B$258=1),$BG$470,HLOOKUP(INDIRECT(ADDRESS(2,COLUMN())),OFFSET($BN$2,0,0,ROW()-1,60),ROW()-1,FALSE))</f>
        <v/>
      </c>
      <c r="BH233" t="str">
        <f ca="1">IF(AND(ISNUMBER($BH$470),$B$258=1),$BH$470,HLOOKUP(INDIRECT(ADDRESS(2,COLUMN())),OFFSET($BN$2,0,0,ROW()-1,60),ROW()-1,FALSE))</f>
        <v/>
      </c>
      <c r="BI233" t="str">
        <f ca="1">IF(AND(ISNUMBER($BI$470),$B$258=1),$BI$470,HLOOKUP(INDIRECT(ADDRESS(2,COLUMN())),OFFSET($BN$2,0,0,ROW()-1,60),ROW()-1,FALSE))</f>
        <v/>
      </c>
      <c r="BJ233" t="str">
        <f ca="1">IF(AND(ISNUMBER($BJ$470),$B$258=1),$BJ$470,HLOOKUP(INDIRECT(ADDRESS(2,COLUMN())),OFFSET($BN$2,0,0,ROW()-1,60),ROW()-1,FALSE))</f>
        <v/>
      </c>
      <c r="BK233" t="str">
        <f ca="1">IF(AND(ISNUMBER($BK$470),$B$258=1),$BK$470,HLOOKUP(INDIRECT(ADDRESS(2,COLUMN())),OFFSET($BN$2,0,0,ROW()-1,60),ROW()-1,FALSE))</f>
        <v/>
      </c>
      <c r="BL233" t="str">
        <f ca="1">IF(AND(ISNUMBER($BL$470),$B$258=1),$BL$470,HLOOKUP(INDIRECT(ADDRESS(2,COLUMN())),OFFSET($BN$2,0,0,ROW()-1,60),ROW()-1,FALSE))</f>
        <v/>
      </c>
      <c r="BM233" t="str">
        <f ca="1">IF(AND(ISNUMBER($BM$470),$B$258=1),$BM$470,HLOOKUP(INDIRECT(ADDRESS(2,COLUMN())),OFFSET($BN$2,0,0,ROW()-1,60),ROW()-1,FALSE))</f>
        <v/>
      </c>
      <c r="BN233" t="str">
        <f>""</f>
        <v/>
      </c>
      <c r="BO233" t="str">
        <f>""</f>
        <v/>
      </c>
      <c r="BP233" t="str">
        <f>""</f>
        <v/>
      </c>
      <c r="BQ233">
        <f>60.81336494</f>
        <v>60.81336494</v>
      </c>
      <c r="BR233">
        <f>83.18403014</f>
        <v>83.184030140000004</v>
      </c>
      <c r="BS233">
        <f>76.79781509</f>
        <v>76.79781509</v>
      </c>
      <c r="BT233">
        <f>87.38975685</f>
        <v>87.389756849999998</v>
      </c>
      <c r="BU233">
        <f>74.13902287</f>
        <v>74.139022870000005</v>
      </c>
      <c r="BV233">
        <f>74.63494452</f>
        <v>74.634944520000005</v>
      </c>
      <c r="BW233">
        <f>68.65195187</f>
        <v>68.651951870000005</v>
      </c>
      <c r="BX233">
        <f>71.44403909</f>
        <v>71.444039090000004</v>
      </c>
      <c r="BY233">
        <f>0</f>
        <v>0</v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>
      <c r="A234" t="str">
        <f>"    HCP Inc"</f>
        <v xml:space="preserve">    HCP Inc</v>
      </c>
      <c r="B234" t="str">
        <f>"HCP US Equity"</f>
        <v>HCP US Equity</v>
      </c>
      <c r="C234" t="str">
        <f t="shared" si="57"/>
        <v>RR106</v>
      </c>
      <c r="D234" t="str">
        <f t="shared" si="58"/>
        <v>FFO_PAYOUT_RATIO</v>
      </c>
      <c r="E234" t="str">
        <f t="shared" si="59"/>
        <v>动态</v>
      </c>
      <c r="F234" t="str">
        <f ca="1">IF(AND(ISNUMBER($F$471),$B$258=1),$F$471,HLOOKUP(INDIRECT(ADDRESS(2,COLUMN())),OFFSET($BN$2,0,0,ROW()-1,60),ROW()-1,FALSE))</f>
        <v/>
      </c>
      <c r="G234">
        <f ca="1">IF(AND(ISNUMBER($G$471),$B$258=1),$G$471,HLOOKUP(INDIRECT(ADDRESS(2,COLUMN())),OFFSET($BN$2,0,0,ROW()-1,60),ROW()-1,FALSE))</f>
        <v>328.29349139999999</v>
      </c>
      <c r="H234">
        <f ca="1">IF(AND(ISNUMBER($H$471),$B$258=1),$H$471,HLOOKUP(INDIRECT(ADDRESS(2,COLUMN())),OFFSET($BN$2,0,0,ROW()-1,60),ROW()-1,FALSE))</f>
        <v>111.7700389</v>
      </c>
      <c r="I234">
        <f ca="1">IF(AND(ISNUMBER($I$471),$B$258=1),$I$471,HLOOKUP(INDIRECT(ADDRESS(2,COLUMN())),OFFSET($BN$2,0,0,ROW()-1,60),ROW()-1,FALSE))</f>
        <v>105.3137079</v>
      </c>
      <c r="J234">
        <f ca="1">IF(AND(ISNUMBER($J$471),$B$258=1),$J$471,HLOOKUP(INDIRECT(ADDRESS(2,COLUMN())),OFFSET($BN$2,0,0,ROW()-1,60),ROW()-1,FALSE))</f>
        <v>59.655662909999997</v>
      </c>
      <c r="K234">
        <f ca="1">IF(AND(ISNUMBER($K$471),$B$258=1),$K$471,HLOOKUP(INDIRECT(ADDRESS(2,COLUMN())),OFFSET($BN$2,0,0,ROW()-1,60),ROW()-1,FALSE))</f>
        <v>106.7095369</v>
      </c>
      <c r="L234">
        <f ca="1">IF(AND(ISNUMBER($L$471),$B$258=1),$L$471,HLOOKUP(INDIRECT(ADDRESS(2,COLUMN())),OFFSET($BN$2,0,0,ROW()-1,60),ROW()-1,FALSE))</f>
        <v>87.652715610000001</v>
      </c>
      <c r="M234">
        <f ca="1">IF(AND(ISNUMBER($M$471),$B$258=1),$M$471,HLOOKUP(INDIRECT(ADDRESS(2,COLUMN())),OFFSET($BN$2,0,0,ROW()-1,60),ROW()-1,FALSE))</f>
        <v>79.756164200000001</v>
      </c>
      <c r="N234">
        <f ca="1">IF(AND(ISNUMBER($N$471),$B$258=1),$N$471,HLOOKUP(INDIRECT(ADDRESS(2,COLUMN())),OFFSET($BN$2,0,0,ROW()-1,60),ROW()-1,FALSE))</f>
        <v>83.068555270000004</v>
      </c>
      <c r="O234" t="str">
        <f ca="1">IF(AND(ISNUMBER($O$471),$B$258=1),$O$471,HLOOKUP(INDIRECT(ADDRESS(2,COLUMN())),OFFSET($BN$2,0,0,ROW()-1,60),ROW()-1,FALSE))</f>
        <v/>
      </c>
      <c r="P234">
        <f ca="1">IF(AND(ISNUMBER($P$471),$B$258=1),$P$471,HLOOKUP(INDIRECT(ADDRESS(2,COLUMN())),OFFSET($BN$2,0,0,ROW()-1,60),ROW()-1,FALSE))</f>
        <v>98.513709149999997</v>
      </c>
      <c r="Q234">
        <f ca="1">IF(AND(ISNUMBER($Q$471),$B$258=1),$Q$471,HLOOKUP(INDIRECT(ADDRESS(2,COLUMN())),OFFSET($BN$2,0,0,ROW()-1,60),ROW()-1,FALSE))</f>
        <v>86.429090459999998</v>
      </c>
      <c r="R234" t="str">
        <f ca="1">IF(AND(ISNUMBER($R$471),$B$258=1),$R$471,HLOOKUP(INDIRECT(ADDRESS(2,COLUMN())),OFFSET($BN$2,0,0,ROW()-1,60),ROW()-1,FALSE))</f>
        <v/>
      </c>
      <c r="S234">
        <f ca="1">IF(AND(ISNUMBER($S$471),$B$258=1),$S$471,HLOOKUP(INDIRECT(ADDRESS(2,COLUMN())),OFFSET($BN$2,0,0,ROW()-1,60),ROW()-1,FALSE))</f>
        <v>77.089705730000006</v>
      </c>
      <c r="T234">
        <f ca="1">IF(AND(ISNUMBER($T$471),$B$258=1),$T$471,HLOOKUP(INDIRECT(ADDRESS(2,COLUMN())),OFFSET($BN$2,0,0,ROW()-1,60),ROW()-1,FALSE))</f>
        <v>66.273723000000004</v>
      </c>
      <c r="U234">
        <f ca="1">IF(AND(ISNUMBER($U$471),$B$258=1),$U$471,HLOOKUP(INDIRECT(ADDRESS(2,COLUMN())),OFFSET($BN$2,0,0,ROW()-1,60),ROW()-1,FALSE))</f>
        <v>71.503840019999998</v>
      </c>
      <c r="V234">
        <f ca="1">IF(AND(ISNUMBER($V$471),$B$258=1),$V$471,HLOOKUP(INDIRECT(ADDRESS(2,COLUMN())),OFFSET($BN$2,0,0,ROW()-1,60),ROW()-1,FALSE))</f>
        <v>72.914474889999994</v>
      </c>
      <c r="W234">
        <f ca="1">IF(AND(ISNUMBER($W$471),$B$258=1),$W$471,HLOOKUP(INDIRECT(ADDRESS(2,COLUMN())),OFFSET($BN$2,0,0,ROW()-1,60),ROW()-1,FALSE))</f>
        <v>69.237828669999999</v>
      </c>
      <c r="X234">
        <f ca="1">IF(AND(ISNUMBER($X$471),$B$258=1),$X$471,HLOOKUP(INDIRECT(ADDRESS(2,COLUMN())),OFFSET($BN$2,0,0,ROW()-1,60),ROW()-1,FALSE))</f>
        <v>71.241828119999994</v>
      </c>
      <c r="Y234">
        <f ca="1">IF(AND(ISNUMBER($Y$471),$B$258=1),$Y$471,HLOOKUP(INDIRECT(ADDRESS(2,COLUMN())),OFFSET($BN$2,0,0,ROW()-1,60),ROW()-1,FALSE))</f>
        <v>72.939417059999997</v>
      </c>
      <c r="Z234">
        <f ca="1">IF(AND(ISNUMBER($Z$471),$B$258=1),$Z$471,HLOOKUP(INDIRECT(ADDRESS(2,COLUMN())),OFFSET($BN$2,0,0,ROW()-1,60),ROW()-1,FALSE))</f>
        <v>70.234648590000006</v>
      </c>
      <c r="AA234">
        <f ca="1">IF(AND(ISNUMBER($AA$471),$B$258=1),$AA$471,HLOOKUP(INDIRECT(ADDRESS(2,COLUMN())),OFFSET($BN$2,0,0,ROW()-1,60),ROW()-1,FALSE))</f>
        <v>70.458471110000005</v>
      </c>
      <c r="AB234">
        <f ca="1">IF(AND(ISNUMBER($AB$471),$B$258=1),$AB$471,HLOOKUP(INDIRECT(ADDRESS(2,COLUMN())),OFFSET($BN$2,0,0,ROW()-1,60),ROW()-1,FALSE))</f>
        <v>73.99980017</v>
      </c>
      <c r="AC234">
        <f ca="1">IF(AND(ISNUMBER($AC$471),$B$258=1),$AC$471,HLOOKUP(INDIRECT(ADDRESS(2,COLUMN())),OFFSET($BN$2,0,0,ROW()-1,60),ROW()-1,FALSE))</f>
        <v>71.601439970000001</v>
      </c>
      <c r="AD234">
        <f ca="1">IF(AND(ISNUMBER($AD$471),$B$258=1),$AD$471,HLOOKUP(INDIRECT(ADDRESS(2,COLUMN())),OFFSET($BN$2,0,0,ROW()-1,60),ROW()-1,FALSE))</f>
        <v>77.711230110000002</v>
      </c>
      <c r="AE234">
        <f ca="1">IF(AND(ISNUMBER($AE$471),$B$258=1),$AE$471,HLOOKUP(INDIRECT(ADDRESS(2,COLUMN())),OFFSET($BN$2,0,0,ROW()-1,60),ROW()-1,FALSE))</f>
        <v>130.02919420000001</v>
      </c>
      <c r="AF234">
        <f ca="1">IF(AND(ISNUMBER($AF$471),$B$258=1),$AF$471,HLOOKUP(INDIRECT(ADDRESS(2,COLUMN())),OFFSET($BN$2,0,0,ROW()-1,60),ROW()-1,FALSE))</f>
        <v>75.277623460000001</v>
      </c>
      <c r="AG234">
        <f ca="1">IF(AND(ISNUMBER($AG$471),$B$258=1),$AG$471,HLOOKUP(INDIRECT(ADDRESS(2,COLUMN())),OFFSET($BN$2,0,0,ROW()-1,60),ROW()-1,FALSE))</f>
        <v>61.329315440000002</v>
      </c>
      <c r="AH234">
        <f ca="1">IF(AND(ISNUMBER($AH$471),$B$258=1),$AH$471,HLOOKUP(INDIRECT(ADDRESS(2,COLUMN())),OFFSET($BN$2,0,0,ROW()-1,60),ROW()-1,FALSE))</f>
        <v>119.5318293</v>
      </c>
      <c r="AI234">
        <f ca="1">IF(AND(ISNUMBER($AI$471),$B$258=1),$AI$471,HLOOKUP(INDIRECT(ADDRESS(2,COLUMN())),OFFSET($BN$2,0,0,ROW()-1,60),ROW()-1,FALSE))</f>
        <v>74.442091000000005</v>
      </c>
      <c r="AJ234">
        <f ca="1">IF(AND(ISNUMBER($AJ$471),$B$258=1),$AJ$471,HLOOKUP(INDIRECT(ADDRESS(2,COLUMN())),OFFSET($BN$2,0,0,ROW()-1,60),ROW()-1,FALSE))</f>
        <v>149.76251289999999</v>
      </c>
      <c r="AK234">
        <f ca="1">IF(AND(ISNUMBER($AK$471),$B$258=1),$AK$471,HLOOKUP(INDIRECT(ADDRESS(2,COLUMN())),OFFSET($BN$2,0,0,ROW()-1,60),ROW()-1,FALSE))</f>
        <v>84.706841699999998</v>
      </c>
      <c r="AL234">
        <f ca="1">IF(AND(ISNUMBER($AL$471),$B$258=1),$AL$471,HLOOKUP(INDIRECT(ADDRESS(2,COLUMN())),OFFSET($BN$2,0,0,ROW()-1,60),ROW()-1,FALSE))</f>
        <v>86.533104780000002</v>
      </c>
      <c r="AM234">
        <f ca="1">IF(AND(ISNUMBER($AM$471),$B$258=1),$AM$471,HLOOKUP(INDIRECT(ADDRESS(2,COLUMN())),OFFSET($BN$2,0,0,ROW()-1,60),ROW()-1,FALSE))</f>
        <v>126.9936628</v>
      </c>
      <c r="AN234">
        <f ca="1">IF(AND(ISNUMBER($AN$471),$B$258=1),$AN$471,HLOOKUP(INDIRECT(ADDRESS(2,COLUMN())),OFFSET($BN$2,0,0,ROW()-1,60),ROW()-1,FALSE))</f>
        <v>407.26637449999998</v>
      </c>
      <c r="AO234">
        <f ca="1">IF(AND(ISNUMBER($AO$471),$B$258=1),$AO$471,HLOOKUP(INDIRECT(ADDRESS(2,COLUMN())),OFFSET($BN$2,0,0,ROW()-1,60),ROW()-1,FALSE))</f>
        <v>83.602632139999997</v>
      </c>
      <c r="AP234">
        <f ca="1">IF(AND(ISNUMBER($AP$471),$B$258=1),$AP$471,HLOOKUP(INDIRECT(ADDRESS(2,COLUMN())),OFFSET($BN$2,0,0,ROW()-1,60),ROW()-1,FALSE))</f>
        <v>91.028753539999997</v>
      </c>
      <c r="AQ234">
        <f ca="1">IF(AND(ISNUMBER($AQ$471),$B$258=1),$AQ$471,HLOOKUP(INDIRECT(ADDRESS(2,COLUMN())),OFFSET($BN$2,0,0,ROW()-1,60),ROW()-1,FALSE))</f>
        <v>95.019465210000007</v>
      </c>
      <c r="AR234">
        <f ca="1">IF(AND(ISNUMBER($AR$471),$B$258=1),$AR$471,HLOOKUP(INDIRECT(ADDRESS(2,COLUMN())),OFFSET($BN$2,0,0,ROW()-1,60),ROW()-1,FALSE))</f>
        <v>63.856919060000003</v>
      </c>
      <c r="AS234">
        <f ca="1">IF(AND(ISNUMBER($AS$471),$B$258=1),$AS$471,HLOOKUP(INDIRECT(ADDRESS(2,COLUMN())),OFFSET($BN$2,0,0,ROW()-1,60),ROW()-1,FALSE))</f>
        <v>89.903720419999999</v>
      </c>
      <c r="AT234">
        <f ca="1">IF(AND(ISNUMBER($AT$471),$B$258=1),$AT$471,HLOOKUP(INDIRECT(ADDRESS(2,COLUMN())),OFFSET($BN$2,0,0,ROW()-1,60),ROW()-1,FALSE))</f>
        <v>81.189726129999997</v>
      </c>
      <c r="AU234">
        <f ca="1">IF(AND(ISNUMBER($AU$471),$B$258=1),$AU$471,HLOOKUP(INDIRECT(ADDRESS(2,COLUMN())),OFFSET($BN$2,0,0,ROW()-1,60),ROW()-1,FALSE))</f>
        <v>81.850227309999994</v>
      </c>
      <c r="AV234">
        <f ca="1">IF(AND(ISNUMBER($AV$471),$B$258=1),$AV$471,HLOOKUP(INDIRECT(ADDRESS(2,COLUMN())),OFFSET($BN$2,0,0,ROW()-1,60),ROW()-1,FALSE))</f>
        <v>84.171447709999995</v>
      </c>
      <c r="AW234">
        <f ca="1">IF(AND(ISNUMBER($AW$471),$B$258=1),$AW$471,HLOOKUP(INDIRECT(ADDRESS(2,COLUMN())),OFFSET($BN$2,0,0,ROW()-1,60),ROW()-1,FALSE))</f>
        <v>76.044163449999999</v>
      </c>
      <c r="AX234">
        <f ca="1">IF(AND(ISNUMBER($AX$471),$B$258=1),$AX$471,HLOOKUP(INDIRECT(ADDRESS(2,COLUMN())),OFFSET($BN$2,0,0,ROW()-1,60),ROW()-1,FALSE))</f>
        <v>88.619457620000006</v>
      </c>
      <c r="AY234">
        <f ca="1">IF(AND(ISNUMBER($AY$471),$B$258=1),$AY$471,HLOOKUP(INDIRECT(ADDRESS(2,COLUMN())),OFFSET($BN$2,0,0,ROW()-1,60),ROW()-1,FALSE))</f>
        <v>109.3593533</v>
      </c>
      <c r="AZ234">
        <f ca="1">IF(AND(ISNUMBER($AZ$471),$B$258=1),$AZ$471,HLOOKUP(INDIRECT(ADDRESS(2,COLUMN())),OFFSET($BN$2,0,0,ROW()-1,60),ROW()-1,FALSE))</f>
        <v>83.678838949999999</v>
      </c>
      <c r="BA234">
        <f ca="1">IF(AND(ISNUMBER($BA$471),$B$258=1),$BA$471,HLOOKUP(INDIRECT(ADDRESS(2,COLUMN())),OFFSET($BN$2,0,0,ROW()-1,60),ROW()-1,FALSE))</f>
        <v>89.600698199999997</v>
      </c>
      <c r="BB234">
        <f ca="1">IF(AND(ISNUMBER($BB$471),$B$258=1),$BB$471,HLOOKUP(INDIRECT(ADDRESS(2,COLUMN())),OFFSET($BN$2,0,0,ROW()-1,60),ROW()-1,FALSE))</f>
        <v>79.238275360000003</v>
      </c>
      <c r="BC234">
        <f ca="1">IF(AND(ISNUMBER($BC$471),$B$258=1),$BC$471,HLOOKUP(INDIRECT(ADDRESS(2,COLUMN())),OFFSET($BN$2,0,0,ROW()-1,60),ROW()-1,FALSE))</f>
        <v>115.9642695</v>
      </c>
      <c r="BD234">
        <f ca="1">IF(AND(ISNUMBER($BD$471),$B$258=1),$BD$471,HLOOKUP(INDIRECT(ADDRESS(2,COLUMN())),OFFSET($BN$2,0,0,ROW()-1,60),ROW()-1,FALSE))</f>
        <v>82.589759619999995</v>
      </c>
      <c r="BE234">
        <f ca="1">IF(AND(ISNUMBER($BE$471),$B$258=1),$BE$471,HLOOKUP(INDIRECT(ADDRESS(2,COLUMN())),OFFSET($BN$2,0,0,ROW()-1,60),ROW()-1,FALSE))</f>
        <v>1049.5706319999999</v>
      </c>
      <c r="BF234">
        <f ca="1">IF(AND(ISNUMBER($BF$471),$B$258=1),$BF$471,HLOOKUP(INDIRECT(ADDRESS(2,COLUMN())),OFFSET($BN$2,0,0,ROW()-1,60),ROW()-1,FALSE))</f>
        <v>91.861323200000001</v>
      </c>
      <c r="BG234">
        <f ca="1">IF(AND(ISNUMBER($BG$471),$B$258=1),$BG$471,HLOOKUP(INDIRECT(ADDRESS(2,COLUMN())),OFFSET($BN$2,0,0,ROW()-1,60),ROW()-1,FALSE))</f>
        <v>88.322419339999996</v>
      </c>
      <c r="BH234" t="str">
        <f ca="1">IF(AND(ISNUMBER($BH$471),$B$258=1),$BH$471,HLOOKUP(INDIRECT(ADDRESS(2,COLUMN())),OFFSET($BN$2,0,0,ROW()-1,60),ROW()-1,FALSE))</f>
        <v/>
      </c>
      <c r="BI234" t="str">
        <f ca="1">IF(AND(ISNUMBER($BI$471),$B$258=1),$BI$471,HLOOKUP(INDIRECT(ADDRESS(2,COLUMN())),OFFSET($BN$2,0,0,ROW()-1,60),ROW()-1,FALSE))</f>
        <v/>
      </c>
      <c r="BJ234" t="str">
        <f ca="1">IF(AND(ISNUMBER($BJ$471),$B$258=1),$BJ$471,HLOOKUP(INDIRECT(ADDRESS(2,COLUMN())),OFFSET($BN$2,0,0,ROW()-1,60),ROW()-1,FALSE))</f>
        <v/>
      </c>
      <c r="BK234">
        <f ca="1">IF(AND(ISNUMBER($BK$471),$B$258=1),$BK$471,HLOOKUP(INDIRECT(ADDRESS(2,COLUMN())),OFFSET($BN$2,0,0,ROW()-1,60),ROW()-1,FALSE))</f>
        <v>41.595279920000003</v>
      </c>
      <c r="BL234" t="str">
        <f ca="1">IF(AND(ISNUMBER($BL$471),$B$258=1),$BL$471,HLOOKUP(INDIRECT(ADDRESS(2,COLUMN())),OFFSET($BN$2,0,0,ROW()-1,60),ROW()-1,FALSE))</f>
        <v/>
      </c>
      <c r="BM234">
        <f ca="1">IF(AND(ISNUMBER($BM$471),$B$258=1),$BM$471,HLOOKUP(INDIRECT(ADDRESS(2,COLUMN())),OFFSET($BN$2,0,0,ROW()-1,60),ROW()-1,FALSE))</f>
        <v>114.326438</v>
      </c>
      <c r="BN234" t="str">
        <f>""</f>
        <v/>
      </c>
      <c r="BO234">
        <f>328.2934914</f>
        <v>328.29349139999999</v>
      </c>
      <c r="BP234">
        <f>111.7700389</f>
        <v>111.7700389</v>
      </c>
      <c r="BQ234">
        <f>105.3137079</f>
        <v>105.3137079</v>
      </c>
      <c r="BR234">
        <f>59.65566291</f>
        <v>59.655662909999997</v>
      </c>
      <c r="BS234">
        <f>106.7095369</f>
        <v>106.7095369</v>
      </c>
      <c r="BT234">
        <f>87.65271561</f>
        <v>87.652715610000001</v>
      </c>
      <c r="BU234">
        <f>79.7561642</f>
        <v>79.756164200000001</v>
      </c>
      <c r="BV234">
        <f>83.06855527</f>
        <v>83.068555270000004</v>
      </c>
      <c r="BW234" t="str">
        <f>""</f>
        <v/>
      </c>
      <c r="BX234">
        <f>98.51370915</f>
        <v>98.513709149999997</v>
      </c>
      <c r="BY234">
        <f>86.42909046</f>
        <v>86.429090459999998</v>
      </c>
      <c r="BZ234" t="str">
        <f>""</f>
        <v/>
      </c>
      <c r="CA234">
        <f>77.08970573</f>
        <v>77.089705730000006</v>
      </c>
      <c r="CB234">
        <f>66.273723</f>
        <v>66.273723000000004</v>
      </c>
      <c r="CC234">
        <f>71.50384002</f>
        <v>71.503840019999998</v>
      </c>
      <c r="CD234">
        <f>72.91447489</f>
        <v>72.914474889999994</v>
      </c>
      <c r="CE234">
        <f>69.23782867</f>
        <v>69.237828669999999</v>
      </c>
      <c r="CF234">
        <f>71.24182812</f>
        <v>71.241828119999994</v>
      </c>
      <c r="CG234">
        <f>72.93941706</f>
        <v>72.939417059999997</v>
      </c>
      <c r="CH234">
        <f>70.23464859</f>
        <v>70.234648590000006</v>
      </c>
      <c r="CI234">
        <f>70.45847111</f>
        <v>70.458471110000005</v>
      </c>
      <c r="CJ234">
        <f>73.99980017</f>
        <v>73.99980017</v>
      </c>
      <c r="CK234">
        <f>71.60143997</f>
        <v>71.601439970000001</v>
      </c>
      <c r="CL234">
        <f>77.71123011</f>
        <v>77.711230110000002</v>
      </c>
      <c r="CM234">
        <f>130.0291942</f>
        <v>130.02919420000001</v>
      </c>
      <c r="CN234">
        <f>75.27762346</f>
        <v>75.277623460000001</v>
      </c>
      <c r="CO234">
        <f>61.32931544</f>
        <v>61.329315440000002</v>
      </c>
      <c r="CP234">
        <f>119.5318293</f>
        <v>119.5318293</v>
      </c>
      <c r="CQ234">
        <f>74.442091</f>
        <v>74.442091000000005</v>
      </c>
      <c r="CR234">
        <f>149.7625129</f>
        <v>149.76251289999999</v>
      </c>
      <c r="CS234">
        <f>84.7068417</f>
        <v>84.706841699999998</v>
      </c>
      <c r="CT234">
        <f>86.53310478</f>
        <v>86.533104780000002</v>
      </c>
      <c r="CU234">
        <f>126.9936628</f>
        <v>126.9936628</v>
      </c>
      <c r="CV234">
        <f>407.2663745</f>
        <v>407.26637449999998</v>
      </c>
      <c r="CW234">
        <f>83.60263214</f>
        <v>83.602632139999997</v>
      </c>
      <c r="CX234">
        <f>91.02875354</f>
        <v>91.028753539999997</v>
      </c>
      <c r="CY234">
        <f>95.01946521</f>
        <v>95.019465210000007</v>
      </c>
      <c r="CZ234">
        <f>63.85691906</f>
        <v>63.856919060000003</v>
      </c>
      <c r="DA234">
        <f>89.90372042</f>
        <v>89.903720419999999</v>
      </c>
      <c r="DB234">
        <f>81.18972613</f>
        <v>81.189726129999997</v>
      </c>
      <c r="DC234">
        <f>81.85022731</f>
        <v>81.850227309999994</v>
      </c>
      <c r="DD234">
        <f>84.17144771</f>
        <v>84.171447709999995</v>
      </c>
      <c r="DE234">
        <f>76.04416345</f>
        <v>76.044163449999999</v>
      </c>
      <c r="DF234">
        <f>88.61945762</f>
        <v>88.619457620000006</v>
      </c>
      <c r="DG234">
        <f>109.3593533</f>
        <v>109.3593533</v>
      </c>
      <c r="DH234">
        <f>83.67883895</f>
        <v>83.678838949999999</v>
      </c>
      <c r="DI234">
        <f>89.6006982</f>
        <v>89.600698199999997</v>
      </c>
      <c r="DJ234">
        <f>79.23827536</f>
        <v>79.238275360000003</v>
      </c>
      <c r="DK234">
        <f>115.9642695</f>
        <v>115.9642695</v>
      </c>
      <c r="DL234">
        <f>82.58975962</f>
        <v>82.589759619999995</v>
      </c>
      <c r="DM234">
        <f>1049.570632</f>
        <v>1049.5706319999999</v>
      </c>
      <c r="DN234">
        <f>91.8613232</f>
        <v>91.861323200000001</v>
      </c>
      <c r="DO234">
        <f>88.32241934</f>
        <v>88.322419339999996</v>
      </c>
      <c r="DP234" t="str">
        <f>""</f>
        <v/>
      </c>
      <c r="DQ234" t="str">
        <f>""</f>
        <v/>
      </c>
      <c r="DR234" t="str">
        <f>""</f>
        <v/>
      </c>
      <c r="DS234">
        <f>41.59527992</f>
        <v>41.595279920000003</v>
      </c>
      <c r="DT234" t="str">
        <f>""</f>
        <v/>
      </c>
      <c r="DU234">
        <f>114.326438</f>
        <v>114.326438</v>
      </c>
    </row>
    <row r="235" spans="1:125">
      <c r="A235" t="str">
        <f>"    Healthcare Realty Trust Inc"</f>
        <v xml:space="preserve">    Healthcare Realty Trust Inc</v>
      </c>
      <c r="B235" t="str">
        <f>"HR US Equity"</f>
        <v>HR US Equity</v>
      </c>
      <c r="C235" t="str">
        <f t="shared" si="57"/>
        <v>RR106</v>
      </c>
      <c r="D235" t="str">
        <f t="shared" si="58"/>
        <v>FFO_PAYOUT_RATIO</v>
      </c>
      <c r="E235" t="str">
        <f t="shared" si="59"/>
        <v>动态</v>
      </c>
      <c r="F235" t="str">
        <f ca="1">IF(AND(ISNUMBER($F$472),$B$258=1),$F$472,HLOOKUP(INDIRECT(ADDRESS(2,COLUMN())),OFFSET($BN$2,0,0,ROW()-1,60),ROW()-1,FALSE))</f>
        <v/>
      </c>
      <c r="G235">
        <f ca="1">IF(AND(ISNUMBER($G$472),$B$258=1),$G$472,HLOOKUP(INDIRECT(ADDRESS(2,COLUMN())),OFFSET($BN$2,0,0,ROW()-1,60),ROW()-1,FALSE))</f>
        <v>5158.030726</v>
      </c>
      <c r="H235">
        <f ca="1">IF(AND(ISNUMBER($H$472),$B$258=1),$H$472,HLOOKUP(INDIRECT(ADDRESS(2,COLUMN())),OFFSET($BN$2,0,0,ROW()-1,60),ROW()-1,FALSE))</f>
        <v>79.901156159999999</v>
      </c>
      <c r="I235">
        <f ca="1">IF(AND(ISNUMBER($I$472),$B$258=1),$I$472,HLOOKUP(INDIRECT(ADDRESS(2,COLUMN())),OFFSET($BN$2,0,0,ROW()-1,60),ROW()-1,FALSE))</f>
        <v>77.294838970000001</v>
      </c>
      <c r="J235">
        <f ca="1">IF(AND(ISNUMBER($J$472),$B$258=1),$J$472,HLOOKUP(INDIRECT(ADDRESS(2,COLUMN())),OFFSET($BN$2,0,0,ROW()-1,60),ROW()-1,FALSE))</f>
        <v>77.631727409999996</v>
      </c>
      <c r="K235">
        <f ca="1">IF(AND(ISNUMBER($K$472),$B$258=1),$K$472,HLOOKUP(INDIRECT(ADDRESS(2,COLUMN())),OFFSET($BN$2,0,0,ROW()-1,60),ROW()-1,FALSE))</f>
        <v>74.376244049999997</v>
      </c>
      <c r="L235">
        <f ca="1">IF(AND(ISNUMBER($L$472),$B$258=1),$L$472,HLOOKUP(INDIRECT(ADDRESS(2,COLUMN())),OFFSET($BN$2,0,0,ROW()-1,60),ROW()-1,FALSE))</f>
        <v>77.145367300000004</v>
      </c>
      <c r="M235">
        <f ca="1">IF(AND(ISNUMBER($M$472),$B$258=1),$M$472,HLOOKUP(INDIRECT(ADDRESS(2,COLUMN())),OFFSET($BN$2,0,0,ROW()-1,60),ROW()-1,FALSE))</f>
        <v>71.138576610000001</v>
      </c>
      <c r="N235">
        <f ca="1">IF(AND(ISNUMBER($N$472),$B$258=1),$N$472,HLOOKUP(INDIRECT(ADDRESS(2,COLUMN())),OFFSET($BN$2,0,0,ROW()-1,60),ROW()-1,FALSE))</f>
        <v>76.157773550000002</v>
      </c>
      <c r="O235">
        <f ca="1">IF(AND(ISNUMBER($O$472),$B$258=1),$O$472,HLOOKUP(INDIRECT(ADDRESS(2,COLUMN())),OFFSET($BN$2,0,0,ROW()-1,60),ROW()-1,FALSE))</f>
        <v>74.561749019999993</v>
      </c>
      <c r="P235">
        <f ca="1">IF(AND(ISNUMBER($P$472),$B$258=1),$P$472,HLOOKUP(INDIRECT(ADDRESS(2,COLUMN())),OFFSET($BN$2,0,0,ROW()-1,60),ROW()-1,FALSE))</f>
        <v>73.36377736</v>
      </c>
      <c r="Q235">
        <f ca="1">IF(AND(ISNUMBER($Q$472),$B$258=1),$Q$472,HLOOKUP(INDIRECT(ADDRESS(2,COLUMN())),OFFSET($BN$2,0,0,ROW()-1,60),ROW()-1,FALSE))</f>
        <v>606.67956809999998</v>
      </c>
      <c r="R235">
        <f ca="1">IF(AND(ISNUMBER($R$472),$B$258=1),$R$472,HLOOKUP(INDIRECT(ADDRESS(2,COLUMN())),OFFSET($BN$2,0,0,ROW()-1,60),ROW()-1,FALSE))</f>
        <v>77.4894958</v>
      </c>
      <c r="S235">
        <f ca="1">IF(AND(ISNUMBER($S$472),$B$258=1),$S$472,HLOOKUP(INDIRECT(ADDRESS(2,COLUMN())),OFFSET($BN$2,0,0,ROW()-1,60),ROW()-1,FALSE))</f>
        <v>75.256007269999998</v>
      </c>
      <c r="T235">
        <f ca="1">IF(AND(ISNUMBER($T$472),$B$258=1),$T$472,HLOOKUP(INDIRECT(ADDRESS(2,COLUMN())),OFFSET($BN$2,0,0,ROW()-1,60),ROW()-1,FALSE))</f>
        <v>77.836301629999994</v>
      </c>
      <c r="U235">
        <f ca="1">IF(AND(ISNUMBER($U$472),$B$258=1),$U$472,HLOOKUP(INDIRECT(ADDRESS(2,COLUMN())),OFFSET($BN$2,0,0,ROW()-1,60),ROW()-1,FALSE))</f>
        <v>78.560265999999999</v>
      </c>
      <c r="V235">
        <f ca="1">IF(AND(ISNUMBER($V$472),$B$258=1),$V$472,HLOOKUP(INDIRECT(ADDRESS(2,COLUMN())),OFFSET($BN$2,0,0,ROW()-1,60),ROW()-1,FALSE))</f>
        <v>84.252348990000002</v>
      </c>
      <c r="W235">
        <f ca="1">IF(AND(ISNUMBER($W$472),$B$258=1),$W$472,HLOOKUP(INDIRECT(ADDRESS(2,COLUMN())),OFFSET($BN$2,0,0,ROW()-1,60),ROW()-1,FALSE))</f>
        <v>79.730599799999993</v>
      </c>
      <c r="X235">
        <f ca="1">IF(AND(ISNUMBER($X$472),$B$258=1),$X$472,HLOOKUP(INDIRECT(ADDRESS(2,COLUMN())),OFFSET($BN$2,0,0,ROW()-1,60),ROW()-1,FALSE))</f>
        <v>93.284416489999998</v>
      </c>
      <c r="Y235" t="str">
        <f ca="1">IF(AND(ISNUMBER($Y$472),$B$258=1),$Y$472,HLOOKUP(INDIRECT(ADDRESS(2,COLUMN())),OFFSET($BN$2,0,0,ROW()-1,60),ROW()-1,FALSE))</f>
        <v/>
      </c>
      <c r="Z235">
        <f ca="1">IF(AND(ISNUMBER($Z$472),$B$258=1),$Z$472,HLOOKUP(INDIRECT(ADDRESS(2,COLUMN())),OFFSET($BN$2,0,0,ROW()-1,60),ROW()-1,FALSE))</f>
        <v>98.041295270000006</v>
      </c>
      <c r="AA235">
        <f ca="1">IF(AND(ISNUMBER($AA$472),$B$258=1),$AA$472,HLOOKUP(INDIRECT(ADDRESS(2,COLUMN())),OFFSET($BN$2,0,0,ROW()-1,60),ROW()-1,FALSE))</f>
        <v>102.55532959999999</v>
      </c>
      <c r="AB235">
        <f ca="1">IF(AND(ISNUMBER($AB$472),$B$258=1),$AB$472,HLOOKUP(INDIRECT(ADDRESS(2,COLUMN())),OFFSET($BN$2,0,0,ROW()-1,60),ROW()-1,FALSE))</f>
        <v>89.388254489999994</v>
      </c>
      <c r="AC235">
        <f ca="1">IF(AND(ISNUMBER($AC$472),$B$258=1),$AC$472,HLOOKUP(INDIRECT(ADDRESS(2,COLUMN())),OFFSET($BN$2,0,0,ROW()-1,60),ROW()-1,FALSE))</f>
        <v>86.433550620000005</v>
      </c>
      <c r="AD235">
        <f ca="1">IF(AND(ISNUMBER($AD$472),$B$258=1),$AD$472,HLOOKUP(INDIRECT(ADDRESS(2,COLUMN())),OFFSET($BN$2,0,0,ROW()-1,60),ROW()-1,FALSE))</f>
        <v>85.654116610000003</v>
      </c>
      <c r="AE235">
        <f ca="1">IF(AND(ISNUMBER($AE$472),$B$258=1),$AE$472,HLOOKUP(INDIRECT(ADDRESS(2,COLUMN())),OFFSET($BN$2,0,0,ROW()-1,60),ROW()-1,FALSE))</f>
        <v>90.473308470000006</v>
      </c>
      <c r="AF235">
        <f ca="1">IF(AND(ISNUMBER($AF$472),$B$258=1),$AF$472,HLOOKUP(INDIRECT(ADDRESS(2,COLUMN())),OFFSET($BN$2,0,0,ROW()-1,60),ROW()-1,FALSE))</f>
        <v>103.53880270000001</v>
      </c>
      <c r="AG235">
        <f ca="1">IF(AND(ISNUMBER($AG$472),$B$258=1),$AG$472,HLOOKUP(INDIRECT(ADDRESS(2,COLUMN())),OFFSET($BN$2,0,0,ROW()-1,60),ROW()-1,FALSE))</f>
        <v>99.571829980000004</v>
      </c>
      <c r="AH235">
        <f ca="1">IF(AND(ISNUMBER($AH$472),$B$258=1),$AH$472,HLOOKUP(INDIRECT(ADDRESS(2,COLUMN())),OFFSET($BN$2,0,0,ROW()-1,60),ROW()-1,FALSE))</f>
        <v>140.82498609999999</v>
      </c>
      <c r="AI235">
        <f ca="1">IF(AND(ISNUMBER($AI$472),$B$258=1),$AI$472,HLOOKUP(INDIRECT(ADDRESS(2,COLUMN())),OFFSET($BN$2,0,0,ROW()-1,60),ROW()-1,FALSE))</f>
        <v>97.832135449999996</v>
      </c>
      <c r="AJ235">
        <f ca="1">IF(AND(ISNUMBER($AJ$472),$B$258=1),$AJ$472,HLOOKUP(INDIRECT(ADDRESS(2,COLUMN())),OFFSET($BN$2,0,0,ROW()-1,60),ROW()-1,FALSE))</f>
        <v>178.0251514</v>
      </c>
      <c r="AK235">
        <f ca="1">IF(AND(ISNUMBER($AK$472),$B$258=1),$AK$472,HLOOKUP(INDIRECT(ADDRESS(2,COLUMN())),OFFSET($BN$2,0,0,ROW()-1,60),ROW()-1,FALSE))</f>
        <v>84.672087210000001</v>
      </c>
      <c r="AL235">
        <f ca="1">IF(AND(ISNUMBER($AL$472),$B$258=1),$AL$472,HLOOKUP(INDIRECT(ADDRESS(2,COLUMN())),OFFSET($BN$2,0,0,ROW()-1,60),ROW()-1,FALSE))</f>
        <v>95.767250790000006</v>
      </c>
      <c r="AM235">
        <f ca="1">IF(AND(ISNUMBER($AM$472),$B$258=1),$AM$472,HLOOKUP(INDIRECT(ADDRESS(2,COLUMN())),OFFSET($BN$2,0,0,ROW()-1,60),ROW()-1,FALSE))</f>
        <v>107.453999</v>
      </c>
      <c r="AN235">
        <f ca="1">IF(AND(ISNUMBER($AN$472),$B$258=1),$AN$472,HLOOKUP(INDIRECT(ADDRESS(2,COLUMN())),OFFSET($BN$2,0,0,ROW()-1,60),ROW()-1,FALSE))</f>
        <v>88.501607219999997</v>
      </c>
      <c r="AO235">
        <f ca="1">IF(AND(ISNUMBER($AO$472),$B$258=1),$AO$472,HLOOKUP(INDIRECT(ADDRESS(2,COLUMN())),OFFSET($BN$2,0,0,ROW()-1,60),ROW()-1,FALSE))</f>
        <v>87.840227589999998</v>
      </c>
      <c r="AP235">
        <f ca="1">IF(AND(ISNUMBER($AP$472),$B$258=1),$AP$472,HLOOKUP(INDIRECT(ADDRESS(2,COLUMN())),OFFSET($BN$2,0,0,ROW()-1,60),ROW()-1,FALSE))</f>
        <v>90.811090340000007</v>
      </c>
      <c r="AQ235">
        <f ca="1">IF(AND(ISNUMBER($AQ$472),$B$258=1),$AQ$472,HLOOKUP(INDIRECT(ADDRESS(2,COLUMN())),OFFSET($BN$2,0,0,ROW()-1,60),ROW()-1,FALSE))</f>
        <v>72.727242889999999</v>
      </c>
      <c r="AR235">
        <f ca="1">IF(AND(ISNUMBER($AR$472),$B$258=1),$AR$472,HLOOKUP(INDIRECT(ADDRESS(2,COLUMN())),OFFSET($BN$2,0,0,ROW()-1,60),ROW()-1,FALSE))</f>
        <v>107.1557822</v>
      </c>
      <c r="AS235">
        <f ca="1">IF(AND(ISNUMBER($AS$472),$B$258=1),$AS$472,HLOOKUP(INDIRECT(ADDRESS(2,COLUMN())),OFFSET($BN$2,0,0,ROW()-1,60),ROW()-1,FALSE))</f>
        <v>101.7342847</v>
      </c>
      <c r="AT235">
        <f ca="1">IF(AND(ISNUMBER($AT$472),$B$258=1),$AT$472,HLOOKUP(INDIRECT(ADDRESS(2,COLUMN())),OFFSET($BN$2,0,0,ROW()-1,60),ROW()-1,FALSE))</f>
        <v>100.5042449</v>
      </c>
      <c r="AU235">
        <f ca="1">IF(AND(ISNUMBER($AU$472),$B$258=1),$AU$472,HLOOKUP(INDIRECT(ADDRESS(2,COLUMN())),OFFSET($BN$2,0,0,ROW()-1,60),ROW()-1,FALSE))</f>
        <v>94.30588478</v>
      </c>
      <c r="AV235">
        <f ca="1">IF(AND(ISNUMBER($AV$472),$B$258=1),$AV$472,HLOOKUP(INDIRECT(ADDRESS(2,COLUMN())),OFFSET($BN$2,0,0,ROW()-1,60),ROW()-1,FALSE))</f>
        <v>126.7458628</v>
      </c>
      <c r="AW235">
        <f ca="1">IF(AND(ISNUMBER($AW$472),$B$258=1),$AW$472,HLOOKUP(INDIRECT(ADDRESS(2,COLUMN())),OFFSET($BN$2,0,0,ROW()-1,60),ROW()-1,FALSE))</f>
        <v>1371.9989399999999</v>
      </c>
      <c r="AX235">
        <f ca="1">IF(AND(ISNUMBER($AX$472),$B$258=1),$AX$472,HLOOKUP(INDIRECT(ADDRESS(2,COLUMN())),OFFSET($BN$2,0,0,ROW()-1,60),ROW()-1,FALSE))</f>
        <v>155.28387290000001</v>
      </c>
      <c r="AY235">
        <f ca="1">IF(AND(ISNUMBER($AY$472),$B$258=1),$AY$472,HLOOKUP(INDIRECT(ADDRESS(2,COLUMN())),OFFSET($BN$2,0,0,ROW()-1,60),ROW()-1,FALSE))</f>
        <v>137.21623679999999</v>
      </c>
      <c r="AZ235">
        <f ca="1">IF(AND(ISNUMBER($AZ$472),$B$258=1),$AZ$472,HLOOKUP(INDIRECT(ADDRESS(2,COLUMN())),OFFSET($BN$2,0,0,ROW()-1,60),ROW()-1,FALSE))</f>
        <v>129.1348443</v>
      </c>
      <c r="BA235">
        <f ca="1">IF(AND(ISNUMBER($BA$472),$B$258=1),$BA$472,HLOOKUP(INDIRECT(ADDRESS(2,COLUMN())),OFFSET($BN$2,0,0,ROW()-1,60),ROW()-1,FALSE))</f>
        <v>111.47989130000001</v>
      </c>
      <c r="BB235">
        <f ca="1">IF(AND(ISNUMBER($BB$472),$B$258=1),$BB$472,HLOOKUP(INDIRECT(ADDRESS(2,COLUMN())),OFFSET($BN$2,0,0,ROW()-1,60),ROW()-1,FALSE))</f>
        <v>123.1078418</v>
      </c>
      <c r="BC235">
        <f ca="1">IF(AND(ISNUMBER($BC$472),$B$258=1),$BC$472,HLOOKUP(INDIRECT(ADDRESS(2,COLUMN())),OFFSET($BN$2,0,0,ROW()-1,60),ROW()-1,FALSE))</f>
        <v>127.43587309999999</v>
      </c>
      <c r="BD235">
        <f ca="1">IF(AND(ISNUMBER($BD$472),$B$258=1),$BD$472,HLOOKUP(INDIRECT(ADDRESS(2,COLUMN())),OFFSET($BN$2,0,0,ROW()-1,60),ROW()-1,FALSE))</f>
        <v>115.5109586</v>
      </c>
      <c r="BE235">
        <f ca="1">IF(AND(ISNUMBER($BE$472),$B$258=1),$BE$472,HLOOKUP(INDIRECT(ADDRESS(2,COLUMN())),OFFSET($BN$2,0,0,ROW()-1,60),ROW()-1,FALSE))</f>
        <v>120.5529653</v>
      </c>
      <c r="BF235">
        <f ca="1">IF(AND(ISNUMBER($BF$472),$B$258=1),$BF$472,HLOOKUP(INDIRECT(ADDRESS(2,COLUMN())),OFFSET($BN$2,0,0,ROW()-1,60),ROW()-1,FALSE))</f>
        <v>102.57690030000001</v>
      </c>
      <c r="BG235">
        <f ca="1">IF(AND(ISNUMBER($BG$472),$B$258=1),$BG$472,HLOOKUP(INDIRECT(ADDRESS(2,COLUMN())),OFFSET($BN$2,0,0,ROW()-1,60),ROW()-1,FALSE))</f>
        <v>165.27335840000001</v>
      </c>
      <c r="BH235">
        <f ca="1">IF(AND(ISNUMBER($BH$472),$B$258=1),$BH$472,HLOOKUP(INDIRECT(ADDRESS(2,COLUMN())),OFFSET($BN$2,0,0,ROW()-1,60),ROW()-1,FALSE))</f>
        <v>96.961604579999999</v>
      </c>
      <c r="BI235">
        <f ca="1">IF(AND(ISNUMBER($BI$472),$B$258=1),$BI$472,HLOOKUP(INDIRECT(ADDRESS(2,COLUMN())),OFFSET($BN$2,0,0,ROW()-1,60),ROW()-1,FALSE))</f>
        <v>95.910309490000003</v>
      </c>
      <c r="BJ235">
        <f ca="1">IF(AND(ISNUMBER($BJ$472),$B$258=1),$BJ$472,HLOOKUP(INDIRECT(ADDRESS(2,COLUMN())),OFFSET($BN$2,0,0,ROW()-1,60),ROW()-1,FALSE))</f>
        <v>100.84384489999999</v>
      </c>
      <c r="BK235">
        <f ca="1">IF(AND(ISNUMBER($BK$472),$B$258=1),$BK$472,HLOOKUP(INDIRECT(ADDRESS(2,COLUMN())),OFFSET($BN$2,0,0,ROW()-1,60),ROW()-1,FALSE))</f>
        <v>153.23888049999999</v>
      </c>
      <c r="BL235">
        <f ca="1">IF(AND(ISNUMBER($BL$472),$B$258=1),$BL$472,HLOOKUP(INDIRECT(ADDRESS(2,COLUMN())),OFFSET($BN$2,0,0,ROW()-1,60),ROW()-1,FALSE))</f>
        <v>90.276219470000001</v>
      </c>
      <c r="BM235">
        <f ca="1">IF(AND(ISNUMBER($BM$472),$B$258=1),$BM$472,HLOOKUP(INDIRECT(ADDRESS(2,COLUMN())),OFFSET($BN$2,0,0,ROW()-1,60),ROW()-1,FALSE))</f>
        <v>89.26308856</v>
      </c>
      <c r="BN235" t="str">
        <f>""</f>
        <v/>
      </c>
      <c r="BO235">
        <f>5158.030726</f>
        <v>5158.030726</v>
      </c>
      <c r="BP235">
        <f>79.90115616</f>
        <v>79.901156159999999</v>
      </c>
      <c r="BQ235">
        <f>77.29483897</f>
        <v>77.294838970000001</v>
      </c>
      <c r="BR235">
        <f>77.63172741</f>
        <v>77.631727409999996</v>
      </c>
      <c r="BS235">
        <f>74.37624405</f>
        <v>74.376244049999997</v>
      </c>
      <c r="BT235">
        <f>77.1453673</f>
        <v>77.145367300000004</v>
      </c>
      <c r="BU235">
        <f>71.13857661</f>
        <v>71.138576610000001</v>
      </c>
      <c r="BV235">
        <f>76.15777355</f>
        <v>76.157773550000002</v>
      </c>
      <c r="BW235">
        <f>74.56174902</f>
        <v>74.561749019999993</v>
      </c>
      <c r="BX235">
        <f>73.36377736</f>
        <v>73.36377736</v>
      </c>
      <c r="BY235">
        <f>606.6795681</f>
        <v>606.67956809999998</v>
      </c>
      <c r="BZ235">
        <f>77.4894958</f>
        <v>77.4894958</v>
      </c>
      <c r="CA235">
        <f>75.25600727</f>
        <v>75.256007269999998</v>
      </c>
      <c r="CB235">
        <f>77.83630163</f>
        <v>77.836301629999994</v>
      </c>
      <c r="CC235">
        <f>78.560266</f>
        <v>78.560265999999999</v>
      </c>
      <c r="CD235">
        <f>84.25234899</f>
        <v>84.252348990000002</v>
      </c>
      <c r="CE235">
        <f>79.7305998</f>
        <v>79.730599799999993</v>
      </c>
      <c r="CF235">
        <f>93.28441649</f>
        <v>93.284416489999998</v>
      </c>
      <c r="CG235" t="str">
        <f>""</f>
        <v/>
      </c>
      <c r="CH235">
        <f>98.04129527</f>
        <v>98.041295270000006</v>
      </c>
      <c r="CI235">
        <f>102.5553296</f>
        <v>102.55532959999999</v>
      </c>
      <c r="CJ235">
        <f>89.38825449</f>
        <v>89.388254489999994</v>
      </c>
      <c r="CK235">
        <f>86.43355062</f>
        <v>86.433550620000005</v>
      </c>
      <c r="CL235">
        <f>85.65411661</f>
        <v>85.654116610000003</v>
      </c>
      <c r="CM235">
        <f>90.47330847</f>
        <v>90.473308470000006</v>
      </c>
      <c r="CN235">
        <f>103.5388027</f>
        <v>103.53880270000001</v>
      </c>
      <c r="CO235">
        <f>99.57182998</f>
        <v>99.571829980000004</v>
      </c>
      <c r="CP235">
        <f>140.8249861</f>
        <v>140.82498609999999</v>
      </c>
      <c r="CQ235">
        <f>97.83213545</f>
        <v>97.832135449999996</v>
      </c>
      <c r="CR235">
        <f>178.0251514</f>
        <v>178.0251514</v>
      </c>
      <c r="CS235">
        <f>84.67208721</f>
        <v>84.672087210000001</v>
      </c>
      <c r="CT235">
        <f>95.76725079</f>
        <v>95.767250790000006</v>
      </c>
      <c r="CU235">
        <f>107.453999</f>
        <v>107.453999</v>
      </c>
      <c r="CV235">
        <f>88.50160722</f>
        <v>88.501607219999997</v>
      </c>
      <c r="CW235">
        <f>87.84022759</f>
        <v>87.840227589999998</v>
      </c>
      <c r="CX235">
        <f>90.81109034</f>
        <v>90.811090340000007</v>
      </c>
      <c r="CY235">
        <f>72.72724289</f>
        <v>72.727242889999999</v>
      </c>
      <c r="CZ235">
        <f>107.1557822</f>
        <v>107.1557822</v>
      </c>
      <c r="DA235">
        <f>101.7342847</f>
        <v>101.7342847</v>
      </c>
      <c r="DB235">
        <f>100.5042449</f>
        <v>100.5042449</v>
      </c>
      <c r="DC235">
        <f>94.30588478</f>
        <v>94.30588478</v>
      </c>
      <c r="DD235">
        <f>126.7458628</f>
        <v>126.7458628</v>
      </c>
      <c r="DE235">
        <f>1371.99894</f>
        <v>1371.9989399999999</v>
      </c>
      <c r="DF235">
        <f>155.2838729</f>
        <v>155.28387290000001</v>
      </c>
      <c r="DG235">
        <f>137.2162368</f>
        <v>137.21623679999999</v>
      </c>
      <c r="DH235">
        <f>129.1348443</f>
        <v>129.1348443</v>
      </c>
      <c r="DI235">
        <f>111.4798913</f>
        <v>111.47989130000001</v>
      </c>
      <c r="DJ235">
        <f>123.1078418</f>
        <v>123.1078418</v>
      </c>
      <c r="DK235">
        <f>127.4358731</f>
        <v>127.43587309999999</v>
      </c>
      <c r="DL235">
        <f>115.5109586</f>
        <v>115.5109586</v>
      </c>
      <c r="DM235">
        <f>120.5529653</f>
        <v>120.5529653</v>
      </c>
      <c r="DN235">
        <f>102.5769003</f>
        <v>102.57690030000001</v>
      </c>
      <c r="DO235">
        <f>165.2733584</f>
        <v>165.27335840000001</v>
      </c>
      <c r="DP235">
        <f>96.96160458</f>
        <v>96.961604579999999</v>
      </c>
      <c r="DQ235">
        <f>95.91030949</f>
        <v>95.910309490000003</v>
      </c>
      <c r="DR235">
        <f>100.8438449</f>
        <v>100.84384489999999</v>
      </c>
      <c r="DS235">
        <f>153.2388805</f>
        <v>153.23888049999999</v>
      </c>
      <c r="DT235">
        <f>90.27621947</f>
        <v>90.276219470000001</v>
      </c>
      <c r="DU235">
        <f>89.26308856</f>
        <v>89.26308856</v>
      </c>
    </row>
    <row r="236" spans="1:125">
      <c r="A236" t="str">
        <f>"    Healthcare Trust of America In"</f>
        <v xml:space="preserve">    Healthcare Trust of America In</v>
      </c>
      <c r="B236" t="str">
        <f>"HTA US Equity"</f>
        <v>HTA US Equity</v>
      </c>
      <c r="C236" t="str">
        <f t="shared" si="57"/>
        <v>RR106</v>
      </c>
      <c r="D236" t="str">
        <f t="shared" si="58"/>
        <v>FFO_PAYOUT_RATIO</v>
      </c>
      <c r="E236" t="str">
        <f t="shared" si="59"/>
        <v>动态</v>
      </c>
      <c r="F236" t="str">
        <f ca="1">IF(AND(ISNUMBER($F$473),$B$258=1),$F$473,HLOOKUP(INDIRECT(ADDRESS(2,COLUMN())),OFFSET($BN$2,0,0,ROW()-1,60),ROW()-1,FALSE))</f>
        <v/>
      </c>
      <c r="G236">
        <f ca="1">IF(AND(ISNUMBER($G$473),$B$258=1),$G$473,HLOOKUP(INDIRECT(ADDRESS(2,COLUMN())),OFFSET($BN$2,0,0,ROW()-1,60),ROW()-1,FALSE))</f>
        <v>72.873904300000007</v>
      </c>
      <c r="H236">
        <f ca="1">IF(AND(ISNUMBER($H$473),$B$258=1),$H$473,HLOOKUP(INDIRECT(ADDRESS(2,COLUMN())),OFFSET($BN$2,0,0,ROW()-1,60),ROW()-1,FALSE))</f>
        <v>72.64928544</v>
      </c>
      <c r="I236">
        <f ca="1">IF(AND(ISNUMBER($I$473),$B$258=1),$I$473,HLOOKUP(INDIRECT(ADDRESS(2,COLUMN())),OFFSET($BN$2,0,0,ROW()-1,60),ROW()-1,FALSE))</f>
        <v>97.700839720000005</v>
      </c>
      <c r="J236">
        <f ca="1">IF(AND(ISNUMBER($J$473),$B$258=1),$J$473,HLOOKUP(INDIRECT(ADDRESS(2,COLUMN())),OFFSET($BN$2,0,0,ROW()-1,60),ROW()-1,FALSE))</f>
        <v>70.618120239999996</v>
      </c>
      <c r="K236">
        <f ca="1">IF(AND(ISNUMBER($K$473),$B$258=1),$K$473,HLOOKUP(INDIRECT(ADDRESS(2,COLUMN())),OFFSET($BN$2,0,0,ROW()-1,60),ROW()-1,FALSE))</f>
        <v>71.964426360000004</v>
      </c>
      <c r="L236">
        <f ca="1">IF(AND(ISNUMBER($L$473),$B$258=1),$L$473,HLOOKUP(INDIRECT(ADDRESS(2,COLUMN())),OFFSET($BN$2,0,0,ROW()-1,60),ROW()-1,FALSE))</f>
        <v>77.155006299999997</v>
      </c>
      <c r="M236">
        <f ca="1">IF(AND(ISNUMBER($M$473),$B$258=1),$M$473,HLOOKUP(INDIRECT(ADDRESS(2,COLUMN())),OFFSET($BN$2,0,0,ROW()-1,60),ROW()-1,FALSE))</f>
        <v>76.211213939999993</v>
      </c>
      <c r="N236">
        <f ca="1">IF(AND(ISNUMBER($N$473),$B$258=1),$N$473,HLOOKUP(INDIRECT(ADDRESS(2,COLUMN())),OFFSET($BN$2,0,0,ROW()-1,60),ROW()-1,FALSE))</f>
        <v>79.1456491</v>
      </c>
      <c r="O236">
        <f ca="1">IF(AND(ISNUMBER($O$473),$B$258=1),$O$473,HLOOKUP(INDIRECT(ADDRESS(2,COLUMN())),OFFSET($BN$2,0,0,ROW()-1,60),ROW()-1,FALSE))</f>
        <v>76.185802420000002</v>
      </c>
      <c r="P236">
        <f ca="1">IF(AND(ISNUMBER($P$473),$B$258=1),$P$473,HLOOKUP(INDIRECT(ADDRESS(2,COLUMN())),OFFSET($BN$2,0,0,ROW()-1,60),ROW()-1,FALSE))</f>
        <v>80.646895630000003</v>
      </c>
      <c r="Q236">
        <f ca="1">IF(AND(ISNUMBER($Q$473),$B$258=1),$Q$473,HLOOKUP(INDIRECT(ADDRESS(2,COLUMN())),OFFSET($BN$2,0,0,ROW()-1,60),ROW()-1,FALSE))</f>
        <v>75.658637749999997</v>
      </c>
      <c r="R236">
        <f ca="1">IF(AND(ISNUMBER($R$473),$B$258=1),$R$473,HLOOKUP(INDIRECT(ADDRESS(2,COLUMN())),OFFSET($BN$2,0,0,ROW()-1,60),ROW()-1,FALSE))</f>
        <v>84.254015409999994</v>
      </c>
      <c r="S236">
        <f ca="1">IF(AND(ISNUMBER($S$473),$B$258=1),$S$473,HLOOKUP(INDIRECT(ADDRESS(2,COLUMN())),OFFSET($BN$2,0,0,ROW()-1,60),ROW()-1,FALSE))</f>
        <v>90.416473519999997</v>
      </c>
      <c r="T236">
        <f ca="1">IF(AND(ISNUMBER($T$473),$B$258=1),$T$473,HLOOKUP(INDIRECT(ADDRESS(2,COLUMN())),OFFSET($BN$2,0,0,ROW()-1,60),ROW()-1,FALSE))</f>
        <v>89.460916440000005</v>
      </c>
      <c r="U236">
        <f ca="1">IF(AND(ISNUMBER($U$473),$B$258=1),$U$473,HLOOKUP(INDIRECT(ADDRESS(2,COLUMN())),OFFSET($BN$2,0,0,ROW()-1,60),ROW()-1,FALSE))</f>
        <v>95.144965299999996</v>
      </c>
      <c r="V236">
        <f ca="1">IF(AND(ISNUMBER($V$473),$B$258=1),$V$473,HLOOKUP(INDIRECT(ADDRESS(2,COLUMN())),OFFSET($BN$2,0,0,ROW()-1,60),ROW()-1,FALSE))</f>
        <v>85.646468159999998</v>
      </c>
      <c r="W236">
        <f ca="1">IF(AND(ISNUMBER($W$473),$B$258=1),$W$473,HLOOKUP(INDIRECT(ADDRESS(2,COLUMN())),OFFSET($BN$2,0,0,ROW()-1,60),ROW()-1,FALSE))</f>
        <v>89.6189514</v>
      </c>
      <c r="X236">
        <f ca="1">IF(AND(ISNUMBER($X$473),$B$258=1),$X$473,HLOOKUP(INDIRECT(ADDRESS(2,COLUMN())),OFFSET($BN$2,0,0,ROW()-1,60),ROW()-1,FALSE))</f>
        <v>99.537844440000001</v>
      </c>
      <c r="Y236">
        <f ca="1">IF(AND(ISNUMBER($Y$473),$B$258=1),$Y$473,HLOOKUP(INDIRECT(ADDRESS(2,COLUMN())),OFFSET($BN$2,0,0,ROW()-1,60),ROW()-1,FALSE))</f>
        <v>75.263713080000002</v>
      </c>
      <c r="Z236">
        <f ca="1">IF(AND(ISNUMBER($Z$473),$B$258=1),$Z$473,HLOOKUP(INDIRECT(ADDRESS(2,COLUMN())),OFFSET($BN$2,0,0,ROW()-1,60),ROW()-1,FALSE))</f>
        <v>108.7122225</v>
      </c>
      <c r="AA236">
        <f ca="1">IF(AND(ISNUMBER($AA$473),$B$258=1),$AA$473,HLOOKUP(INDIRECT(ADDRESS(2,COLUMN())),OFFSET($BN$2,0,0,ROW()-1,60),ROW()-1,FALSE))</f>
        <v>114.99356419999999</v>
      </c>
      <c r="AB236">
        <f ca="1">IF(AND(ISNUMBER($AB$473),$B$258=1),$AB$473,HLOOKUP(INDIRECT(ADDRESS(2,COLUMN())),OFFSET($BN$2,0,0,ROW()-1,60),ROW()-1,FALSE))</f>
        <v>116.6226515</v>
      </c>
      <c r="AC236">
        <f ca="1">IF(AND(ISNUMBER($AC$473),$B$258=1),$AC$473,HLOOKUP(INDIRECT(ADDRESS(2,COLUMN())),OFFSET($BN$2,0,0,ROW()-1,60),ROW()-1,FALSE))</f>
        <v>333.48221949999999</v>
      </c>
      <c r="AD236">
        <f ca="1">IF(AND(ISNUMBER($AD$473),$B$258=1),$AD$473,HLOOKUP(INDIRECT(ADDRESS(2,COLUMN())),OFFSET($BN$2,0,0,ROW()-1,60),ROW()-1,FALSE))</f>
        <v>153.47237630000001</v>
      </c>
      <c r="AE236">
        <f ca="1">IF(AND(ISNUMBER($AE$473),$B$258=1),$AE$473,HLOOKUP(INDIRECT(ADDRESS(2,COLUMN())),OFFSET($BN$2,0,0,ROW()-1,60),ROW()-1,FALSE))</f>
        <v>0</v>
      </c>
      <c r="AF236">
        <f ca="1">IF(AND(ISNUMBER($AF$473),$B$258=1),$AF$473,HLOOKUP(INDIRECT(ADDRESS(2,COLUMN())),OFFSET($BN$2,0,0,ROW()-1,60),ROW()-1,FALSE))</f>
        <v>149.6353555</v>
      </c>
      <c r="AG236">
        <f ca="1">IF(AND(ISNUMBER($AG$473),$B$258=1),$AG$473,HLOOKUP(INDIRECT(ADDRESS(2,COLUMN())),OFFSET($BN$2,0,0,ROW()-1,60),ROW()-1,FALSE))</f>
        <v>147.5122552</v>
      </c>
      <c r="AH236">
        <f ca="1">IF(AND(ISNUMBER($AH$473),$B$258=1),$AH$473,HLOOKUP(INDIRECT(ADDRESS(2,COLUMN())),OFFSET($BN$2,0,0,ROW()-1,60),ROW()-1,FALSE))</f>
        <v>0</v>
      </c>
      <c r="AI236">
        <f ca="1">IF(AND(ISNUMBER($AI$473),$B$258=1),$AI$473,HLOOKUP(INDIRECT(ADDRESS(2,COLUMN())),OFFSET($BN$2,0,0,ROW()-1,60),ROW()-1,FALSE))</f>
        <v>0</v>
      </c>
      <c r="AJ236">
        <f ca="1">IF(AND(ISNUMBER($AJ$473),$B$258=1),$AJ$473,HLOOKUP(INDIRECT(ADDRESS(2,COLUMN())),OFFSET($BN$2,0,0,ROW()-1,60),ROW()-1,FALSE))</f>
        <v>0</v>
      </c>
      <c r="AK236">
        <f ca="1">IF(AND(ISNUMBER($AK$473),$B$258=1),$AK$473,HLOOKUP(INDIRECT(ADDRESS(2,COLUMN())),OFFSET($BN$2,0,0,ROW()-1,60),ROW()-1,FALSE))</f>
        <v>0</v>
      </c>
      <c r="AL236">
        <f ca="1">IF(AND(ISNUMBER($AL$473),$B$258=1),$AL$473,HLOOKUP(INDIRECT(ADDRESS(2,COLUMN())),OFFSET($BN$2,0,0,ROW()-1,60),ROW()-1,FALSE))</f>
        <v>0</v>
      </c>
      <c r="AM236" t="str">
        <f ca="1">IF(AND(ISNUMBER($AM$473),$B$258=1),$AM$473,HLOOKUP(INDIRECT(ADDRESS(2,COLUMN())),OFFSET($BN$2,0,0,ROW()-1,60),ROW()-1,FALSE))</f>
        <v/>
      </c>
      <c r="AN236" t="str">
        <f ca="1">IF(AND(ISNUMBER($AN$473),$B$258=1),$AN$473,HLOOKUP(INDIRECT(ADDRESS(2,COLUMN())),OFFSET($BN$2,0,0,ROW()-1,60),ROW()-1,FALSE))</f>
        <v/>
      </c>
      <c r="AO236" t="str">
        <f ca="1">IF(AND(ISNUMBER($AO$473),$B$258=1),$AO$473,HLOOKUP(INDIRECT(ADDRESS(2,COLUMN())),OFFSET($BN$2,0,0,ROW()-1,60),ROW()-1,FALSE))</f>
        <v/>
      </c>
      <c r="AP236" t="str">
        <f ca="1">IF(AND(ISNUMBER($AP$473),$B$258=1),$AP$473,HLOOKUP(INDIRECT(ADDRESS(2,COLUMN())),OFFSET($BN$2,0,0,ROW()-1,60),ROW()-1,FALSE))</f>
        <v/>
      </c>
      <c r="AQ236" t="str">
        <f ca="1">IF(AND(ISNUMBER($AQ$473),$B$258=1),$AQ$473,HLOOKUP(INDIRECT(ADDRESS(2,COLUMN())),OFFSET($BN$2,0,0,ROW()-1,60),ROW()-1,FALSE))</f>
        <v/>
      </c>
      <c r="AR236" t="str">
        <f ca="1">IF(AND(ISNUMBER($AR$473),$B$258=1),$AR$473,HLOOKUP(INDIRECT(ADDRESS(2,COLUMN())),OFFSET($BN$2,0,0,ROW()-1,60),ROW()-1,FALSE))</f>
        <v/>
      </c>
      <c r="AS236" t="str">
        <f ca="1">IF(AND(ISNUMBER($AS$473),$B$258=1),$AS$473,HLOOKUP(INDIRECT(ADDRESS(2,COLUMN())),OFFSET($BN$2,0,0,ROW()-1,60),ROW()-1,FALSE))</f>
        <v/>
      </c>
      <c r="AT236" t="str">
        <f ca="1">IF(AND(ISNUMBER($AT$473),$B$258=1),$AT$473,HLOOKUP(INDIRECT(ADDRESS(2,COLUMN())),OFFSET($BN$2,0,0,ROW()-1,60),ROW()-1,FALSE))</f>
        <v/>
      </c>
      <c r="AU236" t="str">
        <f ca="1">IF(AND(ISNUMBER($AU$473),$B$258=1),$AU$473,HLOOKUP(INDIRECT(ADDRESS(2,COLUMN())),OFFSET($BN$2,0,0,ROW()-1,60),ROW()-1,FALSE))</f>
        <v/>
      </c>
      <c r="AV236" t="str">
        <f ca="1">IF(AND(ISNUMBER($AV$473),$B$258=1),$AV$473,HLOOKUP(INDIRECT(ADDRESS(2,COLUMN())),OFFSET($BN$2,0,0,ROW()-1,60),ROW()-1,FALSE))</f>
        <v/>
      </c>
      <c r="AW236" t="str">
        <f ca="1">IF(AND(ISNUMBER($AW$473),$B$258=1),$AW$473,HLOOKUP(INDIRECT(ADDRESS(2,COLUMN())),OFFSET($BN$2,0,0,ROW()-1,60),ROW()-1,FALSE))</f>
        <v/>
      </c>
      <c r="AX236" t="str">
        <f ca="1">IF(AND(ISNUMBER($AX$473),$B$258=1),$AX$473,HLOOKUP(INDIRECT(ADDRESS(2,COLUMN())),OFFSET($BN$2,0,0,ROW()-1,60),ROW()-1,FALSE))</f>
        <v/>
      </c>
      <c r="AY236" t="str">
        <f ca="1">IF(AND(ISNUMBER($AY$473),$B$258=1),$AY$473,HLOOKUP(INDIRECT(ADDRESS(2,COLUMN())),OFFSET($BN$2,0,0,ROW()-1,60),ROW()-1,FALSE))</f>
        <v/>
      </c>
      <c r="AZ236" t="str">
        <f ca="1">IF(AND(ISNUMBER($AZ$473),$B$258=1),$AZ$473,HLOOKUP(INDIRECT(ADDRESS(2,COLUMN())),OFFSET($BN$2,0,0,ROW()-1,60),ROW()-1,FALSE))</f>
        <v/>
      </c>
      <c r="BA236" t="str">
        <f ca="1">IF(AND(ISNUMBER($BA$473),$B$258=1),$BA$473,HLOOKUP(INDIRECT(ADDRESS(2,COLUMN())),OFFSET($BN$2,0,0,ROW()-1,60),ROW()-1,FALSE))</f>
        <v/>
      </c>
      <c r="BB236" t="str">
        <f ca="1">IF(AND(ISNUMBER($BB$473),$B$258=1),$BB$473,HLOOKUP(INDIRECT(ADDRESS(2,COLUMN())),OFFSET($BN$2,0,0,ROW()-1,60),ROW()-1,FALSE))</f>
        <v/>
      </c>
      <c r="BC236" t="str">
        <f ca="1">IF(AND(ISNUMBER($BC$473),$B$258=1),$BC$473,HLOOKUP(INDIRECT(ADDRESS(2,COLUMN())),OFFSET($BN$2,0,0,ROW()-1,60),ROW()-1,FALSE))</f>
        <v/>
      </c>
      <c r="BD236" t="str">
        <f ca="1">IF(AND(ISNUMBER($BD$473),$B$258=1),$BD$473,HLOOKUP(INDIRECT(ADDRESS(2,COLUMN())),OFFSET($BN$2,0,0,ROW()-1,60),ROW()-1,FALSE))</f>
        <v/>
      </c>
      <c r="BE236" t="str">
        <f ca="1">IF(AND(ISNUMBER($BE$473),$B$258=1),$BE$473,HLOOKUP(INDIRECT(ADDRESS(2,COLUMN())),OFFSET($BN$2,0,0,ROW()-1,60),ROW()-1,FALSE))</f>
        <v/>
      </c>
      <c r="BF236" t="str">
        <f ca="1">IF(AND(ISNUMBER($BF$473),$B$258=1),$BF$473,HLOOKUP(INDIRECT(ADDRESS(2,COLUMN())),OFFSET($BN$2,0,0,ROW()-1,60),ROW()-1,FALSE))</f>
        <v/>
      </c>
      <c r="BG236" t="str">
        <f ca="1">IF(AND(ISNUMBER($BG$473),$B$258=1),$BG$473,HLOOKUP(INDIRECT(ADDRESS(2,COLUMN())),OFFSET($BN$2,0,0,ROW()-1,60),ROW()-1,FALSE))</f>
        <v/>
      </c>
      <c r="BH236" t="str">
        <f ca="1">IF(AND(ISNUMBER($BH$473),$B$258=1),$BH$473,HLOOKUP(INDIRECT(ADDRESS(2,COLUMN())),OFFSET($BN$2,0,0,ROW()-1,60),ROW()-1,FALSE))</f>
        <v/>
      </c>
      <c r="BI236" t="str">
        <f ca="1">IF(AND(ISNUMBER($BI$473),$B$258=1),$BI$473,HLOOKUP(INDIRECT(ADDRESS(2,COLUMN())),OFFSET($BN$2,0,0,ROW()-1,60),ROW()-1,FALSE))</f>
        <v/>
      </c>
      <c r="BJ236" t="str">
        <f ca="1">IF(AND(ISNUMBER($BJ$473),$B$258=1),$BJ$473,HLOOKUP(INDIRECT(ADDRESS(2,COLUMN())),OFFSET($BN$2,0,0,ROW()-1,60),ROW()-1,FALSE))</f>
        <v/>
      </c>
      <c r="BK236" t="str">
        <f ca="1">IF(AND(ISNUMBER($BK$473),$B$258=1),$BK$473,HLOOKUP(INDIRECT(ADDRESS(2,COLUMN())),OFFSET($BN$2,0,0,ROW()-1,60),ROW()-1,FALSE))</f>
        <v/>
      </c>
      <c r="BL236" t="str">
        <f ca="1">IF(AND(ISNUMBER($BL$473),$B$258=1),$BL$473,HLOOKUP(INDIRECT(ADDRESS(2,COLUMN())),OFFSET($BN$2,0,0,ROW()-1,60),ROW()-1,FALSE))</f>
        <v/>
      </c>
      <c r="BM236" t="str">
        <f ca="1">IF(AND(ISNUMBER($BM$473),$B$258=1),$BM$473,HLOOKUP(INDIRECT(ADDRESS(2,COLUMN())),OFFSET($BN$2,0,0,ROW()-1,60),ROW()-1,FALSE))</f>
        <v/>
      </c>
      <c r="BN236" t="str">
        <f>""</f>
        <v/>
      </c>
      <c r="BO236">
        <f>72.8739043</f>
        <v>72.873904300000007</v>
      </c>
      <c r="BP236">
        <f>72.64928544</f>
        <v>72.64928544</v>
      </c>
      <c r="BQ236">
        <f>97.70083972</f>
        <v>97.700839720000005</v>
      </c>
      <c r="BR236">
        <f>70.61812024</f>
        <v>70.618120239999996</v>
      </c>
      <c r="BS236">
        <f>71.96442636</f>
        <v>71.964426360000004</v>
      </c>
      <c r="BT236">
        <f>77.1550063</f>
        <v>77.155006299999997</v>
      </c>
      <c r="BU236">
        <f>76.21121394</f>
        <v>76.211213939999993</v>
      </c>
      <c r="BV236">
        <f>79.1456491</f>
        <v>79.1456491</v>
      </c>
      <c r="BW236">
        <f>76.18580242</f>
        <v>76.185802420000002</v>
      </c>
      <c r="BX236">
        <f>80.64689563</f>
        <v>80.646895630000003</v>
      </c>
      <c r="BY236">
        <f>75.65863775</f>
        <v>75.658637749999997</v>
      </c>
      <c r="BZ236">
        <f>84.25401541</f>
        <v>84.254015409999994</v>
      </c>
      <c r="CA236">
        <f>90.41647352</f>
        <v>90.416473519999997</v>
      </c>
      <c r="CB236">
        <f>89.46091644</f>
        <v>89.460916440000005</v>
      </c>
      <c r="CC236">
        <f>95.1449653</f>
        <v>95.144965299999996</v>
      </c>
      <c r="CD236">
        <f>85.64646816</f>
        <v>85.646468159999998</v>
      </c>
      <c r="CE236">
        <f>89.6189514</f>
        <v>89.6189514</v>
      </c>
      <c r="CF236">
        <f>99.53784444</f>
        <v>99.537844440000001</v>
      </c>
      <c r="CG236">
        <f>75.26371308</f>
        <v>75.263713080000002</v>
      </c>
      <c r="CH236">
        <f>108.7122225</f>
        <v>108.7122225</v>
      </c>
      <c r="CI236">
        <f>114.9935642</f>
        <v>114.99356419999999</v>
      </c>
      <c r="CJ236">
        <f>116.6226515</f>
        <v>116.6226515</v>
      </c>
      <c r="CK236">
        <f>333.4822195</f>
        <v>333.48221949999999</v>
      </c>
      <c r="CL236">
        <f>153.4723763</f>
        <v>153.47237630000001</v>
      </c>
      <c r="CM236">
        <f>0</f>
        <v>0</v>
      </c>
      <c r="CN236">
        <f>149.6353555</f>
        <v>149.6353555</v>
      </c>
      <c r="CO236">
        <f>147.5122552</f>
        <v>147.5122552</v>
      </c>
      <c r="CP236">
        <f>0</f>
        <v>0</v>
      </c>
      <c r="CQ236">
        <f>0</f>
        <v>0</v>
      </c>
      <c r="CR236">
        <f>0</f>
        <v>0</v>
      </c>
      <c r="CS236">
        <f>0</f>
        <v>0</v>
      </c>
      <c r="CT236">
        <f>0</f>
        <v>0</v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>
      <c r="A237" t="str">
        <f>"    Medical Properties Trust Inc"</f>
        <v xml:space="preserve">    Medical Properties Trust Inc</v>
      </c>
      <c r="B237" t="str">
        <f>"MPW US Equity"</f>
        <v>MPW US Equity</v>
      </c>
      <c r="C237" t="str">
        <f t="shared" si="57"/>
        <v>RR106</v>
      </c>
      <c r="D237" t="str">
        <f t="shared" si="58"/>
        <v>FFO_PAYOUT_RATIO</v>
      </c>
      <c r="E237" t="str">
        <f t="shared" si="59"/>
        <v>动态</v>
      </c>
      <c r="F237" t="str">
        <f ca="1">IF(AND(ISNUMBER($F$474),$B$258=1),$F$474,HLOOKUP(INDIRECT(ADDRESS(2,COLUMN())),OFFSET($BN$2,0,0,ROW()-1,60),ROW()-1,FALSE))</f>
        <v/>
      </c>
      <c r="G237">
        <f ca="1">IF(AND(ISNUMBER($G$474),$B$258=1),$G$474,HLOOKUP(INDIRECT(ADDRESS(2,COLUMN())),OFFSET($BN$2,0,0,ROW()-1,60),ROW()-1,FALSE))</f>
        <v>81.231763839999999</v>
      </c>
      <c r="H237">
        <f ca="1">IF(AND(ISNUMBER($H$474),$B$258=1),$H$474,HLOOKUP(INDIRECT(ADDRESS(2,COLUMN())),OFFSET($BN$2,0,0,ROW()-1,60),ROW()-1,FALSE))</f>
        <v>80.229395679999996</v>
      </c>
      <c r="I237">
        <f ca="1">IF(AND(ISNUMBER($I$474),$B$258=1),$I$474,HLOOKUP(INDIRECT(ADDRESS(2,COLUMN())),OFFSET($BN$2,0,0,ROW()-1,60),ROW()-1,FALSE))</f>
        <v>81.250062900000003</v>
      </c>
      <c r="J237">
        <f ca="1">IF(AND(ISNUMBER($J$474),$B$258=1),$J$474,HLOOKUP(INDIRECT(ADDRESS(2,COLUMN())),OFFSET($BN$2,0,0,ROW()-1,60),ROW()-1,FALSE))</f>
        <v>87.035817960000003</v>
      </c>
      <c r="K237">
        <f ca="1">IF(AND(ISNUMBER($K$474),$B$258=1),$K$474,HLOOKUP(INDIRECT(ADDRESS(2,COLUMN())),OFFSET($BN$2,0,0,ROW()-1,60),ROW()-1,FALSE))</f>
        <v>105.2594082</v>
      </c>
      <c r="L237">
        <f ca="1">IF(AND(ISNUMBER($L$474),$B$258=1),$L$474,HLOOKUP(INDIRECT(ADDRESS(2,COLUMN())),OFFSET($BN$2,0,0,ROW()-1,60),ROW()-1,FALSE))</f>
        <v>113.12326469999999</v>
      </c>
      <c r="M237">
        <f ca="1">IF(AND(ISNUMBER($M$474),$B$258=1),$M$474,HLOOKUP(INDIRECT(ADDRESS(2,COLUMN())),OFFSET($BN$2,0,0,ROW()-1,60),ROW()-1,FALSE))</f>
        <v>100.8190522</v>
      </c>
      <c r="N237">
        <f ca="1">IF(AND(ISNUMBER($N$474),$B$258=1),$N$474,HLOOKUP(INDIRECT(ADDRESS(2,COLUMN())),OFFSET($BN$2,0,0,ROW()-1,60),ROW()-1,FALSE))</f>
        <v>65.962507099999996</v>
      </c>
      <c r="O237">
        <f ca="1">IF(AND(ISNUMBER($O$474),$B$258=1),$O$474,HLOOKUP(INDIRECT(ADDRESS(2,COLUMN())),OFFSET($BN$2,0,0,ROW()-1,60),ROW()-1,FALSE))</f>
        <v>66.73802637</v>
      </c>
      <c r="P237">
        <f ca="1">IF(AND(ISNUMBER($P$474),$B$258=1),$P$474,HLOOKUP(INDIRECT(ADDRESS(2,COLUMN())),OFFSET($BN$2,0,0,ROW()-1,60),ROW()-1,FALSE))</f>
        <v>124.60435</v>
      </c>
      <c r="Q237">
        <f ca="1">IF(AND(ISNUMBER($Q$474),$B$258=1),$Q$474,HLOOKUP(INDIRECT(ADDRESS(2,COLUMN())),OFFSET($BN$2,0,0,ROW()-1,60),ROW()-1,FALSE))</f>
        <v>123.3412012</v>
      </c>
      <c r="R237">
        <f ca="1">IF(AND(ISNUMBER($R$474),$B$258=1),$R$474,HLOOKUP(INDIRECT(ADDRESS(2,COLUMN())),OFFSET($BN$2,0,0,ROW()-1,60),ROW()-1,FALSE))</f>
        <v>88.615634990000004</v>
      </c>
      <c r="S237">
        <f ca="1">IF(AND(ISNUMBER($S$474),$B$258=1),$S$474,HLOOKUP(INDIRECT(ADDRESS(2,COLUMN())),OFFSET($BN$2,0,0,ROW()-1,60),ROW()-1,FALSE))</f>
        <v>138.0236448</v>
      </c>
      <c r="T237">
        <f ca="1">IF(AND(ISNUMBER($T$474),$B$258=1),$T$474,HLOOKUP(INDIRECT(ADDRESS(2,COLUMN())),OFFSET($BN$2,0,0,ROW()-1,60),ROW()-1,FALSE))</f>
        <v>86.539916570000003</v>
      </c>
      <c r="U237">
        <f ca="1">IF(AND(ISNUMBER($U$474),$B$258=1),$U$474,HLOOKUP(INDIRECT(ADDRESS(2,COLUMN())),OFFSET($BN$2,0,0,ROW()-1,60),ROW()-1,FALSE))</f>
        <v>200.14863740000001</v>
      </c>
      <c r="V237">
        <f ca="1">IF(AND(ISNUMBER($V$474),$B$258=1),$V$474,HLOOKUP(INDIRECT(ADDRESS(2,COLUMN())),OFFSET($BN$2,0,0,ROW()-1,60),ROW()-1,FALSE))</f>
        <v>166.17281149999999</v>
      </c>
      <c r="W237">
        <f ca="1">IF(AND(ISNUMBER($W$474),$B$258=1),$W$474,HLOOKUP(INDIRECT(ADDRESS(2,COLUMN())),OFFSET($BN$2,0,0,ROW()-1,60),ROW()-1,FALSE))</f>
        <v>143.54162909999999</v>
      </c>
      <c r="X237">
        <f ca="1">IF(AND(ISNUMBER($X$474),$B$258=1),$X$474,HLOOKUP(INDIRECT(ADDRESS(2,COLUMN())),OFFSET($BN$2,0,0,ROW()-1,60),ROW()-1,FALSE))</f>
        <v>90.314259870000001</v>
      </c>
      <c r="Y237">
        <f ca="1">IF(AND(ISNUMBER($Y$474),$B$258=1),$Y$474,HLOOKUP(INDIRECT(ADDRESS(2,COLUMN())),OFFSET($BN$2,0,0,ROW()-1,60),ROW()-1,FALSE))</f>
        <v>88.380575179999994</v>
      </c>
      <c r="Z237">
        <f ca="1">IF(AND(ISNUMBER($Z$474),$B$258=1),$Z$474,HLOOKUP(INDIRECT(ADDRESS(2,COLUMN())),OFFSET($BN$2,0,0,ROW()-1,60),ROW()-1,FALSE))</f>
        <v>81.101993640000003</v>
      </c>
      <c r="AA237">
        <f ca="1">IF(AND(ISNUMBER($AA$474),$B$258=1),$AA$474,HLOOKUP(INDIRECT(ADDRESS(2,COLUMN())),OFFSET($BN$2,0,0,ROW()-1,60),ROW()-1,FALSE))</f>
        <v>97.283517200000006</v>
      </c>
      <c r="AB237">
        <f ca="1">IF(AND(ISNUMBER($AB$474),$B$258=1),$AB$474,HLOOKUP(INDIRECT(ADDRESS(2,COLUMN())),OFFSET($BN$2,0,0,ROW()-1,60),ROW()-1,FALSE))</f>
        <v>86.080791950000005</v>
      </c>
      <c r="AC237">
        <f ca="1">IF(AND(ISNUMBER($AC$474),$B$258=1),$AC$474,HLOOKUP(INDIRECT(ADDRESS(2,COLUMN())),OFFSET($BN$2,0,0,ROW()-1,60),ROW()-1,FALSE))</f>
        <v>91.680277660000002</v>
      </c>
      <c r="AD237">
        <f ca="1">IF(AND(ISNUMBER($AD$474),$B$258=1),$AD$474,HLOOKUP(INDIRECT(ADDRESS(2,COLUMN())),OFFSET($BN$2,0,0,ROW()-1,60),ROW()-1,FALSE))</f>
        <v>131.07986149999999</v>
      </c>
      <c r="AE237">
        <f ca="1">IF(AND(ISNUMBER($AE$474),$B$258=1),$AE$474,HLOOKUP(INDIRECT(ADDRESS(2,COLUMN())),OFFSET($BN$2,0,0,ROW()-1,60),ROW()-1,FALSE))</f>
        <v>129.82120470000001</v>
      </c>
      <c r="AF237">
        <f ca="1">IF(AND(ISNUMBER($AF$474),$B$258=1),$AF$474,HLOOKUP(INDIRECT(ADDRESS(2,COLUMN())),OFFSET($BN$2,0,0,ROW()-1,60),ROW()-1,FALSE))</f>
        <v>257.75729219999999</v>
      </c>
      <c r="AG237">
        <f ca="1">IF(AND(ISNUMBER($AG$474),$B$258=1),$AG$474,HLOOKUP(INDIRECT(ADDRESS(2,COLUMN())),OFFSET($BN$2,0,0,ROW()-1,60),ROW()-1,FALSE))</f>
        <v>196.1256368</v>
      </c>
      <c r="AH237">
        <f ca="1">IF(AND(ISNUMBER($AH$474),$B$258=1),$AH$474,HLOOKUP(INDIRECT(ADDRESS(2,COLUMN())),OFFSET($BN$2,0,0,ROW()-1,60),ROW()-1,FALSE))</f>
        <v>120.3138622</v>
      </c>
      <c r="AI237">
        <f ca="1">IF(AND(ISNUMBER($AI$474),$B$258=1),$AI$474,HLOOKUP(INDIRECT(ADDRESS(2,COLUMN())),OFFSET($BN$2,0,0,ROW()-1,60),ROW()-1,FALSE))</f>
        <v>157.832425</v>
      </c>
      <c r="AJ237">
        <f ca="1">IF(AND(ISNUMBER($AJ$474),$B$258=1),$AJ$474,HLOOKUP(INDIRECT(ADDRESS(2,COLUMN())),OFFSET($BN$2,0,0,ROW()-1,60),ROW()-1,FALSE))</f>
        <v>163.5426847</v>
      </c>
      <c r="AK237">
        <f ca="1">IF(AND(ISNUMBER($AK$474),$B$258=1),$AK$474,HLOOKUP(INDIRECT(ADDRESS(2,COLUMN())),OFFSET($BN$2,0,0,ROW()-1,60),ROW()-1,FALSE))</f>
        <v>355.05640099999999</v>
      </c>
      <c r="AL237">
        <f ca="1">IF(AND(ISNUMBER($AL$474),$B$258=1),$AL$474,HLOOKUP(INDIRECT(ADDRESS(2,COLUMN())),OFFSET($BN$2,0,0,ROW()-1,60),ROW()-1,FALSE))</f>
        <v>428.9817319</v>
      </c>
      <c r="AM237">
        <f ca="1">IF(AND(ISNUMBER($AM$474),$B$258=1),$AM$474,HLOOKUP(INDIRECT(ADDRESS(2,COLUMN())),OFFSET($BN$2,0,0,ROW()-1,60),ROW()-1,FALSE))</f>
        <v>119.0282995</v>
      </c>
      <c r="AN237">
        <f ca="1">IF(AND(ISNUMBER($AN$474),$B$258=1),$AN$474,HLOOKUP(INDIRECT(ADDRESS(2,COLUMN())),OFFSET($BN$2,0,0,ROW()-1,60),ROW()-1,FALSE))</f>
        <v>95.538243199999997</v>
      </c>
      <c r="AO237">
        <f ca="1">IF(AND(ISNUMBER($AO$474),$B$258=1),$AO$474,HLOOKUP(INDIRECT(ADDRESS(2,COLUMN())),OFFSET($BN$2,0,0,ROW()-1,60),ROW()-1,FALSE))</f>
        <v>110.9234075</v>
      </c>
      <c r="AP237">
        <f ca="1">IF(AND(ISNUMBER($AP$474),$B$258=1),$AP$474,HLOOKUP(INDIRECT(ADDRESS(2,COLUMN())),OFFSET($BN$2,0,0,ROW()-1,60),ROW()-1,FALSE))</f>
        <v>92.278202019999995</v>
      </c>
      <c r="AQ237">
        <f ca="1">IF(AND(ISNUMBER($AQ$474),$B$258=1),$AQ$474,HLOOKUP(INDIRECT(ADDRESS(2,COLUMN())),OFFSET($BN$2,0,0,ROW()-1,60),ROW()-1,FALSE))</f>
        <v>181.26054389999999</v>
      </c>
      <c r="AR237">
        <f ca="1">IF(AND(ISNUMBER($AR$474),$B$258=1),$AR$474,HLOOKUP(INDIRECT(ADDRESS(2,COLUMN())),OFFSET($BN$2,0,0,ROW()-1,60),ROW()-1,FALSE))</f>
        <v>105.1726141</v>
      </c>
      <c r="AS237">
        <f ca="1">IF(AND(ISNUMBER($AS$474),$B$258=1),$AS$474,HLOOKUP(INDIRECT(ADDRESS(2,COLUMN())),OFFSET($BN$2,0,0,ROW()-1,60),ROW()-1,FALSE))</f>
        <v>192.95085850000001</v>
      </c>
      <c r="AT237">
        <f ca="1">IF(AND(ISNUMBER($AT$474),$B$258=1),$AT$474,HLOOKUP(INDIRECT(ADDRESS(2,COLUMN())),OFFSET($BN$2,0,0,ROW()-1,60),ROW()-1,FALSE))</f>
        <v>95.42376951</v>
      </c>
      <c r="AU237">
        <f ca="1">IF(AND(ISNUMBER($AU$474),$B$258=1),$AU$474,HLOOKUP(INDIRECT(ADDRESS(2,COLUMN())),OFFSET($BN$2,0,0,ROW()-1,60),ROW()-1,FALSE))</f>
        <v>112.581744</v>
      </c>
      <c r="AV237">
        <f ca="1">IF(AND(ISNUMBER($AV$474),$B$258=1),$AV$474,HLOOKUP(INDIRECT(ADDRESS(2,COLUMN())),OFFSET($BN$2,0,0,ROW()-1,60),ROW()-1,FALSE))</f>
        <v>88.852729620000005</v>
      </c>
      <c r="AW237">
        <f ca="1">IF(AND(ISNUMBER($AW$474),$B$258=1),$AW$474,HLOOKUP(INDIRECT(ADDRESS(2,COLUMN())),OFFSET($BN$2,0,0,ROW()-1,60),ROW()-1,FALSE))</f>
        <v>92.956988559999999</v>
      </c>
      <c r="AX237">
        <f ca="1">IF(AND(ISNUMBER($AX$474),$B$258=1),$AX$474,HLOOKUP(INDIRECT(ADDRESS(2,COLUMN())),OFFSET($BN$2,0,0,ROW()-1,60),ROW()-1,FALSE))</f>
        <v>132.28056670000001</v>
      </c>
      <c r="AY237">
        <f ca="1">IF(AND(ISNUMBER($AY$474),$B$258=1),$AY$474,HLOOKUP(INDIRECT(ADDRESS(2,COLUMN())),OFFSET($BN$2,0,0,ROW()-1,60),ROW()-1,FALSE))</f>
        <v>103.2563282</v>
      </c>
      <c r="AZ237">
        <f ca="1">IF(AND(ISNUMBER($AZ$474),$B$258=1),$AZ$474,HLOOKUP(INDIRECT(ADDRESS(2,COLUMN())),OFFSET($BN$2,0,0,ROW()-1,60),ROW()-1,FALSE))</f>
        <v>96.523269810000002</v>
      </c>
      <c r="BA237">
        <f ca="1">IF(AND(ISNUMBER($BA$474),$B$258=1),$BA$474,HLOOKUP(INDIRECT(ADDRESS(2,COLUMN())),OFFSET($BN$2,0,0,ROW()-1,60),ROW()-1,FALSE))</f>
        <v>105.6691933</v>
      </c>
      <c r="BB237">
        <f ca="1">IF(AND(ISNUMBER($BB$474),$B$258=1),$BB$474,HLOOKUP(INDIRECT(ADDRESS(2,COLUMN())),OFFSET($BN$2,0,0,ROW()-1,60),ROW()-1,FALSE))</f>
        <v>87.970076509999998</v>
      </c>
      <c r="BC237">
        <f ca="1">IF(AND(ISNUMBER($BC$474),$B$258=1),$BC$474,HLOOKUP(INDIRECT(ADDRESS(2,COLUMN())),OFFSET($BN$2,0,0,ROW()-1,60),ROW()-1,FALSE))</f>
        <v>137.2597595</v>
      </c>
      <c r="BD237">
        <f ca="1">IF(AND(ISNUMBER($BD$474),$B$258=1),$BD$474,HLOOKUP(INDIRECT(ADDRESS(2,COLUMN())),OFFSET($BN$2,0,0,ROW()-1,60),ROW()-1,FALSE))</f>
        <v>99.480642430000003</v>
      </c>
      <c r="BE237">
        <f ca="1">IF(AND(ISNUMBER($BE$474),$B$258=1),$BE$474,HLOOKUP(INDIRECT(ADDRESS(2,COLUMN())),OFFSET($BN$2,0,0,ROW()-1,60),ROW()-1,FALSE))</f>
        <v>77.983716740000006</v>
      </c>
      <c r="BF237">
        <f ca="1">IF(AND(ISNUMBER($BF$474),$B$258=1),$BF$474,HLOOKUP(INDIRECT(ADDRESS(2,COLUMN())),OFFSET($BN$2,0,0,ROW()-1,60),ROW()-1,FALSE))</f>
        <v>0</v>
      </c>
      <c r="BG237" t="str">
        <f ca="1">IF(AND(ISNUMBER($BG$474),$B$258=1),$BG$474,HLOOKUP(INDIRECT(ADDRESS(2,COLUMN())),OFFSET($BN$2,0,0,ROW()-1,60),ROW()-1,FALSE))</f>
        <v/>
      </c>
      <c r="BH237" t="str">
        <f ca="1">IF(AND(ISNUMBER($BH$474),$B$258=1),$BH$474,HLOOKUP(INDIRECT(ADDRESS(2,COLUMN())),OFFSET($BN$2,0,0,ROW()-1,60),ROW()-1,FALSE))</f>
        <v/>
      </c>
      <c r="BI237" t="str">
        <f ca="1">IF(AND(ISNUMBER($BI$474),$B$258=1),$BI$474,HLOOKUP(INDIRECT(ADDRESS(2,COLUMN())),OFFSET($BN$2,0,0,ROW()-1,60),ROW()-1,FALSE))</f>
        <v/>
      </c>
      <c r="BJ237" t="str">
        <f ca="1">IF(AND(ISNUMBER($BJ$474),$B$258=1),$BJ$474,HLOOKUP(INDIRECT(ADDRESS(2,COLUMN())),OFFSET($BN$2,0,0,ROW()-1,60),ROW()-1,FALSE))</f>
        <v/>
      </c>
      <c r="BK237" t="str">
        <f ca="1">IF(AND(ISNUMBER($BK$474),$B$258=1),$BK$474,HLOOKUP(INDIRECT(ADDRESS(2,COLUMN())),OFFSET($BN$2,0,0,ROW()-1,60),ROW()-1,FALSE))</f>
        <v/>
      </c>
      <c r="BL237" t="str">
        <f ca="1">IF(AND(ISNUMBER($BL$474),$B$258=1),$BL$474,HLOOKUP(INDIRECT(ADDRESS(2,COLUMN())),OFFSET($BN$2,0,0,ROW()-1,60),ROW()-1,FALSE))</f>
        <v/>
      </c>
      <c r="BM237" t="str">
        <f ca="1">IF(AND(ISNUMBER($BM$474),$B$258=1),$BM$474,HLOOKUP(INDIRECT(ADDRESS(2,COLUMN())),OFFSET($BN$2,0,0,ROW()-1,60),ROW()-1,FALSE))</f>
        <v/>
      </c>
      <c r="BN237" t="str">
        <f>""</f>
        <v/>
      </c>
      <c r="BO237">
        <f>81.23176384</f>
        <v>81.231763839999999</v>
      </c>
      <c r="BP237">
        <f>80.22939568</f>
        <v>80.229395679999996</v>
      </c>
      <c r="BQ237">
        <f>81.2500629</f>
        <v>81.250062900000003</v>
      </c>
      <c r="BR237">
        <f>87.03581796</f>
        <v>87.035817960000003</v>
      </c>
      <c r="BS237">
        <f>105.2594082</f>
        <v>105.2594082</v>
      </c>
      <c r="BT237">
        <f>113.1232647</f>
        <v>113.12326469999999</v>
      </c>
      <c r="BU237">
        <f>100.8190522</f>
        <v>100.8190522</v>
      </c>
      <c r="BV237">
        <f>65.9625071</f>
        <v>65.962507099999996</v>
      </c>
      <c r="BW237">
        <f>66.73802637</f>
        <v>66.73802637</v>
      </c>
      <c r="BX237">
        <f>124.60435</f>
        <v>124.60435</v>
      </c>
      <c r="BY237">
        <f>123.3412012</f>
        <v>123.3412012</v>
      </c>
      <c r="BZ237">
        <f>88.61563499</f>
        <v>88.615634990000004</v>
      </c>
      <c r="CA237">
        <f>138.0236448</f>
        <v>138.0236448</v>
      </c>
      <c r="CB237">
        <f>86.53991657</f>
        <v>86.539916570000003</v>
      </c>
      <c r="CC237">
        <f>200.1486374</f>
        <v>200.14863740000001</v>
      </c>
      <c r="CD237">
        <f>166.1728115</f>
        <v>166.17281149999999</v>
      </c>
      <c r="CE237">
        <f>143.5416291</f>
        <v>143.54162909999999</v>
      </c>
      <c r="CF237">
        <f>90.31425987</f>
        <v>90.314259870000001</v>
      </c>
      <c r="CG237">
        <f>88.38057518</f>
        <v>88.380575179999994</v>
      </c>
      <c r="CH237">
        <f>81.10199364</f>
        <v>81.101993640000003</v>
      </c>
      <c r="CI237">
        <f>97.2835172</f>
        <v>97.283517200000006</v>
      </c>
      <c r="CJ237">
        <f>86.08079195</f>
        <v>86.080791950000005</v>
      </c>
      <c r="CK237">
        <f>91.68027766</f>
        <v>91.680277660000002</v>
      </c>
      <c r="CL237">
        <f>131.0798615</f>
        <v>131.07986149999999</v>
      </c>
      <c r="CM237">
        <f>129.8212047</f>
        <v>129.82120470000001</v>
      </c>
      <c r="CN237">
        <f>257.7572922</f>
        <v>257.75729219999999</v>
      </c>
      <c r="CO237">
        <f>196.1256368</f>
        <v>196.1256368</v>
      </c>
      <c r="CP237">
        <f>120.3138622</f>
        <v>120.3138622</v>
      </c>
      <c r="CQ237">
        <f>157.832425</f>
        <v>157.832425</v>
      </c>
      <c r="CR237">
        <f>163.5426847</f>
        <v>163.5426847</v>
      </c>
      <c r="CS237">
        <f>355.056401</f>
        <v>355.05640099999999</v>
      </c>
      <c r="CT237">
        <f>428.9817319</f>
        <v>428.9817319</v>
      </c>
      <c r="CU237">
        <f>119.0282995</f>
        <v>119.0282995</v>
      </c>
      <c r="CV237">
        <f>95.5382432</f>
        <v>95.538243199999997</v>
      </c>
      <c r="CW237">
        <f>110.9234075</f>
        <v>110.9234075</v>
      </c>
      <c r="CX237">
        <f>92.27820202</f>
        <v>92.278202019999995</v>
      </c>
      <c r="CY237">
        <f>181.2605439</f>
        <v>181.26054389999999</v>
      </c>
      <c r="CZ237">
        <f>105.1726141</f>
        <v>105.1726141</v>
      </c>
      <c r="DA237">
        <f>192.9508585</f>
        <v>192.95085850000001</v>
      </c>
      <c r="DB237">
        <f>95.42376951</f>
        <v>95.42376951</v>
      </c>
      <c r="DC237">
        <f>112.581744</f>
        <v>112.581744</v>
      </c>
      <c r="DD237">
        <f>88.85272962</f>
        <v>88.852729620000005</v>
      </c>
      <c r="DE237">
        <f>92.95698856</f>
        <v>92.956988559999999</v>
      </c>
      <c r="DF237">
        <f>132.2805667</f>
        <v>132.28056670000001</v>
      </c>
      <c r="DG237">
        <f>103.2563282</f>
        <v>103.2563282</v>
      </c>
      <c r="DH237">
        <f>96.52326981</f>
        <v>96.523269810000002</v>
      </c>
      <c r="DI237">
        <f>105.6691933</f>
        <v>105.6691933</v>
      </c>
      <c r="DJ237">
        <f>87.97007651</f>
        <v>87.970076509999998</v>
      </c>
      <c r="DK237">
        <f>137.2597595</f>
        <v>137.2597595</v>
      </c>
      <c r="DL237">
        <f>99.48064243</f>
        <v>99.480642430000003</v>
      </c>
      <c r="DM237">
        <f>77.98371674</f>
        <v>77.983716740000006</v>
      </c>
      <c r="DN237">
        <f>0</f>
        <v>0</v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>
      <c r="A238" t="str">
        <f>"    Omega Healthcare Investors Inc"</f>
        <v xml:space="preserve">    Omega Healthcare Investors Inc</v>
      </c>
      <c r="B238" t="str">
        <f>"OHI US Equity"</f>
        <v>OHI US Equity</v>
      </c>
      <c r="C238" t="str">
        <f t="shared" si="57"/>
        <v>RR106</v>
      </c>
      <c r="D238" t="str">
        <f t="shared" si="58"/>
        <v>FFO_PAYOUT_RATIO</v>
      </c>
      <c r="E238" t="str">
        <f t="shared" si="59"/>
        <v>动态</v>
      </c>
      <c r="F238" t="str">
        <f ca="1">IF(AND(ISNUMBER($F$475),$B$258=1),$F$475,HLOOKUP(INDIRECT(ADDRESS(2,COLUMN())),OFFSET($BN$2,0,0,ROW()-1,60),ROW()-1,FALSE))</f>
        <v/>
      </c>
      <c r="G238">
        <f ca="1">IF(AND(ISNUMBER($G$475),$B$258=1),$G$475,HLOOKUP(INDIRECT(ADDRESS(2,COLUMN())),OFFSET($BN$2,0,0,ROW()-1,60),ROW()-1,FALSE))</f>
        <v>81.105135860000004</v>
      </c>
      <c r="H238" t="str">
        <f ca="1">IF(AND(ISNUMBER($H$475),$B$258=1),$H$475,HLOOKUP(INDIRECT(ADDRESS(2,COLUMN())),OFFSET($BN$2,0,0,ROW()-1,60),ROW()-1,FALSE))</f>
        <v/>
      </c>
      <c r="I238">
        <f ca="1">IF(AND(ISNUMBER($I$475),$B$258=1),$I$475,HLOOKUP(INDIRECT(ADDRESS(2,COLUMN())),OFFSET($BN$2,0,0,ROW()-1,60),ROW()-1,FALSE))</f>
        <v>82.41528074</v>
      </c>
      <c r="J238">
        <f ca="1">IF(AND(ISNUMBER($J$475),$B$258=1),$J$475,HLOOKUP(INDIRECT(ADDRESS(2,COLUMN())),OFFSET($BN$2,0,0,ROW()-1,60),ROW()-1,FALSE))</f>
        <v>67.492200839999995</v>
      </c>
      <c r="K238">
        <f ca="1">IF(AND(ISNUMBER($K$475),$B$258=1),$K$475,HLOOKUP(INDIRECT(ADDRESS(2,COLUMN())),OFFSET($BN$2,0,0,ROW()-1,60),ROW()-1,FALSE))</f>
        <v>69.632132510000005</v>
      </c>
      <c r="L238">
        <f ca="1">IF(AND(ISNUMBER($L$475),$B$258=1),$L$475,HLOOKUP(INDIRECT(ADDRESS(2,COLUMN())),OFFSET($BN$2,0,0,ROW()-1,60),ROW()-1,FALSE))</f>
        <v>71.638271439999997</v>
      </c>
      <c r="M238">
        <f ca="1">IF(AND(ISNUMBER($M$475),$B$258=1),$M$475,HLOOKUP(INDIRECT(ADDRESS(2,COLUMN())),OFFSET($BN$2,0,0,ROW()-1,60),ROW()-1,FALSE))</f>
        <v>63.603750920000003</v>
      </c>
      <c r="N238">
        <f ca="1">IF(AND(ISNUMBER($N$475),$B$258=1),$N$475,HLOOKUP(INDIRECT(ADDRESS(2,COLUMN())),OFFSET($BN$2,0,0,ROW()-1,60),ROW()-1,FALSE))</f>
        <v>69.842959070000006</v>
      </c>
      <c r="O238">
        <f ca="1">IF(AND(ISNUMBER($O$475),$B$258=1),$O$475,HLOOKUP(INDIRECT(ADDRESS(2,COLUMN())),OFFSET($BN$2,0,0,ROW()-1,60),ROW()-1,FALSE))</f>
        <v>82.257841249999998</v>
      </c>
      <c r="P238">
        <f ca="1">IF(AND(ISNUMBER($P$475),$B$258=1),$P$475,HLOOKUP(INDIRECT(ADDRESS(2,COLUMN())),OFFSET($BN$2,0,0,ROW()-1,60),ROW()-1,FALSE))</f>
        <v>68.871254179999994</v>
      </c>
      <c r="Q238">
        <f ca="1">IF(AND(ISNUMBER($Q$475),$B$258=1),$Q$475,HLOOKUP(INDIRECT(ADDRESS(2,COLUMN())),OFFSET($BN$2,0,0,ROW()-1,60),ROW()-1,FALSE))</f>
        <v>32.645191390000001</v>
      </c>
      <c r="R238">
        <f ca="1">IF(AND(ISNUMBER($R$475),$B$258=1),$R$475,HLOOKUP(INDIRECT(ADDRESS(2,COLUMN())),OFFSET($BN$2,0,0,ROW()-1,60),ROW()-1,FALSE))</f>
        <v>150.12799459999999</v>
      </c>
      <c r="S238">
        <f ca="1">IF(AND(ISNUMBER($S$475),$B$258=1),$S$475,HLOOKUP(INDIRECT(ADDRESS(2,COLUMN())),OFFSET($BN$2,0,0,ROW()-1,60),ROW()-1,FALSE))</f>
        <v>76.046824040000004</v>
      </c>
      <c r="T238">
        <f ca="1">IF(AND(ISNUMBER($T$475),$B$258=1),$T$475,HLOOKUP(INDIRECT(ADDRESS(2,COLUMN())),OFFSET($BN$2,0,0,ROW()-1,60),ROW()-1,FALSE))</f>
        <v>69.195750750000002</v>
      </c>
      <c r="U238">
        <f ca="1">IF(AND(ISNUMBER($U$475),$B$258=1),$U$475,HLOOKUP(INDIRECT(ADDRESS(2,COLUMN())),OFFSET($BN$2,0,0,ROW()-1,60),ROW()-1,FALSE))</f>
        <v>79.367689139999996</v>
      </c>
      <c r="V238">
        <f ca="1">IF(AND(ISNUMBER($V$475),$B$258=1),$V$475,HLOOKUP(INDIRECT(ADDRESS(2,COLUMN())),OFFSET($BN$2,0,0,ROW()-1,60),ROW()-1,FALSE))</f>
        <v>72.265564639999994</v>
      </c>
      <c r="W238">
        <f ca="1">IF(AND(ISNUMBER($W$475),$B$258=1),$W$475,HLOOKUP(INDIRECT(ADDRESS(2,COLUMN())),OFFSET($BN$2,0,0,ROW()-1,60),ROW()-1,FALSE))</f>
        <v>73.578247640000001</v>
      </c>
      <c r="X238">
        <f ca="1">IF(AND(ISNUMBER($X$475),$B$258=1),$X$475,HLOOKUP(INDIRECT(ADDRESS(2,COLUMN())),OFFSET($BN$2,0,0,ROW()-1,60),ROW()-1,FALSE))</f>
        <v>78.306487160000003</v>
      </c>
      <c r="Y238">
        <f ca="1">IF(AND(ISNUMBER($Y$475),$B$258=1),$Y$475,HLOOKUP(INDIRECT(ADDRESS(2,COLUMN())),OFFSET($BN$2,0,0,ROW()-1,60),ROW()-1,FALSE))</f>
        <v>61.370308369999997</v>
      </c>
      <c r="Z238">
        <f ca="1">IF(AND(ISNUMBER($Z$475),$B$258=1),$Z$475,HLOOKUP(INDIRECT(ADDRESS(2,COLUMN())),OFFSET($BN$2,0,0,ROW()-1,60),ROW()-1,FALSE))</f>
        <v>72.189957050000004</v>
      </c>
      <c r="AA238">
        <f ca="1">IF(AND(ISNUMBER($AA$475),$B$258=1),$AA$475,HLOOKUP(INDIRECT(ADDRESS(2,COLUMN())),OFFSET($BN$2,0,0,ROW()-1,60),ROW()-1,FALSE))</f>
        <v>80.047925250000006</v>
      </c>
      <c r="AB238">
        <f ca="1">IF(AND(ISNUMBER($AB$475),$B$258=1),$AB$475,HLOOKUP(INDIRECT(ADDRESS(2,COLUMN())),OFFSET($BN$2,0,0,ROW()-1,60),ROW()-1,FALSE))</f>
        <v>80.790869830000005</v>
      </c>
      <c r="AC238">
        <f ca="1">IF(AND(ISNUMBER($AC$475),$B$258=1),$AC$475,HLOOKUP(INDIRECT(ADDRESS(2,COLUMN())),OFFSET($BN$2,0,0,ROW()-1,60),ROW()-1,FALSE))</f>
        <v>79.567657650000001</v>
      </c>
      <c r="AD238">
        <f ca="1">IF(AND(ISNUMBER($AD$475),$B$258=1),$AD$475,HLOOKUP(INDIRECT(ADDRESS(2,COLUMN())),OFFSET($BN$2,0,0,ROW()-1,60),ROW()-1,FALSE))</f>
        <v>88.37860834</v>
      </c>
      <c r="AE238">
        <f ca="1">IF(AND(ISNUMBER($AE$475),$B$258=1),$AE$475,HLOOKUP(INDIRECT(ADDRESS(2,COLUMN())),OFFSET($BN$2,0,0,ROW()-1,60),ROW()-1,FALSE))</f>
        <v>89.276702389999997</v>
      </c>
      <c r="AF238">
        <f ca="1">IF(AND(ISNUMBER($AF$475),$B$258=1),$AF$475,HLOOKUP(INDIRECT(ADDRESS(2,COLUMN())),OFFSET($BN$2,0,0,ROW()-1,60),ROW()-1,FALSE))</f>
        <v>92.737731440000005</v>
      </c>
      <c r="AG238">
        <f ca="1">IF(AND(ISNUMBER($AG$475),$B$258=1),$AG$475,HLOOKUP(INDIRECT(ADDRESS(2,COLUMN())),OFFSET($BN$2,0,0,ROW()-1,60),ROW()-1,FALSE))</f>
        <v>90.982168450000003</v>
      </c>
      <c r="AH238">
        <f ca="1">IF(AND(ISNUMBER($AH$475),$B$258=1),$AH$475,HLOOKUP(INDIRECT(ADDRESS(2,COLUMN())),OFFSET($BN$2,0,0,ROW()-1,60),ROW()-1,FALSE))</f>
        <v>94.771559330000002</v>
      </c>
      <c r="AI238">
        <f ca="1">IF(AND(ISNUMBER($AI$475),$B$258=1),$AI$475,HLOOKUP(INDIRECT(ADDRESS(2,COLUMN())),OFFSET($BN$2,0,0,ROW()-1,60),ROW()-1,FALSE))</f>
        <v>128.34862870000001</v>
      </c>
      <c r="AJ238">
        <f ca="1">IF(AND(ISNUMBER($AJ$475),$B$258=1),$AJ$475,HLOOKUP(INDIRECT(ADDRESS(2,COLUMN())),OFFSET($BN$2,0,0,ROW()-1,60),ROW()-1,FALSE))</f>
        <v>81.096181909999999</v>
      </c>
      <c r="AK238">
        <f ca="1">IF(AND(ISNUMBER($AK$475),$B$258=1),$AK$475,HLOOKUP(INDIRECT(ADDRESS(2,COLUMN())),OFFSET($BN$2,0,0,ROW()-1,60),ROW()-1,FALSE))</f>
        <v>100.27593640000001</v>
      </c>
      <c r="AL238">
        <f ca="1">IF(AND(ISNUMBER($AL$475),$B$258=1),$AL$475,HLOOKUP(INDIRECT(ADDRESS(2,COLUMN())),OFFSET($BN$2,0,0,ROW()-1,60),ROW()-1,FALSE))</f>
        <v>85.308838069999993</v>
      </c>
      <c r="AM238">
        <f ca="1">IF(AND(ISNUMBER($AM$475),$B$258=1),$AM$475,HLOOKUP(INDIRECT(ADDRESS(2,COLUMN())),OFFSET($BN$2,0,0,ROW()-1,60),ROW()-1,FALSE))</f>
        <v>103.15440289999999</v>
      </c>
      <c r="AN238">
        <f ca="1">IF(AND(ISNUMBER($AN$475),$B$258=1),$AN$475,HLOOKUP(INDIRECT(ADDRESS(2,COLUMN())),OFFSET($BN$2,0,0,ROW()-1,60),ROW()-1,FALSE))</f>
        <v>83.695927900000001</v>
      </c>
      <c r="AO238">
        <f ca="1">IF(AND(ISNUMBER($AO$475),$B$258=1),$AO$475,HLOOKUP(INDIRECT(ADDRESS(2,COLUMN())),OFFSET($BN$2,0,0,ROW()-1,60),ROW()-1,FALSE))</f>
        <v>86.724198290000004</v>
      </c>
      <c r="AP238">
        <f ca="1">IF(AND(ISNUMBER($AP$475),$B$258=1),$AP$475,HLOOKUP(INDIRECT(ADDRESS(2,COLUMN())),OFFSET($BN$2,0,0,ROW()-1,60),ROW()-1,FALSE))</f>
        <v>73.629214820000001</v>
      </c>
      <c r="AQ238">
        <f ca="1">IF(AND(ISNUMBER($AQ$475),$B$258=1),$AQ$475,HLOOKUP(INDIRECT(ADDRESS(2,COLUMN())),OFFSET($BN$2,0,0,ROW()-1,60),ROW()-1,FALSE))</f>
        <v>94.010890669999995</v>
      </c>
      <c r="AR238">
        <f ca="1">IF(AND(ISNUMBER($AR$475),$B$258=1),$AR$475,HLOOKUP(INDIRECT(ADDRESS(2,COLUMN())),OFFSET($BN$2,0,0,ROW()-1,60),ROW()-1,FALSE))</f>
        <v>96.291174249999997</v>
      </c>
      <c r="AS238">
        <f ca="1">IF(AND(ISNUMBER($AS$475),$B$258=1),$AS$475,HLOOKUP(INDIRECT(ADDRESS(2,COLUMN())),OFFSET($BN$2,0,0,ROW()-1,60),ROW()-1,FALSE))</f>
        <v>89.852180340000004</v>
      </c>
      <c r="AT238">
        <f ca="1">IF(AND(ISNUMBER($AT$475),$B$258=1),$AT$475,HLOOKUP(INDIRECT(ADDRESS(2,COLUMN())),OFFSET($BN$2,0,0,ROW()-1,60),ROW()-1,FALSE))</f>
        <v>84.138222369999994</v>
      </c>
      <c r="AU238">
        <f ca="1">IF(AND(ISNUMBER($AU$475),$B$258=1),$AU$475,HLOOKUP(INDIRECT(ADDRESS(2,COLUMN())),OFFSET($BN$2,0,0,ROW()-1,60),ROW()-1,FALSE))</f>
        <v>80.427565860000001</v>
      </c>
      <c r="AV238">
        <f ca="1">IF(AND(ISNUMBER($AV$475),$B$258=1),$AV$475,HLOOKUP(INDIRECT(ADDRESS(2,COLUMN())),OFFSET($BN$2,0,0,ROW()-1,60),ROW()-1,FALSE))</f>
        <v>86.452926210000001</v>
      </c>
      <c r="AW238">
        <f ca="1">IF(AND(ISNUMBER($AW$475),$B$258=1),$AW$475,HLOOKUP(INDIRECT(ADDRESS(2,COLUMN())),OFFSET($BN$2,0,0,ROW()-1,60),ROW()-1,FALSE))</f>
        <v>81.040980309999995</v>
      </c>
      <c r="AX238">
        <f ca="1">IF(AND(ISNUMBER($AX$475),$B$258=1),$AX$475,HLOOKUP(INDIRECT(ADDRESS(2,COLUMN())),OFFSET($BN$2,0,0,ROW()-1,60),ROW()-1,FALSE))</f>
        <v>61.562017339999997</v>
      </c>
      <c r="AY238">
        <f ca="1">IF(AND(ISNUMBER($AY$475),$B$258=1),$AY$475,HLOOKUP(INDIRECT(ADDRESS(2,COLUMN())),OFFSET($BN$2,0,0,ROW()-1,60),ROW()-1,FALSE))</f>
        <v>77.95773475</v>
      </c>
      <c r="AZ238">
        <f ca="1">IF(AND(ISNUMBER($AZ$475),$B$258=1),$AZ$475,HLOOKUP(INDIRECT(ADDRESS(2,COLUMN())),OFFSET($BN$2,0,0,ROW()-1,60),ROW()-1,FALSE))</f>
        <v>73.32939897</v>
      </c>
      <c r="BA238">
        <f ca="1">IF(AND(ISNUMBER($BA$475),$B$258=1),$BA$475,HLOOKUP(INDIRECT(ADDRESS(2,COLUMN())),OFFSET($BN$2,0,0,ROW()-1,60),ROW()-1,FALSE))</f>
        <v>61.53200494</v>
      </c>
      <c r="BB238">
        <f ca="1">IF(AND(ISNUMBER($BB$475),$B$258=1),$BB$475,HLOOKUP(INDIRECT(ADDRESS(2,COLUMN())),OFFSET($BN$2,0,0,ROW()-1,60),ROW()-1,FALSE))</f>
        <v>85.362725449999999</v>
      </c>
      <c r="BC238">
        <f ca="1">IF(AND(ISNUMBER($BC$475),$B$258=1),$BC$475,HLOOKUP(INDIRECT(ADDRESS(2,COLUMN())),OFFSET($BN$2,0,0,ROW()-1,60),ROW()-1,FALSE))</f>
        <v>85.76442831</v>
      </c>
      <c r="BD238">
        <f ca="1">IF(AND(ISNUMBER($BD$475),$B$258=1),$BD$475,HLOOKUP(INDIRECT(ADDRESS(2,COLUMN())),OFFSET($BN$2,0,0,ROW()-1,60),ROW()-1,FALSE))</f>
        <v>128.4345347</v>
      </c>
      <c r="BE238">
        <f ca="1">IF(AND(ISNUMBER($BE$475),$B$258=1),$BE$475,HLOOKUP(INDIRECT(ADDRESS(2,COLUMN())),OFFSET($BN$2,0,0,ROW()-1,60),ROW()-1,FALSE))</f>
        <v>132.54805189999999</v>
      </c>
      <c r="BF238">
        <f ca="1">IF(AND(ISNUMBER($BF$475),$B$258=1),$BF$475,HLOOKUP(INDIRECT(ADDRESS(2,COLUMN())),OFFSET($BN$2,0,0,ROW()-1,60),ROW()-1,FALSE))</f>
        <v>84.633153300000004</v>
      </c>
      <c r="BG238">
        <f ca="1">IF(AND(ISNUMBER($BG$475),$B$258=1),$BG$475,HLOOKUP(INDIRECT(ADDRESS(2,COLUMN())),OFFSET($BN$2,0,0,ROW()-1,60),ROW()-1,FALSE))</f>
        <v>84.219404530000006</v>
      </c>
      <c r="BH238">
        <f ca="1">IF(AND(ISNUMBER($BH$475),$B$258=1),$BH$475,HLOOKUP(INDIRECT(ADDRESS(2,COLUMN())),OFFSET($BN$2,0,0,ROW()-1,60),ROW()-1,FALSE))</f>
        <v>155.17333429999999</v>
      </c>
      <c r="BI238">
        <f ca="1">IF(AND(ISNUMBER($BI$475),$B$258=1),$BI$475,HLOOKUP(INDIRECT(ADDRESS(2,COLUMN())),OFFSET($BN$2,0,0,ROW()-1,60),ROW()-1,FALSE))</f>
        <v>163.6411847</v>
      </c>
      <c r="BJ238" t="str">
        <f ca="1">IF(AND(ISNUMBER($BJ$475),$B$258=1),$BJ$475,HLOOKUP(INDIRECT(ADDRESS(2,COLUMN())),OFFSET($BN$2,0,0,ROW()-1,60),ROW()-1,FALSE))</f>
        <v/>
      </c>
      <c r="BK238">
        <f ca="1">IF(AND(ISNUMBER($BK$475),$B$258=1),$BK$475,HLOOKUP(INDIRECT(ADDRESS(2,COLUMN())),OFFSET($BN$2,0,0,ROW()-1,60),ROW()-1,FALSE))</f>
        <v>50.672116260000003</v>
      </c>
      <c r="BL238" t="str">
        <f ca="1">IF(AND(ISNUMBER($BL$475),$B$258=1),$BL$475,HLOOKUP(INDIRECT(ADDRESS(2,COLUMN())),OFFSET($BN$2,0,0,ROW()-1,60),ROW()-1,FALSE))</f>
        <v/>
      </c>
      <c r="BM238">
        <f ca="1">IF(AND(ISNUMBER($BM$475),$B$258=1),$BM$475,HLOOKUP(INDIRECT(ADDRESS(2,COLUMN())),OFFSET($BN$2,0,0,ROW()-1,60),ROW()-1,FALSE))</f>
        <v>0</v>
      </c>
      <c r="BN238" t="str">
        <f>""</f>
        <v/>
      </c>
      <c r="BO238">
        <f>81.10513586</f>
        <v>81.105135860000004</v>
      </c>
      <c r="BP238" t="str">
        <f>""</f>
        <v/>
      </c>
      <c r="BQ238">
        <f>82.41528074</f>
        <v>82.41528074</v>
      </c>
      <c r="BR238">
        <f>67.49220084</f>
        <v>67.492200839999995</v>
      </c>
      <c r="BS238">
        <f>69.63213251</f>
        <v>69.632132510000005</v>
      </c>
      <c r="BT238">
        <f>71.63827144</f>
        <v>71.638271439999997</v>
      </c>
      <c r="BU238">
        <f>63.60375092</f>
        <v>63.603750920000003</v>
      </c>
      <c r="BV238">
        <f>69.84295907</f>
        <v>69.842959070000006</v>
      </c>
      <c r="BW238">
        <f>82.25784125</f>
        <v>82.257841249999998</v>
      </c>
      <c r="BX238">
        <f>68.87125418</f>
        <v>68.871254179999994</v>
      </c>
      <c r="BY238">
        <f>32.64519139</f>
        <v>32.645191390000001</v>
      </c>
      <c r="BZ238">
        <f>150.1279946</f>
        <v>150.12799459999999</v>
      </c>
      <c r="CA238">
        <f>76.04682404</f>
        <v>76.046824040000004</v>
      </c>
      <c r="CB238">
        <f>69.19575075</f>
        <v>69.195750750000002</v>
      </c>
      <c r="CC238">
        <f>79.36768914</f>
        <v>79.367689139999996</v>
      </c>
      <c r="CD238">
        <f>72.26556464</f>
        <v>72.265564639999994</v>
      </c>
      <c r="CE238">
        <f>73.57824764</f>
        <v>73.578247640000001</v>
      </c>
      <c r="CF238">
        <f>78.30648716</f>
        <v>78.306487160000003</v>
      </c>
      <c r="CG238">
        <f>61.37030837</f>
        <v>61.370308369999997</v>
      </c>
      <c r="CH238">
        <f>72.18995705</f>
        <v>72.189957050000004</v>
      </c>
      <c r="CI238">
        <f>80.04792525</f>
        <v>80.047925250000006</v>
      </c>
      <c r="CJ238">
        <f>80.79086983</f>
        <v>80.790869830000005</v>
      </c>
      <c r="CK238">
        <f>79.56765765</f>
        <v>79.567657650000001</v>
      </c>
      <c r="CL238">
        <f>88.37860834</f>
        <v>88.37860834</v>
      </c>
      <c r="CM238">
        <f>89.27670239</f>
        <v>89.276702389999997</v>
      </c>
      <c r="CN238">
        <f>92.73773144</f>
        <v>92.737731440000005</v>
      </c>
      <c r="CO238">
        <f>90.98216845</f>
        <v>90.982168450000003</v>
      </c>
      <c r="CP238">
        <f>94.77155933</f>
        <v>94.771559330000002</v>
      </c>
      <c r="CQ238">
        <f>128.3486287</f>
        <v>128.34862870000001</v>
      </c>
      <c r="CR238">
        <f>81.09618191</f>
        <v>81.096181909999999</v>
      </c>
      <c r="CS238">
        <f>100.2759364</f>
        <v>100.27593640000001</v>
      </c>
      <c r="CT238">
        <f>85.30883807</f>
        <v>85.308838069999993</v>
      </c>
      <c r="CU238">
        <f>103.1544029</f>
        <v>103.15440289999999</v>
      </c>
      <c r="CV238">
        <f>83.6959279</f>
        <v>83.695927900000001</v>
      </c>
      <c r="CW238">
        <f>86.72419829</f>
        <v>86.724198290000004</v>
      </c>
      <c r="CX238">
        <f>73.62921482</f>
        <v>73.629214820000001</v>
      </c>
      <c r="CY238">
        <f>94.01089067</f>
        <v>94.010890669999995</v>
      </c>
      <c r="CZ238">
        <f>96.29117425</f>
        <v>96.291174249999997</v>
      </c>
      <c r="DA238">
        <f>89.85218034</f>
        <v>89.852180340000004</v>
      </c>
      <c r="DB238">
        <f>84.13822237</f>
        <v>84.138222369999994</v>
      </c>
      <c r="DC238">
        <f>80.42756586</f>
        <v>80.427565860000001</v>
      </c>
      <c r="DD238">
        <f>86.45292621</f>
        <v>86.452926210000001</v>
      </c>
      <c r="DE238">
        <f>81.04098031</f>
        <v>81.040980309999995</v>
      </c>
      <c r="DF238">
        <f>61.56201734</f>
        <v>61.562017339999997</v>
      </c>
      <c r="DG238">
        <f>77.95773475</f>
        <v>77.95773475</v>
      </c>
      <c r="DH238">
        <f>73.32939897</f>
        <v>73.32939897</v>
      </c>
      <c r="DI238">
        <f>61.53200494</f>
        <v>61.53200494</v>
      </c>
      <c r="DJ238">
        <f>85.36272545</f>
        <v>85.362725449999999</v>
      </c>
      <c r="DK238">
        <f>85.76442831</f>
        <v>85.76442831</v>
      </c>
      <c r="DL238">
        <f>128.4345347</f>
        <v>128.4345347</v>
      </c>
      <c r="DM238">
        <f>132.5480519</f>
        <v>132.54805189999999</v>
      </c>
      <c r="DN238">
        <f>84.6331533</f>
        <v>84.633153300000004</v>
      </c>
      <c r="DO238">
        <f>84.21940453</f>
        <v>84.219404530000006</v>
      </c>
      <c r="DP238">
        <f>155.1733343</f>
        <v>155.17333429999999</v>
      </c>
      <c r="DQ238">
        <f>163.6411847</f>
        <v>163.6411847</v>
      </c>
      <c r="DR238" t="str">
        <f>""</f>
        <v/>
      </c>
      <c r="DS238">
        <f>50.67211626</f>
        <v>50.672116260000003</v>
      </c>
      <c r="DT238" t="str">
        <f>""</f>
        <v/>
      </c>
      <c r="DU238">
        <f>0</f>
        <v>0</v>
      </c>
    </row>
    <row r="239" spans="1:125">
      <c r="A239" t="str">
        <f>"    Sabra Health Care REIT Inc"</f>
        <v xml:space="preserve">    Sabra Health Care REIT Inc</v>
      </c>
      <c r="B239" t="str">
        <f>"SBRA US Equity"</f>
        <v>SBRA US Equity</v>
      </c>
      <c r="C239" t="str">
        <f t="shared" si="57"/>
        <v>RR106</v>
      </c>
      <c r="D239" t="str">
        <f t="shared" si="58"/>
        <v>FFO_PAYOUT_RATIO</v>
      </c>
      <c r="E239" t="str">
        <f t="shared" si="59"/>
        <v>动态</v>
      </c>
      <c r="F239" t="str">
        <f ca="1">IF(AND(ISNUMBER($F$476),$B$258=1),$F$476,HLOOKUP(INDIRECT(ADDRESS(2,COLUMN())),OFFSET($BN$2,0,0,ROW()-1,60),ROW()-1,FALSE))</f>
        <v/>
      </c>
      <c r="G239">
        <f ca="1">IF(AND(ISNUMBER($G$476),$B$258=1),$G$476,HLOOKUP(INDIRECT(ADDRESS(2,COLUMN())),OFFSET($BN$2,0,0,ROW()-1,60),ROW()-1,FALSE))</f>
        <v>75.068573939999993</v>
      </c>
      <c r="H239">
        <f ca="1">IF(AND(ISNUMBER($H$476),$B$258=1),$H$476,HLOOKUP(INDIRECT(ADDRESS(2,COLUMN())),OFFSET($BN$2,0,0,ROW()-1,60),ROW()-1,FALSE))</f>
        <v>133.2119232</v>
      </c>
      <c r="I239">
        <f ca="1">IF(AND(ISNUMBER($I$476),$B$258=1),$I$476,HLOOKUP(INDIRECT(ADDRESS(2,COLUMN())),OFFSET($BN$2,0,0,ROW()-1,60),ROW()-1,FALSE))</f>
        <v>90.338569960000001</v>
      </c>
      <c r="J239">
        <f ca="1">IF(AND(ISNUMBER($J$476),$B$258=1),$J$476,HLOOKUP(INDIRECT(ADDRESS(2,COLUMN())),OFFSET($BN$2,0,0,ROW()-1,60),ROW()-1,FALSE))</f>
        <v>78.256447919999999</v>
      </c>
      <c r="K239">
        <f ca="1">IF(AND(ISNUMBER($K$476),$B$258=1),$K$476,HLOOKUP(INDIRECT(ADDRESS(2,COLUMN())),OFFSET($BN$2,0,0,ROW()-1,60),ROW()-1,FALSE))</f>
        <v>68.364716569999999</v>
      </c>
      <c r="L239">
        <f ca="1">IF(AND(ISNUMBER($L$476),$B$258=1),$L$476,HLOOKUP(INDIRECT(ADDRESS(2,COLUMN())),OFFSET($BN$2,0,0,ROW()-1,60),ROW()-1,FALSE))</f>
        <v>71.385122339999995</v>
      </c>
      <c r="M239">
        <f ca="1">IF(AND(ISNUMBER($M$476),$B$258=1),$M$476,HLOOKUP(INDIRECT(ADDRESS(2,COLUMN())),OFFSET($BN$2,0,0,ROW()-1,60),ROW()-1,FALSE))</f>
        <v>53.389558399999999</v>
      </c>
      <c r="N239">
        <f ca="1">IF(AND(ISNUMBER($N$476),$B$258=1),$N$476,HLOOKUP(INDIRECT(ADDRESS(2,COLUMN())),OFFSET($BN$2,0,0,ROW()-1,60),ROW()-1,FALSE))</f>
        <v>79.213731679999995</v>
      </c>
      <c r="O239">
        <f ca="1">IF(AND(ISNUMBER($O$476),$B$258=1),$O$476,HLOOKUP(INDIRECT(ADDRESS(2,COLUMN())),OFFSET($BN$2,0,0,ROW()-1,60),ROW()-1,FALSE))</f>
        <v>69.955272890000003</v>
      </c>
      <c r="P239">
        <f ca="1">IF(AND(ISNUMBER($P$476),$B$258=1),$P$476,HLOOKUP(INDIRECT(ADDRESS(2,COLUMN())),OFFSET($BN$2,0,0,ROW()-1,60),ROW()-1,FALSE))</f>
        <v>74.951517510000002</v>
      </c>
      <c r="Q239">
        <f ca="1">IF(AND(ISNUMBER($Q$476),$B$258=1),$Q$476,HLOOKUP(INDIRECT(ADDRESS(2,COLUMN())),OFFSET($BN$2,0,0,ROW()-1,60),ROW()-1,FALSE))</f>
        <v>89.921097230000001</v>
      </c>
      <c r="R239">
        <f ca="1">IF(AND(ISNUMBER($R$476),$B$258=1),$R$476,HLOOKUP(INDIRECT(ADDRESS(2,COLUMN())),OFFSET($BN$2,0,0,ROW()-1,60),ROW()-1,FALSE))</f>
        <v>74.796224109999997</v>
      </c>
      <c r="S239">
        <f ca="1">IF(AND(ISNUMBER($S$476),$B$258=1),$S$476,HLOOKUP(INDIRECT(ADDRESS(2,COLUMN())),OFFSET($BN$2,0,0,ROW()-1,60),ROW()-1,FALSE))</f>
        <v>71.230320390000003</v>
      </c>
      <c r="T239">
        <f ca="1">IF(AND(ISNUMBER($T$476),$B$258=1),$T$476,HLOOKUP(INDIRECT(ADDRESS(2,COLUMN())),OFFSET($BN$2,0,0,ROW()-1,60),ROW()-1,FALSE))</f>
        <v>73.742186520000004</v>
      </c>
      <c r="U239">
        <f ca="1">IF(AND(ISNUMBER($U$476),$B$258=1),$U$476,HLOOKUP(INDIRECT(ADDRESS(2,COLUMN())),OFFSET($BN$2,0,0,ROW()-1,60),ROW()-1,FALSE))</f>
        <v>75.418307690000006</v>
      </c>
      <c r="V239" t="str">
        <f ca="1">IF(AND(ISNUMBER($V$476),$B$258=1),$V$476,HLOOKUP(INDIRECT(ADDRESS(2,COLUMN())),OFFSET($BN$2,0,0,ROW()-1,60),ROW()-1,FALSE))</f>
        <v/>
      </c>
      <c r="W239">
        <f ca="1">IF(AND(ISNUMBER($W$476),$B$258=1),$W$476,HLOOKUP(INDIRECT(ADDRESS(2,COLUMN())),OFFSET($BN$2,0,0,ROW()-1,60),ROW()-1,FALSE))</f>
        <v>70.111614189999997</v>
      </c>
      <c r="X239">
        <f ca="1">IF(AND(ISNUMBER($X$476),$B$258=1),$X$476,HLOOKUP(INDIRECT(ADDRESS(2,COLUMN())),OFFSET($BN$2,0,0,ROW()-1,60),ROW()-1,FALSE))</f>
        <v>73.954285709999994</v>
      </c>
      <c r="Y239">
        <f ca="1">IF(AND(ISNUMBER($Y$476),$B$258=1),$Y$476,HLOOKUP(INDIRECT(ADDRESS(2,COLUMN())),OFFSET($BN$2,0,0,ROW()-1,60),ROW()-1,FALSE))</f>
        <v>255.23128850000001</v>
      </c>
      <c r="Z239">
        <f ca="1">IF(AND(ISNUMBER($Z$476),$B$258=1),$Z$476,HLOOKUP(INDIRECT(ADDRESS(2,COLUMN())),OFFSET($BN$2,0,0,ROW()-1,60),ROW()-1,FALSE))</f>
        <v>73.209897710000007</v>
      </c>
      <c r="AA239">
        <f ca="1">IF(AND(ISNUMBER($AA$476),$B$258=1),$AA$476,HLOOKUP(INDIRECT(ADDRESS(2,COLUMN())),OFFSET($BN$2,0,0,ROW()-1,60),ROW()-1,FALSE))</f>
        <v>85.349801979999995</v>
      </c>
      <c r="AB239">
        <f ca="1">IF(AND(ISNUMBER($AB$476),$B$258=1),$AB$476,HLOOKUP(INDIRECT(ADDRESS(2,COLUMN())),OFFSET($BN$2,0,0,ROW()-1,60),ROW()-1,FALSE))</f>
        <v>95.629617980000006</v>
      </c>
      <c r="AC239">
        <f ca="1">IF(AND(ISNUMBER($AC$476),$B$258=1),$AC$476,HLOOKUP(INDIRECT(ADDRESS(2,COLUMN())),OFFSET($BN$2,0,0,ROW()-1,60),ROW()-1,FALSE))</f>
        <v>90.940807570000004</v>
      </c>
      <c r="AD239">
        <f ca="1">IF(AND(ISNUMBER($AD$476),$B$258=1),$AD$476,HLOOKUP(INDIRECT(ADDRESS(2,COLUMN())),OFFSET($BN$2,0,0,ROW()-1,60),ROW()-1,FALSE))</f>
        <v>104.3132901</v>
      </c>
      <c r="AE239">
        <f ca="1">IF(AND(ISNUMBER($AE$476),$B$258=1),$AE$476,HLOOKUP(INDIRECT(ADDRESS(2,COLUMN())),OFFSET($BN$2,0,0,ROW()-1,60),ROW()-1,FALSE))</f>
        <v>81.421654189999998</v>
      </c>
      <c r="AF239">
        <f ca="1">IF(AND(ISNUMBER($AF$476),$B$258=1),$AF$476,HLOOKUP(INDIRECT(ADDRESS(2,COLUMN())),OFFSET($BN$2,0,0,ROW()-1,60),ROW()-1,FALSE))</f>
        <v>114.811075</v>
      </c>
      <c r="AG239">
        <f ca="1">IF(AND(ISNUMBER($AG$476),$B$258=1),$AG$476,HLOOKUP(INDIRECT(ADDRESS(2,COLUMN())),OFFSET($BN$2,0,0,ROW()-1,60),ROW()-1,FALSE))</f>
        <v>96.088944490000003</v>
      </c>
      <c r="AH239">
        <f ca="1">IF(AND(ISNUMBER($AH$476),$B$258=1),$AH$476,HLOOKUP(INDIRECT(ADDRESS(2,COLUMN())),OFFSET($BN$2,0,0,ROW()-1,60),ROW()-1,FALSE))</f>
        <v>0</v>
      </c>
      <c r="AI239" t="str">
        <f ca="1">IF(AND(ISNUMBER($AI$476),$B$258=1),$AI$476,HLOOKUP(INDIRECT(ADDRESS(2,COLUMN())),OFFSET($BN$2,0,0,ROW()-1,60),ROW()-1,FALSE))</f>
        <v/>
      </c>
      <c r="AJ239" t="str">
        <f ca="1">IF(AND(ISNUMBER($AJ$476),$B$258=1),$AJ$476,HLOOKUP(INDIRECT(ADDRESS(2,COLUMN())),OFFSET($BN$2,0,0,ROW()-1,60),ROW()-1,FALSE))</f>
        <v/>
      </c>
      <c r="AK239" t="str">
        <f ca="1">IF(AND(ISNUMBER($AK$476),$B$258=1),$AK$476,HLOOKUP(INDIRECT(ADDRESS(2,COLUMN())),OFFSET($BN$2,0,0,ROW()-1,60),ROW()-1,FALSE))</f>
        <v/>
      </c>
      <c r="AL239" t="str">
        <f ca="1">IF(AND(ISNUMBER($AL$476),$B$258=1),$AL$476,HLOOKUP(INDIRECT(ADDRESS(2,COLUMN())),OFFSET($BN$2,0,0,ROW()-1,60),ROW()-1,FALSE))</f>
        <v/>
      </c>
      <c r="AM239" t="str">
        <f ca="1">IF(AND(ISNUMBER($AM$476),$B$258=1),$AM$476,HLOOKUP(INDIRECT(ADDRESS(2,COLUMN())),OFFSET($BN$2,0,0,ROW()-1,60),ROW()-1,FALSE))</f>
        <v/>
      </c>
      <c r="AN239" t="str">
        <f ca="1">IF(AND(ISNUMBER($AN$476),$B$258=1),$AN$476,HLOOKUP(INDIRECT(ADDRESS(2,COLUMN())),OFFSET($BN$2,0,0,ROW()-1,60),ROW()-1,FALSE))</f>
        <v/>
      </c>
      <c r="AO239" t="str">
        <f ca="1">IF(AND(ISNUMBER($AO$476),$B$258=1),$AO$476,HLOOKUP(INDIRECT(ADDRESS(2,COLUMN())),OFFSET($BN$2,0,0,ROW()-1,60),ROW()-1,FALSE))</f>
        <v/>
      </c>
      <c r="AP239" t="str">
        <f ca="1">IF(AND(ISNUMBER($AP$476),$B$258=1),$AP$476,HLOOKUP(INDIRECT(ADDRESS(2,COLUMN())),OFFSET($BN$2,0,0,ROW()-1,60),ROW()-1,FALSE))</f>
        <v/>
      </c>
      <c r="AQ239" t="str">
        <f ca="1">IF(AND(ISNUMBER($AQ$476),$B$258=1),$AQ$476,HLOOKUP(INDIRECT(ADDRESS(2,COLUMN())),OFFSET($BN$2,0,0,ROW()-1,60),ROW()-1,FALSE))</f>
        <v/>
      </c>
      <c r="AR239" t="str">
        <f ca="1">IF(AND(ISNUMBER($AR$476),$B$258=1),$AR$476,HLOOKUP(INDIRECT(ADDRESS(2,COLUMN())),OFFSET($BN$2,0,0,ROW()-1,60),ROW()-1,FALSE))</f>
        <v/>
      </c>
      <c r="AS239" t="str">
        <f ca="1">IF(AND(ISNUMBER($AS$476),$B$258=1),$AS$476,HLOOKUP(INDIRECT(ADDRESS(2,COLUMN())),OFFSET($BN$2,0,0,ROW()-1,60),ROW()-1,FALSE))</f>
        <v/>
      </c>
      <c r="AT239" t="str">
        <f ca="1">IF(AND(ISNUMBER($AT$476),$B$258=1),$AT$476,HLOOKUP(INDIRECT(ADDRESS(2,COLUMN())),OFFSET($BN$2,0,0,ROW()-1,60),ROW()-1,FALSE))</f>
        <v/>
      </c>
      <c r="AU239" t="str">
        <f ca="1">IF(AND(ISNUMBER($AU$476),$B$258=1),$AU$476,HLOOKUP(INDIRECT(ADDRESS(2,COLUMN())),OFFSET($BN$2,0,0,ROW()-1,60),ROW()-1,FALSE))</f>
        <v/>
      </c>
      <c r="AV239" t="str">
        <f ca="1">IF(AND(ISNUMBER($AV$476),$B$258=1),$AV$476,HLOOKUP(INDIRECT(ADDRESS(2,COLUMN())),OFFSET($BN$2,0,0,ROW()-1,60),ROW()-1,FALSE))</f>
        <v/>
      </c>
      <c r="AW239" t="str">
        <f ca="1">IF(AND(ISNUMBER($AW$476),$B$258=1),$AW$476,HLOOKUP(INDIRECT(ADDRESS(2,COLUMN())),OFFSET($BN$2,0,0,ROW()-1,60),ROW()-1,FALSE))</f>
        <v/>
      </c>
      <c r="AX239" t="str">
        <f ca="1">IF(AND(ISNUMBER($AX$476),$B$258=1),$AX$476,HLOOKUP(INDIRECT(ADDRESS(2,COLUMN())),OFFSET($BN$2,0,0,ROW()-1,60),ROW()-1,FALSE))</f>
        <v/>
      </c>
      <c r="AY239" t="str">
        <f ca="1">IF(AND(ISNUMBER($AY$476),$B$258=1),$AY$476,HLOOKUP(INDIRECT(ADDRESS(2,COLUMN())),OFFSET($BN$2,0,0,ROW()-1,60),ROW()-1,FALSE))</f>
        <v/>
      </c>
      <c r="AZ239" t="str">
        <f ca="1">IF(AND(ISNUMBER($AZ$476),$B$258=1),$AZ$476,HLOOKUP(INDIRECT(ADDRESS(2,COLUMN())),OFFSET($BN$2,0,0,ROW()-1,60),ROW()-1,FALSE))</f>
        <v/>
      </c>
      <c r="BA239" t="str">
        <f ca="1">IF(AND(ISNUMBER($BA$476),$B$258=1),$BA$476,HLOOKUP(INDIRECT(ADDRESS(2,COLUMN())),OFFSET($BN$2,0,0,ROW()-1,60),ROW()-1,FALSE))</f>
        <v/>
      </c>
      <c r="BB239" t="str">
        <f ca="1">IF(AND(ISNUMBER($BB$476),$B$258=1),$BB$476,HLOOKUP(INDIRECT(ADDRESS(2,COLUMN())),OFFSET($BN$2,0,0,ROW()-1,60),ROW()-1,FALSE))</f>
        <v/>
      </c>
      <c r="BC239" t="str">
        <f ca="1">IF(AND(ISNUMBER($BC$476),$B$258=1),$BC$476,HLOOKUP(INDIRECT(ADDRESS(2,COLUMN())),OFFSET($BN$2,0,0,ROW()-1,60),ROW()-1,FALSE))</f>
        <v/>
      </c>
      <c r="BD239" t="str">
        <f ca="1">IF(AND(ISNUMBER($BD$476),$B$258=1),$BD$476,HLOOKUP(INDIRECT(ADDRESS(2,COLUMN())),OFFSET($BN$2,0,0,ROW()-1,60),ROW()-1,FALSE))</f>
        <v/>
      </c>
      <c r="BE239" t="str">
        <f ca="1">IF(AND(ISNUMBER($BE$476),$B$258=1),$BE$476,HLOOKUP(INDIRECT(ADDRESS(2,COLUMN())),OFFSET($BN$2,0,0,ROW()-1,60),ROW()-1,FALSE))</f>
        <v/>
      </c>
      <c r="BF239" t="str">
        <f ca="1">IF(AND(ISNUMBER($BF$476),$B$258=1),$BF$476,HLOOKUP(INDIRECT(ADDRESS(2,COLUMN())),OFFSET($BN$2,0,0,ROW()-1,60),ROW()-1,FALSE))</f>
        <v/>
      </c>
      <c r="BG239" t="str">
        <f ca="1">IF(AND(ISNUMBER($BG$476),$B$258=1),$BG$476,HLOOKUP(INDIRECT(ADDRESS(2,COLUMN())),OFFSET($BN$2,0,0,ROW()-1,60),ROW()-1,FALSE))</f>
        <v/>
      </c>
      <c r="BH239" t="str">
        <f ca="1">IF(AND(ISNUMBER($BH$476),$B$258=1),$BH$476,HLOOKUP(INDIRECT(ADDRESS(2,COLUMN())),OFFSET($BN$2,0,0,ROW()-1,60),ROW()-1,FALSE))</f>
        <v/>
      </c>
      <c r="BI239" t="str">
        <f ca="1">IF(AND(ISNUMBER($BI$476),$B$258=1),$BI$476,HLOOKUP(INDIRECT(ADDRESS(2,COLUMN())),OFFSET($BN$2,0,0,ROW()-1,60),ROW()-1,FALSE))</f>
        <v/>
      </c>
      <c r="BJ239" t="str">
        <f ca="1">IF(AND(ISNUMBER($BJ$476),$B$258=1),$BJ$476,HLOOKUP(INDIRECT(ADDRESS(2,COLUMN())),OFFSET($BN$2,0,0,ROW()-1,60),ROW()-1,FALSE))</f>
        <v/>
      </c>
      <c r="BK239" t="str">
        <f ca="1">IF(AND(ISNUMBER($BK$476),$B$258=1),$BK$476,HLOOKUP(INDIRECT(ADDRESS(2,COLUMN())),OFFSET($BN$2,0,0,ROW()-1,60),ROW()-1,FALSE))</f>
        <v/>
      </c>
      <c r="BL239" t="str">
        <f ca="1">IF(AND(ISNUMBER($BL$476),$B$258=1),$BL$476,HLOOKUP(INDIRECT(ADDRESS(2,COLUMN())),OFFSET($BN$2,0,0,ROW()-1,60),ROW()-1,FALSE))</f>
        <v/>
      </c>
      <c r="BM239" t="str">
        <f ca="1">IF(AND(ISNUMBER($BM$476),$B$258=1),$BM$476,HLOOKUP(INDIRECT(ADDRESS(2,COLUMN())),OFFSET($BN$2,0,0,ROW()-1,60),ROW()-1,FALSE))</f>
        <v/>
      </c>
      <c r="BN239" t="str">
        <f>""</f>
        <v/>
      </c>
      <c r="BO239">
        <f>75.06857394</f>
        <v>75.068573939999993</v>
      </c>
      <c r="BP239">
        <f>133.2119232</f>
        <v>133.2119232</v>
      </c>
      <c r="BQ239">
        <f>90.33856996</f>
        <v>90.338569960000001</v>
      </c>
      <c r="BR239">
        <f>78.25644792</f>
        <v>78.256447919999999</v>
      </c>
      <c r="BS239">
        <f>68.36471657</f>
        <v>68.364716569999999</v>
      </c>
      <c r="BT239">
        <f>71.38512234</f>
        <v>71.385122339999995</v>
      </c>
      <c r="BU239">
        <f>53.3895584</f>
        <v>53.389558399999999</v>
      </c>
      <c r="BV239">
        <f>79.21373168</f>
        <v>79.213731679999995</v>
      </c>
      <c r="BW239">
        <f>69.95527289</f>
        <v>69.955272890000003</v>
      </c>
      <c r="BX239">
        <f>74.95151751</f>
        <v>74.951517510000002</v>
      </c>
      <c r="BY239">
        <f>89.92109723</f>
        <v>89.921097230000001</v>
      </c>
      <c r="BZ239">
        <f>74.79622411</f>
        <v>74.796224109999997</v>
      </c>
      <c r="CA239">
        <f>71.23032039</f>
        <v>71.230320390000003</v>
      </c>
      <c r="CB239">
        <f>73.74218652</f>
        <v>73.742186520000004</v>
      </c>
      <c r="CC239">
        <f>75.41830769</f>
        <v>75.418307690000006</v>
      </c>
      <c r="CD239" t="str">
        <f>""</f>
        <v/>
      </c>
      <c r="CE239">
        <f>70.11161419</f>
        <v>70.111614189999997</v>
      </c>
      <c r="CF239">
        <f>73.95428571</f>
        <v>73.954285709999994</v>
      </c>
      <c r="CG239">
        <f>255.2312885</f>
        <v>255.23128850000001</v>
      </c>
      <c r="CH239">
        <f>73.20989771</f>
        <v>73.209897710000007</v>
      </c>
      <c r="CI239">
        <f>85.34980198</f>
        <v>85.349801979999995</v>
      </c>
      <c r="CJ239">
        <f>95.62961798</f>
        <v>95.629617980000006</v>
      </c>
      <c r="CK239">
        <f>90.94080757</f>
        <v>90.940807570000004</v>
      </c>
      <c r="CL239">
        <f>104.3132901</f>
        <v>104.3132901</v>
      </c>
      <c r="CM239">
        <f>81.42165419</f>
        <v>81.421654189999998</v>
      </c>
      <c r="CN239">
        <f>114.811075</f>
        <v>114.811075</v>
      </c>
      <c r="CO239">
        <f>96.08894449</f>
        <v>96.088944490000003</v>
      </c>
      <c r="CP239">
        <f>0</f>
        <v>0</v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>
      <c r="A240" t="str">
        <f>"    Senior Housing Properties Trus"</f>
        <v xml:space="preserve">    Senior Housing Properties Trus</v>
      </c>
      <c r="B240" t="str">
        <f>"SNH US Equity"</f>
        <v>SNH US Equity</v>
      </c>
      <c r="C240" t="str">
        <f t="shared" si="57"/>
        <v>RR106</v>
      </c>
      <c r="D240" t="str">
        <f t="shared" si="58"/>
        <v>FFO_PAYOUT_RATIO</v>
      </c>
      <c r="E240" t="str">
        <f t="shared" si="59"/>
        <v>动态</v>
      </c>
      <c r="F240" t="str">
        <f ca="1">IF(AND(ISNUMBER($F$477),$B$258=1),$F$477,HLOOKUP(INDIRECT(ADDRESS(2,COLUMN())),OFFSET($BN$2,0,0,ROW()-1,60),ROW()-1,FALSE))</f>
        <v/>
      </c>
      <c r="G240">
        <f ca="1">IF(AND(ISNUMBER($G$477),$B$258=1),$G$477,HLOOKUP(INDIRECT(ADDRESS(2,COLUMN())),OFFSET($BN$2,0,0,ROW()-1,60),ROW()-1,FALSE))</f>
        <v>114.2809388</v>
      </c>
      <c r="H240">
        <f ca="1">IF(AND(ISNUMBER($H$477),$B$258=1),$H$477,HLOOKUP(INDIRECT(ADDRESS(2,COLUMN())),OFFSET($BN$2,0,0,ROW()-1,60),ROW()-1,FALSE))</f>
        <v>96.726339210000006</v>
      </c>
      <c r="I240">
        <f ca="1">IF(AND(ISNUMBER($I$477),$B$258=1),$I$477,HLOOKUP(INDIRECT(ADDRESS(2,COLUMN())),OFFSET($BN$2,0,0,ROW()-1,60),ROW()-1,FALSE))</f>
        <v>108.3024635</v>
      </c>
      <c r="J240">
        <f ca="1">IF(AND(ISNUMBER($J$477),$B$258=1),$J$477,HLOOKUP(INDIRECT(ADDRESS(2,COLUMN())),OFFSET($BN$2,0,0,ROW()-1,60),ROW()-1,FALSE))</f>
        <v>88.279735680000002</v>
      </c>
      <c r="K240">
        <f ca="1">IF(AND(ISNUMBER($K$477),$B$258=1),$K$477,HLOOKUP(INDIRECT(ADDRESS(2,COLUMN())),OFFSET($BN$2,0,0,ROW()-1,60),ROW()-1,FALSE))</f>
        <v>78.778188099999994</v>
      </c>
      <c r="L240">
        <f ca="1">IF(AND(ISNUMBER($L$477),$B$258=1),$L$477,HLOOKUP(INDIRECT(ADDRESS(2,COLUMN())),OFFSET($BN$2,0,0,ROW()-1,60),ROW()-1,FALSE))</f>
        <v>88.303789140000006</v>
      </c>
      <c r="M240">
        <f ca="1">IF(AND(ISNUMBER($M$477),$B$258=1),$M$477,HLOOKUP(INDIRECT(ADDRESS(2,COLUMN())),OFFSET($BN$2,0,0,ROW()-1,60),ROW()-1,FALSE))</f>
        <v>83.006815840000002</v>
      </c>
      <c r="N240">
        <f ca="1">IF(AND(ISNUMBER($N$477),$B$258=1),$N$477,HLOOKUP(INDIRECT(ADDRESS(2,COLUMN())),OFFSET($BN$2,0,0,ROW()-1,60),ROW()-1,FALSE))</f>
        <v>84.227010059999998</v>
      </c>
      <c r="O240">
        <f ca="1">IF(AND(ISNUMBER($O$477),$B$258=1),$O$477,HLOOKUP(INDIRECT(ADDRESS(2,COLUMN())),OFFSET($BN$2,0,0,ROW()-1,60),ROW()-1,FALSE))</f>
        <v>113.7212877</v>
      </c>
      <c r="P240">
        <f ca="1">IF(AND(ISNUMBER($P$477),$B$258=1),$P$477,HLOOKUP(INDIRECT(ADDRESS(2,COLUMN())),OFFSET($BN$2,0,0,ROW()-1,60),ROW()-1,FALSE))</f>
        <v>85.546026049999995</v>
      </c>
      <c r="Q240">
        <f ca="1">IF(AND(ISNUMBER($Q$477),$B$258=1),$Q$477,HLOOKUP(INDIRECT(ADDRESS(2,COLUMN())),OFFSET($BN$2,0,0,ROW()-1,60),ROW()-1,FALSE))</f>
        <v>92.325738689999994</v>
      </c>
      <c r="R240">
        <f ca="1">IF(AND(ISNUMBER($R$477),$B$258=1),$R$477,HLOOKUP(INDIRECT(ADDRESS(2,COLUMN())),OFFSET($BN$2,0,0,ROW()-1,60),ROW()-1,FALSE))</f>
        <v>92.342185760000007</v>
      </c>
      <c r="S240">
        <f ca="1">IF(AND(ISNUMBER($S$477),$B$258=1),$S$477,HLOOKUP(INDIRECT(ADDRESS(2,COLUMN())),OFFSET($BN$2,0,0,ROW()-1,60),ROW()-1,FALSE))</f>
        <v>82.005655610000005</v>
      </c>
      <c r="T240">
        <f ca="1">IF(AND(ISNUMBER($T$477),$B$258=1),$T$477,HLOOKUP(INDIRECT(ADDRESS(2,COLUMN())),OFFSET($BN$2,0,0,ROW()-1,60),ROW()-1,FALSE))</f>
        <v>91.388648700000005</v>
      </c>
      <c r="U240">
        <f ca="1">IF(AND(ISNUMBER($U$477),$B$258=1),$U$477,HLOOKUP(INDIRECT(ADDRESS(2,COLUMN())),OFFSET($BN$2,0,0,ROW()-1,60),ROW()-1,FALSE))</f>
        <v>95.522009339999997</v>
      </c>
      <c r="V240">
        <f ca="1">IF(AND(ISNUMBER($V$477),$B$258=1),$V$477,HLOOKUP(INDIRECT(ADDRESS(2,COLUMN())),OFFSET($BN$2,0,0,ROW()-1,60),ROW()-1,FALSE))</f>
        <v>94.695019349999995</v>
      </c>
      <c r="W240">
        <f ca="1">IF(AND(ISNUMBER($W$477),$B$258=1),$W$477,HLOOKUP(INDIRECT(ADDRESS(2,COLUMN())),OFFSET($BN$2,0,0,ROW()-1,60),ROW()-1,FALSE))</f>
        <v>84.802477550000006</v>
      </c>
      <c r="X240">
        <f ca="1">IF(AND(ISNUMBER($X$477),$B$258=1),$X$477,HLOOKUP(INDIRECT(ADDRESS(2,COLUMN())),OFFSET($BN$2,0,0,ROW()-1,60),ROW()-1,FALSE))</f>
        <v>97.220642220000002</v>
      </c>
      <c r="Y240">
        <f ca="1">IF(AND(ISNUMBER($Y$477),$B$258=1),$Y$477,HLOOKUP(INDIRECT(ADDRESS(2,COLUMN())),OFFSET($BN$2,0,0,ROW()-1,60),ROW()-1,FALSE))</f>
        <v>96.060227870000006</v>
      </c>
      <c r="Z240">
        <f ca="1">IF(AND(ISNUMBER($Z$477),$B$258=1),$Z$477,HLOOKUP(INDIRECT(ADDRESS(2,COLUMN())),OFFSET($BN$2,0,0,ROW()-1,60),ROW()-1,FALSE))</f>
        <v>96.198540910000006</v>
      </c>
      <c r="AA240">
        <f ca="1">IF(AND(ISNUMBER($AA$477),$B$258=1),$AA$477,HLOOKUP(INDIRECT(ADDRESS(2,COLUMN())),OFFSET($BN$2,0,0,ROW()-1,60),ROW()-1,FALSE))</f>
        <v>84.377256299999999</v>
      </c>
      <c r="AB240">
        <f ca="1">IF(AND(ISNUMBER($AB$477),$B$258=1),$AB$477,HLOOKUP(INDIRECT(ADDRESS(2,COLUMN())),OFFSET($BN$2,0,0,ROW()-1,60),ROW()-1,FALSE))</f>
        <v>110.5507326</v>
      </c>
      <c r="AC240">
        <f ca="1">IF(AND(ISNUMBER($AC$477),$B$258=1),$AC$477,HLOOKUP(INDIRECT(ADDRESS(2,COLUMN())),OFFSET($BN$2,0,0,ROW()-1,60),ROW()-1,FALSE))</f>
        <v>90.265329070000007</v>
      </c>
      <c r="AD240">
        <f ca="1">IF(AND(ISNUMBER($AD$477),$B$258=1),$AD$477,HLOOKUP(INDIRECT(ADDRESS(2,COLUMN())),OFFSET($BN$2,0,0,ROW()-1,60),ROW()-1,FALSE))</f>
        <v>89.834098839999996</v>
      </c>
      <c r="AE240">
        <f ca="1">IF(AND(ISNUMBER($AE$477),$B$258=1),$AE$477,HLOOKUP(INDIRECT(ADDRESS(2,COLUMN())),OFFSET($BN$2,0,0,ROW()-1,60),ROW()-1,FALSE))</f>
        <v>86.701842929999998</v>
      </c>
      <c r="AF240">
        <f ca="1">IF(AND(ISNUMBER($AF$477),$B$258=1),$AF$477,HLOOKUP(INDIRECT(ADDRESS(2,COLUMN())),OFFSET($BN$2,0,0,ROW()-1,60),ROW()-1,FALSE))</f>
        <v>97.390556079999996</v>
      </c>
      <c r="AG240">
        <f ca="1">IF(AND(ISNUMBER($AG$477),$B$258=1),$AG$477,HLOOKUP(INDIRECT(ADDRESS(2,COLUMN())),OFFSET($BN$2,0,0,ROW()-1,60),ROW()-1,FALSE))</f>
        <v>92.629932240000002</v>
      </c>
      <c r="AH240">
        <f ca="1">IF(AND(ISNUMBER($AH$477),$B$258=1),$AH$477,HLOOKUP(INDIRECT(ADDRESS(2,COLUMN())),OFFSET($BN$2,0,0,ROW()-1,60),ROW()-1,FALSE))</f>
        <v>90.024956259999996</v>
      </c>
      <c r="AI240">
        <f ca="1">IF(AND(ISNUMBER($AI$477),$B$258=1),$AI$477,HLOOKUP(INDIRECT(ADDRESS(2,COLUMN())),OFFSET($BN$2,0,0,ROW()-1,60),ROW()-1,FALSE))</f>
        <v>77.65679634</v>
      </c>
      <c r="AJ240">
        <f ca="1">IF(AND(ISNUMBER($AJ$477),$B$258=1),$AJ$477,HLOOKUP(INDIRECT(ADDRESS(2,COLUMN())),OFFSET($BN$2,0,0,ROW()-1,60),ROW()-1,FALSE))</f>
        <v>85.80673401</v>
      </c>
      <c r="AK240">
        <f ca="1">IF(AND(ISNUMBER($AK$477),$B$258=1),$AK$477,HLOOKUP(INDIRECT(ADDRESS(2,COLUMN())),OFFSET($BN$2,0,0,ROW()-1,60),ROW()-1,FALSE))</f>
        <v>85.996100190000007</v>
      </c>
      <c r="AL240">
        <f ca="1">IF(AND(ISNUMBER($AL$477),$B$258=1),$AL$477,HLOOKUP(INDIRECT(ADDRESS(2,COLUMN())),OFFSET($BN$2,0,0,ROW()-1,60),ROW()-1,FALSE))</f>
        <v>83.668077650000001</v>
      </c>
      <c r="AM240">
        <f ca="1">IF(AND(ISNUMBER($AM$477),$B$258=1),$AM$477,HLOOKUP(INDIRECT(ADDRESS(2,COLUMN())),OFFSET($BN$2,0,0,ROW()-1,60),ROW()-1,FALSE))</f>
        <v>87.551703070000002</v>
      </c>
      <c r="AN240">
        <f ca="1">IF(AND(ISNUMBER($AN$477),$B$258=1),$AN$477,HLOOKUP(INDIRECT(ADDRESS(2,COLUMN())),OFFSET($BN$2,0,0,ROW()-1,60),ROW()-1,FALSE))</f>
        <v>88.626871710000003</v>
      </c>
      <c r="AO240">
        <f ca="1">IF(AND(ISNUMBER($AO$477),$B$258=1),$AO$477,HLOOKUP(INDIRECT(ADDRESS(2,COLUMN())),OFFSET($BN$2,0,0,ROW()-1,60),ROW()-1,FALSE))</f>
        <v>79.804743700000003</v>
      </c>
      <c r="AP240">
        <f ca="1">IF(AND(ISNUMBER($AP$477),$B$258=1),$AP$477,HLOOKUP(INDIRECT(ADDRESS(2,COLUMN())),OFFSET($BN$2,0,0,ROW()-1,60),ROW()-1,FALSE))</f>
        <v>79.120247820000003</v>
      </c>
      <c r="AQ240">
        <f ca="1">IF(AND(ISNUMBER($AQ$477),$B$258=1),$AQ$477,HLOOKUP(INDIRECT(ADDRESS(2,COLUMN())),OFFSET($BN$2,0,0,ROW()-1,60),ROW()-1,FALSE))</f>
        <v>82.055452070000001</v>
      </c>
      <c r="AR240">
        <f ca="1">IF(AND(ISNUMBER($AR$477),$B$258=1),$AR$477,HLOOKUP(INDIRECT(ADDRESS(2,COLUMN())),OFFSET($BN$2,0,0,ROW()-1,60),ROW()-1,FALSE))</f>
        <v>85.188244049999994</v>
      </c>
      <c r="AS240">
        <f ca="1">IF(AND(ISNUMBER($AS$477),$B$258=1),$AS$477,HLOOKUP(INDIRECT(ADDRESS(2,COLUMN())),OFFSET($BN$2,0,0,ROW()-1,60),ROW()-1,FALSE))</f>
        <v>85.11091716</v>
      </c>
      <c r="AT240">
        <f ca="1">IF(AND(ISNUMBER($AT$477),$B$258=1),$AT$477,HLOOKUP(INDIRECT(ADDRESS(2,COLUMN())),OFFSET($BN$2,0,0,ROW()-1,60),ROW()-1,FALSE))</f>
        <v>83.256287709999995</v>
      </c>
      <c r="AU240">
        <f ca="1">IF(AND(ISNUMBER($AU$477),$B$258=1),$AU$477,HLOOKUP(INDIRECT(ADDRESS(2,COLUMN())),OFFSET($BN$2,0,0,ROW()-1,60),ROW()-1,FALSE))</f>
        <v>83.972375220000004</v>
      </c>
      <c r="AV240">
        <f ca="1">IF(AND(ISNUMBER($AV$477),$B$258=1),$AV$477,HLOOKUP(INDIRECT(ADDRESS(2,COLUMN())),OFFSET($BN$2,0,0,ROW()-1,60),ROW()-1,FALSE))</f>
        <v>83.330579479999997</v>
      </c>
      <c r="AW240">
        <f ca="1">IF(AND(ISNUMBER($AW$477),$B$258=1),$AW$477,HLOOKUP(INDIRECT(ADDRESS(2,COLUMN())),OFFSET($BN$2,0,0,ROW()-1,60),ROW()-1,FALSE))</f>
        <v>83.614570470000004</v>
      </c>
      <c r="AX240">
        <f ca="1">IF(AND(ISNUMBER($AX$477),$B$258=1),$AX$477,HLOOKUP(INDIRECT(ADDRESS(2,COLUMN())),OFFSET($BN$2,0,0,ROW()-1,60),ROW()-1,FALSE))</f>
        <v>88.65582551</v>
      </c>
      <c r="AY240">
        <f ca="1">IF(AND(ISNUMBER($AY$477),$B$258=1),$AY$477,HLOOKUP(INDIRECT(ADDRESS(2,COLUMN())),OFFSET($BN$2,0,0,ROW()-1,60),ROW()-1,FALSE))</f>
        <v>72.539488349999999</v>
      </c>
      <c r="AZ240">
        <f ca="1">IF(AND(ISNUMBER($AZ$477),$B$258=1),$AZ$477,HLOOKUP(INDIRECT(ADDRESS(2,COLUMN())),OFFSET($BN$2,0,0,ROW()-1,60),ROW()-1,FALSE))</f>
        <v>85.646888779999998</v>
      </c>
      <c r="BA240">
        <f ca="1">IF(AND(ISNUMBER($BA$477),$B$258=1),$BA$477,HLOOKUP(INDIRECT(ADDRESS(2,COLUMN())),OFFSET($BN$2,0,0,ROW()-1,60),ROW()-1,FALSE))</f>
        <v>82.592776279999995</v>
      </c>
      <c r="BB240">
        <f ca="1">IF(AND(ISNUMBER($BB$477),$B$258=1),$BB$477,HLOOKUP(INDIRECT(ADDRESS(2,COLUMN())),OFFSET($BN$2,0,0,ROW()-1,60),ROW()-1,FALSE))</f>
        <v>97.690940780000005</v>
      </c>
      <c r="BC240">
        <f ca="1">IF(AND(ISNUMBER($BC$477),$B$258=1),$BC$477,HLOOKUP(INDIRECT(ADDRESS(2,COLUMN())),OFFSET($BN$2,0,0,ROW()-1,60),ROW()-1,FALSE))</f>
        <v>83.397376919999999</v>
      </c>
      <c r="BD240">
        <f ca="1">IF(AND(ISNUMBER($BD$477),$B$258=1),$BD$477,HLOOKUP(INDIRECT(ADDRESS(2,COLUMN())),OFFSET($BN$2,0,0,ROW()-1,60),ROW()-1,FALSE))</f>
        <v>61.164973000000003</v>
      </c>
      <c r="BE240">
        <f ca="1">IF(AND(ISNUMBER($BE$477),$B$258=1),$BE$477,HLOOKUP(INDIRECT(ADDRESS(2,COLUMN())),OFFSET($BN$2,0,0,ROW()-1,60),ROW()-1,FALSE))</f>
        <v>84.842710150000002</v>
      </c>
      <c r="BF240">
        <f ca="1">IF(AND(ISNUMBER($BF$477),$B$258=1),$BF$477,HLOOKUP(INDIRECT(ADDRESS(2,COLUMN())),OFFSET($BN$2,0,0,ROW()-1,60),ROW()-1,FALSE))</f>
        <v>86.205929879999999</v>
      </c>
      <c r="BG240">
        <f ca="1">IF(AND(ISNUMBER($BG$477),$B$258=1),$BG$477,HLOOKUP(INDIRECT(ADDRESS(2,COLUMN())),OFFSET($BN$2,0,0,ROW()-1,60),ROW()-1,FALSE))</f>
        <v>84.378843790000005</v>
      </c>
      <c r="BH240">
        <f ca="1">IF(AND(ISNUMBER($BH$477),$B$258=1),$BH$477,HLOOKUP(INDIRECT(ADDRESS(2,COLUMN())),OFFSET($BN$2,0,0,ROW()-1,60),ROW()-1,FALSE))</f>
        <v>83.961254710000006</v>
      </c>
      <c r="BI240">
        <f ca="1">IF(AND(ISNUMBER($BI$477),$B$258=1),$BI$477,HLOOKUP(INDIRECT(ADDRESS(2,COLUMN())),OFFSET($BN$2,0,0,ROW()-1,60),ROW()-1,FALSE))</f>
        <v>84.435484790000004</v>
      </c>
      <c r="BJ240">
        <f ca="1">IF(AND(ISNUMBER($BJ$477),$B$258=1),$BJ$477,HLOOKUP(INDIRECT(ADDRESS(2,COLUMN())),OFFSET($BN$2,0,0,ROW()-1,60),ROW()-1,FALSE))</f>
        <v>81.581833900000007</v>
      </c>
      <c r="BK240">
        <f ca="1">IF(AND(ISNUMBER($BK$477),$B$258=1),$BK$477,HLOOKUP(INDIRECT(ADDRESS(2,COLUMN())),OFFSET($BN$2,0,0,ROW()-1,60),ROW()-1,FALSE))</f>
        <v>88.304095689999997</v>
      </c>
      <c r="BL240" t="str">
        <f ca="1">IF(AND(ISNUMBER($BL$477),$B$258=1),$BL$477,HLOOKUP(INDIRECT(ADDRESS(2,COLUMN())),OFFSET($BN$2,0,0,ROW()-1,60),ROW()-1,FALSE))</f>
        <v/>
      </c>
      <c r="BM240" t="str">
        <f ca="1">IF(AND(ISNUMBER($BM$477),$B$258=1),$BM$477,HLOOKUP(INDIRECT(ADDRESS(2,COLUMN())),OFFSET($BN$2,0,0,ROW()-1,60),ROW()-1,FALSE))</f>
        <v/>
      </c>
      <c r="BN240" t="str">
        <f>""</f>
        <v/>
      </c>
      <c r="BO240">
        <f>114.2809388</f>
        <v>114.2809388</v>
      </c>
      <c r="BP240">
        <f>96.72633921</f>
        <v>96.726339210000006</v>
      </c>
      <c r="BQ240">
        <f>108.3024635</f>
        <v>108.3024635</v>
      </c>
      <c r="BR240">
        <f>88.27973568</f>
        <v>88.279735680000002</v>
      </c>
      <c r="BS240">
        <f>78.7781881</f>
        <v>78.778188099999994</v>
      </c>
      <c r="BT240">
        <f>88.30378914</f>
        <v>88.303789140000006</v>
      </c>
      <c r="BU240">
        <f>83.00681584</f>
        <v>83.006815840000002</v>
      </c>
      <c r="BV240">
        <f>84.22701006</f>
        <v>84.227010059999998</v>
      </c>
      <c r="BW240">
        <f>113.7212877</f>
        <v>113.7212877</v>
      </c>
      <c r="BX240">
        <f>85.54602605</f>
        <v>85.546026049999995</v>
      </c>
      <c r="BY240">
        <f>92.32573869</f>
        <v>92.325738689999994</v>
      </c>
      <c r="BZ240">
        <f>92.34218576</f>
        <v>92.342185760000007</v>
      </c>
      <c r="CA240">
        <f>82.00565561</f>
        <v>82.005655610000005</v>
      </c>
      <c r="CB240">
        <f>91.3886487</f>
        <v>91.388648700000005</v>
      </c>
      <c r="CC240">
        <f>95.52200934</f>
        <v>95.522009339999997</v>
      </c>
      <c r="CD240">
        <f>94.69501935</f>
        <v>94.695019349999995</v>
      </c>
      <c r="CE240">
        <f>84.80247755</f>
        <v>84.802477550000006</v>
      </c>
      <c r="CF240">
        <f>97.22064222</f>
        <v>97.220642220000002</v>
      </c>
      <c r="CG240">
        <f>96.06022787</f>
        <v>96.060227870000006</v>
      </c>
      <c r="CH240">
        <f>96.19854091</f>
        <v>96.198540910000006</v>
      </c>
      <c r="CI240">
        <f>84.3772563</f>
        <v>84.377256299999999</v>
      </c>
      <c r="CJ240">
        <f>110.5507326</f>
        <v>110.5507326</v>
      </c>
      <c r="CK240">
        <f>90.26532907</f>
        <v>90.265329070000007</v>
      </c>
      <c r="CL240">
        <f>89.83409884</f>
        <v>89.834098839999996</v>
      </c>
      <c r="CM240">
        <f>86.70184293</f>
        <v>86.701842929999998</v>
      </c>
      <c r="CN240">
        <f>97.39055608</f>
        <v>97.390556079999996</v>
      </c>
      <c r="CO240">
        <f>92.62993224</f>
        <v>92.629932240000002</v>
      </c>
      <c r="CP240">
        <f>90.02495626</f>
        <v>90.024956259999996</v>
      </c>
      <c r="CQ240">
        <f>77.65679634</f>
        <v>77.65679634</v>
      </c>
      <c r="CR240">
        <f>85.80673401</f>
        <v>85.80673401</v>
      </c>
      <c r="CS240">
        <f>85.99610019</f>
        <v>85.996100190000007</v>
      </c>
      <c r="CT240">
        <f>83.66807765</f>
        <v>83.668077650000001</v>
      </c>
      <c r="CU240">
        <f>87.55170307</f>
        <v>87.551703070000002</v>
      </c>
      <c r="CV240">
        <f>88.62687171</f>
        <v>88.626871710000003</v>
      </c>
      <c r="CW240">
        <f>79.8047437</f>
        <v>79.804743700000003</v>
      </c>
      <c r="CX240">
        <f>79.12024782</f>
        <v>79.120247820000003</v>
      </c>
      <c r="CY240">
        <f>82.05545207</f>
        <v>82.055452070000001</v>
      </c>
      <c r="CZ240">
        <f>85.18824405</f>
        <v>85.188244049999994</v>
      </c>
      <c r="DA240">
        <f>85.11091716</f>
        <v>85.11091716</v>
      </c>
      <c r="DB240">
        <f>83.25628771</f>
        <v>83.256287709999995</v>
      </c>
      <c r="DC240">
        <f>83.97237522</f>
        <v>83.972375220000004</v>
      </c>
      <c r="DD240">
        <f>83.33057948</f>
        <v>83.330579479999997</v>
      </c>
      <c r="DE240">
        <f>83.61457047</f>
        <v>83.614570470000004</v>
      </c>
      <c r="DF240">
        <f>88.65582551</f>
        <v>88.65582551</v>
      </c>
      <c r="DG240">
        <f>72.53948835</f>
        <v>72.539488349999999</v>
      </c>
      <c r="DH240">
        <f>85.64688878</f>
        <v>85.646888779999998</v>
      </c>
      <c r="DI240">
        <f>82.59277628</f>
        <v>82.592776279999995</v>
      </c>
      <c r="DJ240">
        <f>97.69094078</f>
        <v>97.690940780000005</v>
      </c>
      <c r="DK240">
        <f>83.39737692</f>
        <v>83.397376919999999</v>
      </c>
      <c r="DL240">
        <f>61.164973</f>
        <v>61.164973000000003</v>
      </c>
      <c r="DM240">
        <f>84.84271015</f>
        <v>84.842710150000002</v>
      </c>
      <c r="DN240">
        <f>86.20592988</f>
        <v>86.205929879999999</v>
      </c>
      <c r="DO240">
        <f>84.37884379</f>
        <v>84.378843790000005</v>
      </c>
      <c r="DP240">
        <f>83.96125471</f>
        <v>83.961254710000006</v>
      </c>
      <c r="DQ240">
        <f>84.43548479</f>
        <v>84.435484790000004</v>
      </c>
      <c r="DR240">
        <f>81.5818339</f>
        <v>81.581833900000007</v>
      </c>
      <c r="DS240">
        <f>88.30409569</f>
        <v>88.304095689999997</v>
      </c>
      <c r="DT240" t="str">
        <f>""</f>
        <v/>
      </c>
      <c r="DU240" t="str">
        <f>""</f>
        <v/>
      </c>
    </row>
    <row r="241" spans="1:125">
      <c r="A241" t="str">
        <f>"    Ventas Inc"</f>
        <v xml:space="preserve">    Ventas Inc</v>
      </c>
      <c r="B241" t="str">
        <f>"VTR US Equity"</f>
        <v>VTR US Equity</v>
      </c>
      <c r="C241" t="str">
        <f t="shared" si="57"/>
        <v>RR106</v>
      </c>
      <c r="D241" t="str">
        <f t="shared" si="58"/>
        <v>FFO_PAYOUT_RATIO</v>
      </c>
      <c r="E241" t="str">
        <f t="shared" si="59"/>
        <v>动态</v>
      </c>
      <c r="F241" t="str">
        <f ca="1">IF(AND(ISNUMBER($F$478),$B$258=1),$F$478,HLOOKUP(INDIRECT(ADDRESS(2,COLUMN())),OFFSET($BN$2,0,0,ROW()-1,60),ROW()-1,FALSE))</f>
        <v/>
      </c>
      <c r="G241">
        <f ca="1">IF(AND(ISNUMBER($G$478),$B$258=1),$G$478,HLOOKUP(INDIRECT(ADDRESS(2,COLUMN())),OFFSET($BN$2,0,0,ROW()-1,60),ROW()-1,FALSE))</f>
        <v>69.168617859999998</v>
      </c>
      <c r="H241">
        <f ca="1">IF(AND(ISNUMBER($H$478),$B$258=1),$H$478,HLOOKUP(INDIRECT(ADDRESS(2,COLUMN())),OFFSET($BN$2,0,0,ROW()-1,60),ROW()-1,FALSE))</f>
        <v>75.646758140000003</v>
      </c>
      <c r="I241">
        <f ca="1">IF(AND(ISNUMBER($I$478),$B$258=1),$I$478,HLOOKUP(INDIRECT(ADDRESS(2,COLUMN())),OFFSET($BN$2,0,0,ROW()-1,60),ROW()-1,FALSE))</f>
        <v>73.948442170000007</v>
      </c>
      <c r="J241">
        <f ca="1">IF(AND(ISNUMBER($J$478),$B$258=1),$J$478,HLOOKUP(INDIRECT(ADDRESS(2,COLUMN())),OFFSET($BN$2,0,0,ROW()-1,60),ROW()-1,FALSE))</f>
        <v>75.034810500000006</v>
      </c>
      <c r="K241">
        <f ca="1">IF(AND(ISNUMBER($K$478),$B$258=1),$K$478,HLOOKUP(INDIRECT(ADDRESS(2,COLUMN())),OFFSET($BN$2,0,0,ROW()-1,60),ROW()-1,FALSE))</f>
        <v>74.00242034</v>
      </c>
      <c r="L241">
        <f ca="1">IF(AND(ISNUMBER($L$478),$B$258=1),$L$478,HLOOKUP(INDIRECT(ADDRESS(2,COLUMN())),OFFSET($BN$2,0,0,ROW()-1,60),ROW()-1,FALSE))</f>
        <v>71.946297729999998</v>
      </c>
      <c r="M241">
        <f ca="1">IF(AND(ISNUMBER($M$478),$B$258=1),$M$478,HLOOKUP(INDIRECT(ADDRESS(2,COLUMN())),OFFSET($BN$2,0,0,ROW()-1,60),ROW()-1,FALSE))</f>
        <v>69.418588700000001</v>
      </c>
      <c r="N241">
        <f ca="1">IF(AND(ISNUMBER($N$478),$B$258=1),$N$478,HLOOKUP(INDIRECT(ADDRESS(2,COLUMN())),OFFSET($BN$2,0,0,ROW()-1,60),ROW()-1,FALSE))</f>
        <v>68.78565424</v>
      </c>
      <c r="O241">
        <f ca="1">IF(AND(ISNUMBER($O$478),$B$258=1),$O$478,HLOOKUP(INDIRECT(ADDRESS(2,COLUMN())),OFFSET($BN$2,0,0,ROW()-1,60),ROW()-1,FALSE))</f>
        <v>68.090491369999995</v>
      </c>
      <c r="P241">
        <f ca="1">IF(AND(ISNUMBER($P$478),$B$258=1),$P$478,HLOOKUP(INDIRECT(ADDRESS(2,COLUMN())),OFFSET($BN$2,0,0,ROW()-1,60),ROW()-1,FALSE))</f>
        <v>93.109010209999994</v>
      </c>
      <c r="Q241">
        <f ca="1">IF(AND(ISNUMBER($Q$478),$B$258=1),$Q$478,HLOOKUP(INDIRECT(ADDRESS(2,COLUMN())),OFFSET($BN$2,0,0,ROW()-1,60),ROW()-1,FALSE))</f>
        <v>67.225737120000005</v>
      </c>
      <c r="R241">
        <f ca="1">IF(AND(ISNUMBER($R$478),$B$258=1),$R$478,HLOOKUP(INDIRECT(ADDRESS(2,COLUMN())),OFFSET($BN$2,0,0,ROW()-1,60),ROW()-1,FALSE))</f>
        <v>71.039408739999999</v>
      </c>
      <c r="S241">
        <f ca="1">IF(AND(ISNUMBER($S$478),$B$258=1),$S$478,HLOOKUP(INDIRECT(ADDRESS(2,COLUMN())),OFFSET($BN$2,0,0,ROW()-1,60),ROW()-1,FALSE))</f>
        <v>67.705821130000004</v>
      </c>
      <c r="T241">
        <f ca="1">IF(AND(ISNUMBER($T$478),$B$258=1),$T$478,HLOOKUP(INDIRECT(ADDRESS(2,COLUMN())),OFFSET($BN$2,0,0,ROW()-1,60),ROW()-1,FALSE))</f>
        <v>70.088855640000006</v>
      </c>
      <c r="U241">
        <f ca="1">IF(AND(ISNUMBER($U$478),$B$258=1),$U$478,HLOOKUP(INDIRECT(ADDRESS(2,COLUMN())),OFFSET($BN$2,0,0,ROW()-1,60),ROW()-1,FALSE))</f>
        <v>67.500190020000005</v>
      </c>
      <c r="V241">
        <f ca="1">IF(AND(ISNUMBER($V$478),$B$258=1),$V$478,HLOOKUP(INDIRECT(ADDRESS(2,COLUMN())),OFFSET($BN$2,0,0,ROW()-1,60),ROW()-1,FALSE))</f>
        <v>68.776974530000004</v>
      </c>
      <c r="W241">
        <f ca="1">IF(AND(ISNUMBER($W$478),$B$258=1),$W$478,HLOOKUP(INDIRECT(ADDRESS(2,COLUMN())),OFFSET($BN$2,0,0,ROW()-1,60),ROW()-1,FALSE))</f>
        <v>69.792880210000007</v>
      </c>
      <c r="X241">
        <f ca="1">IF(AND(ISNUMBER($X$478),$B$258=1),$X$478,HLOOKUP(INDIRECT(ADDRESS(2,COLUMN())),OFFSET($BN$2,0,0,ROW()-1,60),ROW()-1,FALSE))</f>
        <v>64.606102719999996</v>
      </c>
      <c r="Y241">
        <f ca="1">IF(AND(ISNUMBER($Y$478),$B$258=1),$Y$478,HLOOKUP(INDIRECT(ADDRESS(2,COLUMN())),OFFSET($BN$2,0,0,ROW()-1,60),ROW()-1,FALSE))</f>
        <v>64.401788850000003</v>
      </c>
      <c r="Z241">
        <f ca="1">IF(AND(ISNUMBER($Z$478),$B$258=1),$Z$478,HLOOKUP(INDIRECT(ADDRESS(2,COLUMN())),OFFSET($BN$2,0,0,ROW()-1,60),ROW()-1,FALSE))</f>
        <v>66.131199120000005</v>
      </c>
      <c r="AA241">
        <f ca="1">IF(AND(ISNUMBER($AA$478),$B$258=1),$AA$478,HLOOKUP(INDIRECT(ADDRESS(2,COLUMN())),OFFSET($BN$2,0,0,ROW()-1,60),ROW()-1,FALSE))</f>
        <v>64.332937819999998</v>
      </c>
      <c r="AB241">
        <f ca="1">IF(AND(ISNUMBER($AB$478),$B$258=1),$AB$478,HLOOKUP(INDIRECT(ADDRESS(2,COLUMN())),OFFSET($BN$2,0,0,ROW()-1,60),ROW()-1,FALSE))</f>
        <v>63.112549999999999</v>
      </c>
      <c r="AC241">
        <f ca="1">IF(AND(ISNUMBER($AC$478),$B$258=1),$AC$478,HLOOKUP(INDIRECT(ADDRESS(2,COLUMN())),OFFSET($BN$2,0,0,ROW()-1,60),ROW()-1,FALSE))</f>
        <v>76.221412529999995</v>
      </c>
      <c r="AD241">
        <f ca="1">IF(AND(ISNUMBER($AD$478),$B$258=1),$AD$478,HLOOKUP(INDIRECT(ADDRESS(2,COLUMN())),OFFSET($BN$2,0,0,ROW()-1,60),ROW()-1,FALSE))</f>
        <v>83.24021956</v>
      </c>
      <c r="AE241">
        <f ca="1">IF(AND(ISNUMBER($AE$478),$B$258=1),$AE$478,HLOOKUP(INDIRECT(ADDRESS(2,COLUMN())),OFFSET($BN$2,0,0,ROW()-1,60),ROW()-1,FALSE))</f>
        <v>46.08573629</v>
      </c>
      <c r="AF241">
        <f ca="1">IF(AND(ISNUMBER($AF$478),$B$258=1),$AF$478,HLOOKUP(INDIRECT(ADDRESS(2,COLUMN())),OFFSET($BN$2,0,0,ROW()-1,60),ROW()-1,FALSE))</f>
        <v>48.789252599999998</v>
      </c>
      <c r="AG241">
        <f ca="1">IF(AND(ISNUMBER($AG$478),$B$258=1),$AG$478,HLOOKUP(INDIRECT(ADDRESS(2,COLUMN())),OFFSET($BN$2,0,0,ROW()-1,60),ROW()-1,FALSE))</f>
        <v>122.9306912</v>
      </c>
      <c r="AH241">
        <f ca="1">IF(AND(ISNUMBER($AH$478),$B$258=1),$AH$478,HLOOKUP(INDIRECT(ADDRESS(2,COLUMN())),OFFSET($BN$2,0,0,ROW()-1,60),ROW()-1,FALSE))</f>
        <v>91.339069989999999</v>
      </c>
      <c r="AI241">
        <f ca="1">IF(AND(ISNUMBER($AI$478),$B$258=1),$AI$478,HLOOKUP(INDIRECT(ADDRESS(2,COLUMN())),OFFSET($BN$2,0,0,ROW()-1,60),ROW()-1,FALSE))</f>
        <v>77.434886599999999</v>
      </c>
      <c r="AJ241">
        <f ca="1">IF(AND(ISNUMBER($AJ$478),$B$258=1),$AJ$478,HLOOKUP(INDIRECT(ADDRESS(2,COLUMN())),OFFSET($BN$2,0,0,ROW()-1,60),ROW()-1,FALSE))</f>
        <v>76.932865419999999</v>
      </c>
      <c r="AK241">
        <f ca="1">IF(AND(ISNUMBER($AK$478),$B$258=1),$AK$478,HLOOKUP(INDIRECT(ADDRESS(2,COLUMN())),OFFSET($BN$2,0,0,ROW()-1,60),ROW()-1,FALSE))</f>
        <v>82.729600700000006</v>
      </c>
      <c r="AL241">
        <f ca="1">IF(AND(ISNUMBER($AL$478),$B$258=1),$AL$478,HLOOKUP(INDIRECT(ADDRESS(2,COLUMN())),OFFSET($BN$2,0,0,ROW()-1,60),ROW()-1,FALSE))</f>
        <v>81.251011969999993</v>
      </c>
      <c r="AM241">
        <f ca="1">IF(AND(ISNUMBER($AM$478),$B$258=1),$AM$478,HLOOKUP(INDIRECT(ADDRESS(2,COLUMN())),OFFSET($BN$2,0,0,ROW()-1,60),ROW()-1,FALSE))</f>
        <v>76.989773360000001</v>
      </c>
      <c r="AN241">
        <f ca="1">IF(AND(ISNUMBER($AN$478),$B$258=1),$AN$478,HLOOKUP(INDIRECT(ADDRESS(2,COLUMN())),OFFSET($BN$2,0,0,ROW()-1,60),ROW()-1,FALSE))</f>
        <v>81.472112850000002</v>
      </c>
      <c r="AO241">
        <f ca="1">IF(AND(ISNUMBER($AO$478),$B$258=1),$AO$478,HLOOKUP(INDIRECT(ADDRESS(2,COLUMN())),OFFSET($BN$2,0,0,ROW()-1,60),ROW()-1,FALSE))</f>
        <v>81.934321400000002</v>
      </c>
      <c r="AP241">
        <f ca="1">IF(AND(ISNUMBER($AP$478),$B$258=1),$AP$478,HLOOKUP(INDIRECT(ADDRESS(2,COLUMN())),OFFSET($BN$2,0,0,ROW()-1,60),ROW()-1,FALSE))</f>
        <v>77.622797039999995</v>
      </c>
      <c r="AQ241">
        <f ca="1">IF(AND(ISNUMBER($AQ$478),$B$258=1),$AQ$478,HLOOKUP(INDIRECT(ADDRESS(2,COLUMN())),OFFSET($BN$2,0,0,ROW()-1,60),ROW()-1,FALSE))</f>
        <v>75.07637665</v>
      </c>
      <c r="AR241">
        <f ca="1">IF(AND(ISNUMBER($AR$478),$B$258=1),$AR$478,HLOOKUP(INDIRECT(ADDRESS(2,COLUMN())),OFFSET($BN$2,0,0,ROW()-1,60),ROW()-1,FALSE))</f>
        <v>63.862983470000003</v>
      </c>
      <c r="AS241">
        <f ca="1">IF(AND(ISNUMBER($AS$478),$B$258=1),$AS$478,HLOOKUP(INDIRECT(ADDRESS(2,COLUMN())),OFFSET($BN$2,0,0,ROW()-1,60),ROW()-1,FALSE))</f>
        <v>70.443060489999993</v>
      </c>
      <c r="AT241">
        <f ca="1">IF(AND(ISNUMBER($AT$478),$B$258=1),$AT$478,HLOOKUP(INDIRECT(ADDRESS(2,COLUMN())),OFFSET($BN$2,0,0,ROW()-1,60),ROW()-1,FALSE))</f>
        <v>68.992155190000005</v>
      </c>
      <c r="AU241">
        <f ca="1">IF(AND(ISNUMBER($AU$478),$B$258=1),$AU$478,HLOOKUP(INDIRECT(ADDRESS(2,COLUMN())),OFFSET($BN$2,0,0,ROW()-1,60),ROW()-1,FALSE))</f>
        <v>71.103639279999996</v>
      </c>
      <c r="AV241">
        <f ca="1">IF(AND(ISNUMBER($AV$478),$B$258=1),$AV$478,HLOOKUP(INDIRECT(ADDRESS(2,COLUMN())),OFFSET($BN$2,0,0,ROW()-1,60),ROW()-1,FALSE))</f>
        <v>65.133231420000001</v>
      </c>
      <c r="AW241">
        <f ca="1">IF(AND(ISNUMBER($AW$478),$B$258=1),$AW$478,HLOOKUP(INDIRECT(ADDRESS(2,COLUMN())),OFFSET($BN$2,0,0,ROW()-1,60),ROW()-1,FALSE))</f>
        <v>51.925803690000002</v>
      </c>
      <c r="AX241">
        <f ca="1">IF(AND(ISNUMBER($AX$478),$B$258=1),$AX$478,HLOOKUP(INDIRECT(ADDRESS(2,COLUMN())),OFFSET($BN$2,0,0,ROW()-1,60),ROW()-1,FALSE))</f>
        <v>64.641060519999996</v>
      </c>
      <c r="AY241">
        <f ca="1">IF(AND(ISNUMBER($AY$478),$B$258=1),$AY$478,HLOOKUP(INDIRECT(ADDRESS(2,COLUMN())),OFFSET($BN$2,0,0,ROW()-1,60),ROW()-1,FALSE))</f>
        <v>62.845959780000001</v>
      </c>
      <c r="AZ241">
        <f ca="1">IF(AND(ISNUMBER($AZ$478),$B$258=1),$AZ$478,HLOOKUP(INDIRECT(ADDRESS(2,COLUMN())),OFFSET($BN$2,0,0,ROW()-1,60),ROW()-1,FALSE))</f>
        <v>66.922317050000004</v>
      </c>
      <c r="BA241">
        <f ca="1">IF(AND(ISNUMBER($BA$478),$B$258=1),$BA$478,HLOOKUP(INDIRECT(ADDRESS(2,COLUMN())),OFFSET($BN$2,0,0,ROW()-1,60),ROW()-1,FALSE))</f>
        <v>70.472770359999998</v>
      </c>
      <c r="BB241">
        <f ca="1">IF(AND(ISNUMBER($BB$478),$B$258=1),$BB$478,HLOOKUP(INDIRECT(ADDRESS(2,COLUMN())),OFFSET($BN$2,0,0,ROW()-1,60),ROW()-1,FALSE))</f>
        <v>71.318317870000001</v>
      </c>
      <c r="BC241">
        <f ca="1">IF(AND(ISNUMBER($BC$478),$B$258=1),$BC$478,HLOOKUP(INDIRECT(ADDRESS(2,COLUMN())),OFFSET($BN$2,0,0,ROW()-1,60),ROW()-1,FALSE))</f>
        <v>51.239660999999998</v>
      </c>
      <c r="BD241">
        <f ca="1">IF(AND(ISNUMBER($BD$478),$B$258=1),$BD$478,HLOOKUP(INDIRECT(ADDRESS(2,COLUMN())),OFFSET($BN$2,0,0,ROW()-1,60),ROW()-1,FALSE))</f>
        <v>65.862946590000007</v>
      </c>
      <c r="BE241">
        <f ca="1">IF(AND(ISNUMBER($BE$478),$B$258=1),$BE$478,HLOOKUP(INDIRECT(ADDRESS(2,COLUMN())),OFFSET($BN$2,0,0,ROW()-1,60),ROW()-1,FALSE))</f>
        <v>70.183875159999999</v>
      </c>
      <c r="BF241">
        <f ca="1">IF(AND(ISNUMBER($BF$478),$B$258=1),$BF$478,HLOOKUP(INDIRECT(ADDRESS(2,COLUMN())),OFFSET($BN$2,0,0,ROW()-1,60),ROW()-1,FALSE))</f>
        <v>74.792676940000007</v>
      </c>
      <c r="BG241">
        <f ca="1">IF(AND(ISNUMBER($BG$478),$B$258=1),$BG$478,HLOOKUP(INDIRECT(ADDRESS(2,COLUMN())),OFFSET($BN$2,0,0,ROW()-1,60),ROW()-1,FALSE))</f>
        <v>68.463417070000006</v>
      </c>
      <c r="BH241">
        <f ca="1">IF(AND(ISNUMBER($BH$478),$B$258=1),$BH$478,HLOOKUP(INDIRECT(ADDRESS(2,COLUMN())),OFFSET($BN$2,0,0,ROW()-1,60),ROW()-1,FALSE))</f>
        <v>71.063003899999998</v>
      </c>
      <c r="BI241">
        <f ca="1">IF(AND(ISNUMBER($BI$478),$B$258=1),$BI$478,HLOOKUP(INDIRECT(ADDRESS(2,COLUMN())),OFFSET($BN$2,0,0,ROW()-1,60),ROW()-1,FALSE))</f>
        <v>72.266288200000005</v>
      </c>
      <c r="BJ241">
        <f ca="1">IF(AND(ISNUMBER($BJ$478),$B$258=1),$BJ$478,HLOOKUP(INDIRECT(ADDRESS(2,COLUMN())),OFFSET($BN$2,0,0,ROW()-1,60),ROW()-1,FALSE))</f>
        <v>77.98835468</v>
      </c>
      <c r="BK241">
        <f ca="1">IF(AND(ISNUMBER($BK$478),$B$258=1),$BK$478,HLOOKUP(INDIRECT(ADDRESS(2,COLUMN())),OFFSET($BN$2,0,0,ROW()-1,60),ROW()-1,FALSE))</f>
        <v>66.486888829999998</v>
      </c>
      <c r="BL241">
        <f ca="1">IF(AND(ISNUMBER($BL$478),$B$258=1),$BL$478,HLOOKUP(INDIRECT(ADDRESS(2,COLUMN())),OFFSET($BN$2,0,0,ROW()-1,60),ROW()-1,FALSE))</f>
        <v>52.681790509999999</v>
      </c>
      <c r="BM241">
        <f ca="1">IF(AND(ISNUMBER($BM$478),$B$258=1),$BM$478,HLOOKUP(INDIRECT(ADDRESS(2,COLUMN())),OFFSET($BN$2,0,0,ROW()-1,60),ROW()-1,FALSE))</f>
        <v>65.742301819999994</v>
      </c>
      <c r="BN241" t="str">
        <f>""</f>
        <v/>
      </c>
      <c r="BO241">
        <f>69.16861786</f>
        <v>69.168617859999998</v>
      </c>
      <c r="BP241">
        <f>75.64675814</f>
        <v>75.646758140000003</v>
      </c>
      <c r="BQ241">
        <f>73.94844217</f>
        <v>73.948442170000007</v>
      </c>
      <c r="BR241">
        <f>75.0348105</f>
        <v>75.034810500000006</v>
      </c>
      <c r="BS241">
        <f>74.00242034</f>
        <v>74.00242034</v>
      </c>
      <c r="BT241">
        <f>71.94629773</f>
        <v>71.946297729999998</v>
      </c>
      <c r="BU241">
        <f>69.4185887</f>
        <v>69.418588700000001</v>
      </c>
      <c r="BV241">
        <f>68.78565424</f>
        <v>68.78565424</v>
      </c>
      <c r="BW241">
        <f>68.09049137</f>
        <v>68.090491369999995</v>
      </c>
      <c r="BX241">
        <f>93.10901021</f>
        <v>93.109010209999994</v>
      </c>
      <c r="BY241">
        <f>67.22573712</f>
        <v>67.225737120000005</v>
      </c>
      <c r="BZ241">
        <f>71.03940874</f>
        <v>71.039408739999999</v>
      </c>
      <c r="CA241">
        <f>67.70582113</f>
        <v>67.705821130000004</v>
      </c>
      <c r="CB241">
        <f>70.08885564</f>
        <v>70.088855640000006</v>
      </c>
      <c r="CC241">
        <f>67.50019002</f>
        <v>67.500190020000005</v>
      </c>
      <c r="CD241">
        <f>68.77697453</f>
        <v>68.776974530000004</v>
      </c>
      <c r="CE241">
        <f>69.79288021</f>
        <v>69.792880210000007</v>
      </c>
      <c r="CF241">
        <f>64.60610272</f>
        <v>64.606102719999996</v>
      </c>
      <c r="CG241">
        <f>64.40178885</f>
        <v>64.401788850000003</v>
      </c>
      <c r="CH241">
        <f>66.13119912</f>
        <v>66.131199120000005</v>
      </c>
      <c r="CI241">
        <f>64.33293782</f>
        <v>64.332937819999998</v>
      </c>
      <c r="CJ241">
        <f>63.11255</f>
        <v>63.112549999999999</v>
      </c>
      <c r="CK241">
        <f>76.22141253</f>
        <v>76.221412529999995</v>
      </c>
      <c r="CL241">
        <f>83.24021956</f>
        <v>83.24021956</v>
      </c>
      <c r="CM241">
        <f>46.08573629</f>
        <v>46.08573629</v>
      </c>
      <c r="CN241">
        <f>48.7892526</f>
        <v>48.789252599999998</v>
      </c>
      <c r="CO241">
        <f>122.9306912</f>
        <v>122.9306912</v>
      </c>
      <c r="CP241">
        <f>91.33906999</f>
        <v>91.339069989999999</v>
      </c>
      <c r="CQ241">
        <f>77.4348866</f>
        <v>77.434886599999999</v>
      </c>
      <c r="CR241">
        <f>76.93286542</f>
        <v>76.932865419999999</v>
      </c>
      <c r="CS241">
        <f>82.7296007</f>
        <v>82.729600700000006</v>
      </c>
      <c r="CT241">
        <f>81.25101197</f>
        <v>81.251011969999993</v>
      </c>
      <c r="CU241">
        <f>76.98977336</f>
        <v>76.989773360000001</v>
      </c>
      <c r="CV241">
        <f>81.47211285</f>
        <v>81.472112850000002</v>
      </c>
      <c r="CW241">
        <f>81.9343214</f>
        <v>81.934321400000002</v>
      </c>
      <c r="CX241">
        <f>77.62279704</f>
        <v>77.622797039999995</v>
      </c>
      <c r="CY241">
        <f>75.07637665</f>
        <v>75.07637665</v>
      </c>
      <c r="CZ241">
        <f>63.86298347</f>
        <v>63.862983470000003</v>
      </c>
      <c r="DA241">
        <f>70.44306049</f>
        <v>70.443060489999993</v>
      </c>
      <c r="DB241">
        <f>68.99215519</f>
        <v>68.992155190000005</v>
      </c>
      <c r="DC241">
        <f>71.10363928</f>
        <v>71.103639279999996</v>
      </c>
      <c r="DD241">
        <f>65.13323142</f>
        <v>65.133231420000001</v>
      </c>
      <c r="DE241">
        <f>51.92580369</f>
        <v>51.925803690000002</v>
      </c>
      <c r="DF241">
        <f>64.64106052</f>
        <v>64.641060519999996</v>
      </c>
      <c r="DG241">
        <f>62.84595978</f>
        <v>62.845959780000001</v>
      </c>
      <c r="DH241">
        <f>66.92231705</f>
        <v>66.922317050000004</v>
      </c>
      <c r="DI241">
        <f>70.47277036</f>
        <v>70.472770359999998</v>
      </c>
      <c r="DJ241">
        <f>71.31831787</f>
        <v>71.318317870000001</v>
      </c>
      <c r="DK241">
        <f>51.239661</f>
        <v>51.239660999999998</v>
      </c>
      <c r="DL241">
        <f>65.86294659</f>
        <v>65.862946590000007</v>
      </c>
      <c r="DM241">
        <f>70.18387516</f>
        <v>70.183875159999999</v>
      </c>
      <c r="DN241">
        <f>74.79267694</f>
        <v>74.792676940000007</v>
      </c>
      <c r="DO241">
        <f>68.46341707</f>
        <v>68.463417070000006</v>
      </c>
      <c r="DP241">
        <f>71.0630039</f>
        <v>71.063003899999998</v>
      </c>
      <c r="DQ241">
        <f>72.2662882</f>
        <v>72.266288200000005</v>
      </c>
      <c r="DR241">
        <f>77.98835468</f>
        <v>77.98835468</v>
      </c>
      <c r="DS241">
        <f>66.48688883</f>
        <v>66.486888829999998</v>
      </c>
      <c r="DT241">
        <f>52.68179051</f>
        <v>52.681790509999999</v>
      </c>
      <c r="DU241">
        <f>65.74230182</f>
        <v>65.742301819999994</v>
      </c>
    </row>
    <row r="242" spans="1:125">
      <c r="A242" t="str">
        <f>"    Welltower Inc"</f>
        <v xml:space="preserve">    Welltower Inc</v>
      </c>
      <c r="B242" t="str">
        <f>"HCN US Equity"</f>
        <v>HCN US Equity</v>
      </c>
      <c r="C242" t="str">
        <f t="shared" si="57"/>
        <v>RR106</v>
      </c>
      <c r="D242" t="str">
        <f t="shared" si="58"/>
        <v>FFO_PAYOUT_RATIO</v>
      </c>
      <c r="E242" t="str">
        <f t="shared" si="59"/>
        <v>动态</v>
      </c>
      <c r="F242" t="str">
        <f ca="1">IF(AND(ISNUMBER($F$479),$B$258=1),$F$479,HLOOKUP(INDIRECT(ADDRESS(2,COLUMN())),OFFSET($BN$2,0,0,ROW()-1,60),ROW()-1,FALSE))</f>
        <v/>
      </c>
      <c r="G242">
        <f ca="1">IF(AND(ISNUMBER($G$479),$B$258=1),$G$479,HLOOKUP(INDIRECT(ADDRESS(2,COLUMN())),OFFSET($BN$2,0,0,ROW()-1,60),ROW()-1,FALSE))</f>
        <v>179.8430735</v>
      </c>
      <c r="H242">
        <f ca="1">IF(AND(ISNUMBER($H$479),$B$258=1),$H$479,HLOOKUP(INDIRECT(ADDRESS(2,COLUMN())),OFFSET($BN$2,0,0,ROW()-1,60),ROW()-1,FALSE))</f>
        <v>108.584221</v>
      </c>
      <c r="I242">
        <f ca="1">IF(AND(ISNUMBER($I$479),$B$258=1),$I$479,HLOOKUP(INDIRECT(ADDRESS(2,COLUMN())),OFFSET($BN$2,0,0,ROW()-1,60),ROW()-1,FALSE))</f>
        <v>82.956341219999999</v>
      </c>
      <c r="J242">
        <f ca="1">IF(AND(ISNUMBER($J$479),$B$258=1),$J$479,HLOOKUP(INDIRECT(ADDRESS(2,COLUMN())),OFFSET($BN$2,0,0,ROW()-1,60),ROW()-1,FALSE))</f>
        <v>102.9990432</v>
      </c>
      <c r="K242">
        <f ca="1">IF(AND(ISNUMBER($K$479),$B$258=1),$K$479,HLOOKUP(INDIRECT(ADDRESS(2,COLUMN())),OFFSET($BN$2,0,0,ROW()-1,60),ROW()-1,FALSE))</f>
        <v>83.522386940000004</v>
      </c>
      <c r="L242">
        <f ca="1">IF(AND(ISNUMBER($L$479),$B$258=1),$L$479,HLOOKUP(INDIRECT(ADDRESS(2,COLUMN())),OFFSET($BN$2,0,0,ROW()-1,60),ROW()-1,FALSE))</f>
        <v>76.811287230000005</v>
      </c>
      <c r="M242">
        <f ca="1">IF(AND(ISNUMBER($M$479),$B$258=1),$M$479,HLOOKUP(INDIRECT(ADDRESS(2,COLUMN())),OFFSET($BN$2,0,0,ROW()-1,60),ROW()-1,FALSE))</f>
        <v>73.557478399999994</v>
      </c>
      <c r="N242">
        <f ca="1">IF(AND(ISNUMBER($N$479),$B$258=1),$N$479,HLOOKUP(INDIRECT(ADDRESS(2,COLUMN())),OFFSET($BN$2,0,0,ROW()-1,60),ROW()-1,FALSE))</f>
        <v>78.149280279999999</v>
      </c>
      <c r="O242">
        <f ca="1">IF(AND(ISNUMBER($O$479),$B$258=1),$O$479,HLOOKUP(INDIRECT(ADDRESS(2,COLUMN())),OFFSET($BN$2,0,0,ROW()-1,60),ROW()-1,FALSE))</f>
        <v>87.733956070000005</v>
      </c>
      <c r="P242">
        <f ca="1">IF(AND(ISNUMBER($P$479),$B$258=1),$P$479,HLOOKUP(INDIRECT(ADDRESS(2,COLUMN())),OFFSET($BN$2,0,0,ROW()-1,60),ROW()-1,FALSE))</f>
        <v>73.976503649999998</v>
      </c>
      <c r="Q242">
        <f ca="1">IF(AND(ISNUMBER($Q$479),$B$258=1),$Q$479,HLOOKUP(INDIRECT(ADDRESS(2,COLUMN())),OFFSET($BN$2,0,0,ROW()-1,60),ROW()-1,FALSE))</f>
        <v>84.954549189999994</v>
      </c>
      <c r="R242">
        <f ca="1">IF(AND(ISNUMBER($R$479),$B$258=1),$R$479,HLOOKUP(INDIRECT(ADDRESS(2,COLUMN())),OFFSET($BN$2,0,0,ROW()-1,60),ROW()-1,FALSE))</f>
        <v>79.177632529999997</v>
      </c>
      <c r="S242">
        <f ca="1">IF(AND(ISNUMBER($S$479),$B$258=1),$S$479,HLOOKUP(INDIRECT(ADDRESS(2,COLUMN())),OFFSET($BN$2,0,0,ROW()-1,60),ROW()-1,FALSE))</f>
        <v>91.508435379999995</v>
      </c>
      <c r="T242">
        <f ca="1">IF(AND(ISNUMBER($T$479),$B$258=1),$T$479,HLOOKUP(INDIRECT(ADDRESS(2,COLUMN())),OFFSET($BN$2,0,0,ROW()-1,60),ROW()-1,FALSE))</f>
        <v>78.144909200000001</v>
      </c>
      <c r="U242">
        <f ca="1">IF(AND(ISNUMBER($U$479),$B$258=1),$U$479,HLOOKUP(INDIRECT(ADDRESS(2,COLUMN())),OFFSET($BN$2,0,0,ROW()-1,60),ROW()-1,FALSE))</f>
        <v>82.859336139999996</v>
      </c>
      <c r="V242">
        <f ca="1">IF(AND(ISNUMBER($V$479),$B$258=1),$V$479,HLOOKUP(INDIRECT(ADDRESS(2,COLUMN())),OFFSET($BN$2,0,0,ROW()-1,60),ROW()-1,FALSE))</f>
        <v>79.916413610000006</v>
      </c>
      <c r="W242">
        <f ca="1">IF(AND(ISNUMBER($W$479),$B$258=1),$W$479,HLOOKUP(INDIRECT(ADDRESS(2,COLUMN())),OFFSET($BN$2,0,0,ROW()-1,60),ROW()-1,FALSE))</f>
        <v>83.352950500000006</v>
      </c>
      <c r="X242">
        <f ca="1">IF(AND(ISNUMBER($X$479),$B$258=1),$X$479,HLOOKUP(INDIRECT(ADDRESS(2,COLUMN())),OFFSET($BN$2,0,0,ROW()-1,60),ROW()-1,FALSE))</f>
        <v>84.721892019999999</v>
      </c>
      <c r="Y242">
        <f ca="1">IF(AND(ISNUMBER($Y$479),$B$258=1),$Y$479,HLOOKUP(INDIRECT(ADDRESS(2,COLUMN())),OFFSET($BN$2,0,0,ROW()-1,60),ROW()-1,FALSE))</f>
        <v>86.822071739999998</v>
      </c>
      <c r="Z242">
        <f ca="1">IF(AND(ISNUMBER($Z$479),$B$258=1),$Z$479,HLOOKUP(INDIRECT(ADDRESS(2,COLUMN())),OFFSET($BN$2,0,0,ROW()-1,60),ROW()-1,FALSE))</f>
        <v>116.7768818</v>
      </c>
      <c r="AA242">
        <f ca="1">IF(AND(ISNUMBER($AA$479),$B$258=1),$AA$479,HLOOKUP(INDIRECT(ADDRESS(2,COLUMN())),OFFSET($BN$2,0,0,ROW()-1,60),ROW()-1,FALSE))</f>
        <v>93.575911860000005</v>
      </c>
      <c r="AB242">
        <f ca="1">IF(AND(ISNUMBER($AB$479),$B$258=1),$AB$479,HLOOKUP(INDIRECT(ADDRESS(2,COLUMN())),OFFSET($BN$2,0,0,ROW()-1,60),ROW()-1,FALSE))</f>
        <v>93.385854440000003</v>
      </c>
      <c r="AC242">
        <f ca="1">IF(AND(ISNUMBER($AC$479),$B$258=1),$AC$479,HLOOKUP(INDIRECT(ADDRESS(2,COLUMN())),OFFSET($BN$2,0,0,ROW()-1,60),ROW()-1,FALSE))</f>
        <v>100.4134717</v>
      </c>
      <c r="AD242">
        <f ca="1">IF(AND(ISNUMBER($AD$479),$B$258=1),$AD$479,HLOOKUP(INDIRECT(ADDRESS(2,COLUMN())),OFFSET($BN$2,0,0,ROW()-1,60),ROW()-1,FALSE))</f>
        <v>87.221784850000006</v>
      </c>
      <c r="AE242">
        <f ca="1">IF(AND(ISNUMBER($AE$479),$B$258=1),$AE$479,HLOOKUP(INDIRECT(ADDRESS(2,COLUMN())),OFFSET($BN$2,0,0,ROW()-1,60),ROW()-1,FALSE))</f>
        <v>86.094246690000006</v>
      </c>
      <c r="AF242">
        <f ca="1">IF(AND(ISNUMBER($AF$479),$B$258=1),$AF$479,HLOOKUP(INDIRECT(ADDRESS(2,COLUMN())),OFFSET($BN$2,0,0,ROW()-1,60),ROW()-1,FALSE))</f>
        <v>84.512156200000007</v>
      </c>
      <c r="AG242">
        <f ca="1">IF(AND(ISNUMBER($AG$479),$B$258=1),$AG$479,HLOOKUP(INDIRECT(ADDRESS(2,COLUMN())),OFFSET($BN$2,0,0,ROW()-1,60),ROW()-1,FALSE))</f>
        <v>84.602114299999997</v>
      </c>
      <c r="AH242">
        <f ca="1">IF(AND(ISNUMBER($AH$479),$B$258=1),$AH$479,HLOOKUP(INDIRECT(ADDRESS(2,COLUMN())),OFFSET($BN$2,0,0,ROW()-1,60),ROW()-1,FALSE))</f>
        <v>143.61110719999999</v>
      </c>
      <c r="AI242">
        <f ca="1">IF(AND(ISNUMBER($AI$479),$B$258=1),$AI$479,HLOOKUP(INDIRECT(ADDRESS(2,COLUMN())),OFFSET($BN$2,0,0,ROW()-1,60),ROW()-1,FALSE))</f>
        <v>112.03354880000001</v>
      </c>
      <c r="AJ242">
        <f ca="1">IF(AND(ISNUMBER($AJ$479),$B$258=1),$AJ$479,HLOOKUP(INDIRECT(ADDRESS(2,COLUMN())),OFFSET($BN$2,0,0,ROW()-1,60),ROW()-1,FALSE))</f>
        <v>222.5586442</v>
      </c>
      <c r="AK242">
        <f ca="1">IF(AND(ISNUMBER($AK$479),$B$258=1),$AK$479,HLOOKUP(INDIRECT(ADDRESS(2,COLUMN())),OFFSET($BN$2,0,0,ROW()-1,60),ROW()-1,FALSE))</f>
        <v>91.684559829999998</v>
      </c>
      <c r="AL242">
        <f ca="1">IF(AND(ISNUMBER($AL$479),$B$258=1),$AL$479,HLOOKUP(INDIRECT(ADDRESS(2,COLUMN())),OFFSET($BN$2,0,0,ROW()-1,60),ROW()-1,FALSE))</f>
        <v>133.97847419999999</v>
      </c>
      <c r="AM242">
        <f ca="1">IF(AND(ISNUMBER($AM$479),$B$258=1),$AM$479,HLOOKUP(INDIRECT(ADDRESS(2,COLUMN())),OFFSET($BN$2,0,0,ROW()-1,60),ROW()-1,FALSE))</f>
        <v>148.22526199999999</v>
      </c>
      <c r="AN242">
        <f ca="1">IF(AND(ISNUMBER($AN$479),$B$258=1),$AN$479,HLOOKUP(INDIRECT(ADDRESS(2,COLUMN())),OFFSET($BN$2,0,0,ROW()-1,60),ROW()-1,FALSE))</f>
        <v>128.1970689</v>
      </c>
      <c r="AO242">
        <f ca="1">IF(AND(ISNUMBER($AO$479),$B$258=1),$AO$479,HLOOKUP(INDIRECT(ADDRESS(2,COLUMN())),OFFSET($BN$2,0,0,ROW()-1,60),ROW()-1,FALSE))</f>
        <v>84.508525120000002</v>
      </c>
      <c r="AP242">
        <f ca="1">IF(AND(ISNUMBER($AP$479),$B$258=1),$AP$479,HLOOKUP(INDIRECT(ADDRESS(2,COLUMN())),OFFSET($BN$2,0,0,ROW()-1,60),ROW()-1,FALSE))</f>
        <v>89.057921759999999</v>
      </c>
      <c r="AQ242">
        <f ca="1">IF(AND(ISNUMBER($AQ$479),$B$258=1),$AQ$479,HLOOKUP(INDIRECT(ADDRESS(2,COLUMN())),OFFSET($BN$2,0,0,ROW()-1,60),ROW()-1,FALSE))</f>
        <v>226.81584419999999</v>
      </c>
      <c r="AR242">
        <f ca="1">IF(AND(ISNUMBER($AR$479),$B$258=1),$AR$479,HLOOKUP(INDIRECT(ADDRESS(2,COLUMN())),OFFSET($BN$2,0,0,ROW()-1,60),ROW()-1,FALSE))</f>
        <v>79.090259529999997</v>
      </c>
      <c r="AS242">
        <f ca="1">IF(AND(ISNUMBER($AS$479),$B$258=1),$AS$479,HLOOKUP(INDIRECT(ADDRESS(2,COLUMN())),OFFSET($BN$2,0,0,ROW()-1,60),ROW()-1,FALSE))</f>
        <v>79.077840719999998</v>
      </c>
      <c r="AT242">
        <f ca="1">IF(AND(ISNUMBER($AT$479),$B$258=1),$AT$479,HLOOKUP(INDIRECT(ADDRESS(2,COLUMN())),OFFSET($BN$2,0,0,ROW()-1,60),ROW()-1,FALSE))</f>
        <v>83.233881530000005</v>
      </c>
      <c r="AU242">
        <f ca="1">IF(AND(ISNUMBER($AU$479),$B$258=1),$AU$479,HLOOKUP(INDIRECT(ADDRESS(2,COLUMN())),OFFSET($BN$2,0,0,ROW()-1,60),ROW()-1,FALSE))</f>
        <v>177.11332089999999</v>
      </c>
      <c r="AV242">
        <f ca="1">IF(AND(ISNUMBER($AV$479),$B$258=1),$AV$479,HLOOKUP(INDIRECT(ADDRESS(2,COLUMN())),OFFSET($BN$2,0,0,ROW()-1,60),ROW()-1,FALSE))</f>
        <v>83.45386182</v>
      </c>
      <c r="AW242">
        <f ca="1">IF(AND(ISNUMBER($AW$479),$B$258=1),$AW$479,HLOOKUP(INDIRECT(ADDRESS(2,COLUMN())),OFFSET($BN$2,0,0,ROW()-1,60),ROW()-1,FALSE))</f>
        <v>86.996448760000007</v>
      </c>
      <c r="AX242">
        <f ca="1">IF(AND(ISNUMBER($AX$479),$B$258=1),$AX$479,HLOOKUP(INDIRECT(ADDRESS(2,COLUMN())),OFFSET($BN$2,0,0,ROW()-1,60),ROW()-1,FALSE))</f>
        <v>39.648086540000001</v>
      </c>
      <c r="AY242">
        <f ca="1">IF(AND(ISNUMBER($AY$479),$B$258=1),$AY$479,HLOOKUP(INDIRECT(ADDRESS(2,COLUMN())),OFFSET($BN$2,0,0,ROW()-1,60),ROW()-1,FALSE))</f>
        <v>141.81450169999999</v>
      </c>
      <c r="AZ242">
        <f ca="1">IF(AND(ISNUMBER($AZ$479),$B$258=1),$AZ$479,HLOOKUP(INDIRECT(ADDRESS(2,COLUMN())),OFFSET($BN$2,0,0,ROW()-1,60),ROW()-1,FALSE))</f>
        <v>87.257375870000004</v>
      </c>
      <c r="BA242">
        <f ca="1">IF(AND(ISNUMBER($BA$479),$B$258=1),$BA$479,HLOOKUP(INDIRECT(ADDRESS(2,COLUMN())),OFFSET($BN$2,0,0,ROW()-1,60),ROW()-1,FALSE))</f>
        <v>85.874689340000003</v>
      </c>
      <c r="BB242">
        <f ca="1">IF(AND(ISNUMBER($BB$479),$B$258=1),$BB$479,HLOOKUP(INDIRECT(ADDRESS(2,COLUMN())),OFFSET($BN$2,0,0,ROW()-1,60),ROW()-1,FALSE))</f>
        <v>87.834308649999997</v>
      </c>
      <c r="BC242">
        <f ca="1">IF(AND(ISNUMBER($BC$479),$B$258=1),$BC$479,HLOOKUP(INDIRECT(ADDRESS(2,COLUMN())),OFFSET($BN$2,0,0,ROW()-1,60),ROW()-1,FALSE))</f>
        <v>174.790401</v>
      </c>
      <c r="BD242">
        <f ca="1">IF(AND(ISNUMBER($BD$479),$B$258=1),$BD$479,HLOOKUP(INDIRECT(ADDRESS(2,COLUMN())),OFFSET($BN$2,0,0,ROW()-1,60),ROW()-1,FALSE))</f>
        <v>79.804645620000002</v>
      </c>
      <c r="BE242">
        <f ca="1">IF(AND(ISNUMBER($BE$479),$B$258=1),$BE$479,HLOOKUP(INDIRECT(ADDRESS(2,COLUMN())),OFFSET($BN$2,0,0,ROW()-1,60),ROW()-1,FALSE))</f>
        <v>170.75719359999999</v>
      </c>
      <c r="BF242">
        <f ca="1">IF(AND(ISNUMBER($BF$479),$B$258=1),$BF$479,HLOOKUP(INDIRECT(ADDRESS(2,COLUMN())),OFFSET($BN$2,0,0,ROW()-1,60),ROW()-1,FALSE))</f>
        <v>83.309405100000006</v>
      </c>
      <c r="BG242">
        <f ca="1">IF(AND(ISNUMBER($BG$479),$B$258=1),$BG$479,HLOOKUP(INDIRECT(ADDRESS(2,COLUMN())),OFFSET($BN$2,0,0,ROW()-1,60),ROW()-1,FALSE))</f>
        <v>85.083109919999998</v>
      </c>
      <c r="BH242" t="str">
        <f ca="1">IF(AND(ISNUMBER($BH$479),$B$258=1),$BH$479,HLOOKUP(INDIRECT(ADDRESS(2,COLUMN())),OFFSET($BN$2,0,0,ROW()-1,60),ROW()-1,FALSE))</f>
        <v/>
      </c>
      <c r="BI242" t="str">
        <f ca="1">IF(AND(ISNUMBER($BI$479),$B$258=1),$BI$479,HLOOKUP(INDIRECT(ADDRESS(2,COLUMN())),OFFSET($BN$2,0,0,ROW()-1,60),ROW()-1,FALSE))</f>
        <v/>
      </c>
      <c r="BJ242" t="str">
        <f ca="1">IF(AND(ISNUMBER($BJ$479),$B$258=1),$BJ$479,HLOOKUP(INDIRECT(ADDRESS(2,COLUMN())),OFFSET($BN$2,0,0,ROW()-1,60),ROW()-1,FALSE))</f>
        <v/>
      </c>
      <c r="BK242">
        <f ca="1">IF(AND(ISNUMBER($BK$479),$B$258=1),$BK$479,HLOOKUP(INDIRECT(ADDRESS(2,COLUMN())),OFFSET($BN$2,0,0,ROW()-1,60),ROW()-1,FALSE))</f>
        <v>80.343352949999996</v>
      </c>
      <c r="BL242" t="str">
        <f ca="1">IF(AND(ISNUMBER($BL$479),$B$258=1),$BL$479,HLOOKUP(INDIRECT(ADDRESS(2,COLUMN())),OFFSET($BN$2,0,0,ROW()-1,60),ROW()-1,FALSE))</f>
        <v/>
      </c>
      <c r="BM242" t="str">
        <f ca="1">IF(AND(ISNUMBER($BM$479),$B$258=1),$BM$479,HLOOKUP(INDIRECT(ADDRESS(2,COLUMN())),OFFSET($BN$2,0,0,ROW()-1,60),ROW()-1,FALSE))</f>
        <v/>
      </c>
      <c r="BN242" t="str">
        <f>""</f>
        <v/>
      </c>
      <c r="BO242">
        <f>179.8430735</f>
        <v>179.8430735</v>
      </c>
      <c r="BP242">
        <f>108.584221</f>
        <v>108.584221</v>
      </c>
      <c r="BQ242">
        <f>82.95634122</f>
        <v>82.956341219999999</v>
      </c>
      <c r="BR242">
        <f>102.9990432</f>
        <v>102.9990432</v>
      </c>
      <c r="BS242">
        <f>83.52238694</f>
        <v>83.522386940000004</v>
      </c>
      <c r="BT242">
        <f>76.81128723</f>
        <v>76.811287230000005</v>
      </c>
      <c r="BU242">
        <f>73.5574784</f>
        <v>73.557478399999994</v>
      </c>
      <c r="BV242">
        <f>78.14928028</f>
        <v>78.149280279999999</v>
      </c>
      <c r="BW242">
        <f>87.73395607</f>
        <v>87.733956070000005</v>
      </c>
      <c r="BX242">
        <f>73.97650365</f>
        <v>73.976503649999998</v>
      </c>
      <c r="BY242">
        <f>84.95454919</f>
        <v>84.954549189999994</v>
      </c>
      <c r="BZ242">
        <f>79.17763253</f>
        <v>79.177632529999997</v>
      </c>
      <c r="CA242">
        <f>91.50843538</f>
        <v>91.508435379999995</v>
      </c>
      <c r="CB242">
        <f>78.1449092</f>
        <v>78.144909200000001</v>
      </c>
      <c r="CC242">
        <f>82.85933614</f>
        <v>82.859336139999996</v>
      </c>
      <c r="CD242">
        <f>79.91641361</f>
        <v>79.916413610000006</v>
      </c>
      <c r="CE242">
        <f>83.3529505</f>
        <v>83.352950500000006</v>
      </c>
      <c r="CF242">
        <f>84.72189202</f>
        <v>84.721892019999999</v>
      </c>
      <c r="CG242">
        <f>86.82207174</f>
        <v>86.822071739999998</v>
      </c>
      <c r="CH242">
        <f>116.7768818</f>
        <v>116.7768818</v>
      </c>
      <c r="CI242">
        <f>93.57591186</f>
        <v>93.575911860000005</v>
      </c>
      <c r="CJ242">
        <f>93.38585444</f>
        <v>93.385854440000003</v>
      </c>
      <c r="CK242">
        <f>100.4134717</f>
        <v>100.4134717</v>
      </c>
      <c r="CL242">
        <f>87.22178485</f>
        <v>87.221784850000006</v>
      </c>
      <c r="CM242">
        <f>86.09424669</f>
        <v>86.094246690000006</v>
      </c>
      <c r="CN242">
        <f>84.5121562</f>
        <v>84.512156200000007</v>
      </c>
      <c r="CO242">
        <f>84.6021143</f>
        <v>84.602114299999997</v>
      </c>
      <c r="CP242">
        <f>143.6111072</f>
        <v>143.61110719999999</v>
      </c>
      <c r="CQ242">
        <f>112.0335488</f>
        <v>112.03354880000001</v>
      </c>
      <c r="CR242">
        <f>222.5586442</f>
        <v>222.5586442</v>
      </c>
      <c r="CS242">
        <f>91.68455983</f>
        <v>91.684559829999998</v>
      </c>
      <c r="CT242">
        <f>133.9784742</f>
        <v>133.97847419999999</v>
      </c>
      <c r="CU242">
        <f>148.225262</f>
        <v>148.22526199999999</v>
      </c>
      <c r="CV242">
        <f>128.1970689</f>
        <v>128.1970689</v>
      </c>
      <c r="CW242">
        <f>84.50852512</f>
        <v>84.508525120000002</v>
      </c>
      <c r="CX242">
        <f>89.05792176</f>
        <v>89.057921759999999</v>
      </c>
      <c r="CY242">
        <f>226.8158442</f>
        <v>226.81584419999999</v>
      </c>
      <c r="CZ242">
        <f>79.09025953</f>
        <v>79.090259529999997</v>
      </c>
      <c r="DA242">
        <f>79.07784072</f>
        <v>79.077840719999998</v>
      </c>
      <c r="DB242">
        <f>83.23388153</f>
        <v>83.233881530000005</v>
      </c>
      <c r="DC242">
        <f>177.1133209</f>
        <v>177.11332089999999</v>
      </c>
      <c r="DD242">
        <f>83.45386182</f>
        <v>83.45386182</v>
      </c>
      <c r="DE242">
        <f>86.99644876</f>
        <v>86.996448760000007</v>
      </c>
      <c r="DF242">
        <f>39.64808654</f>
        <v>39.648086540000001</v>
      </c>
      <c r="DG242">
        <f>141.8145017</f>
        <v>141.81450169999999</v>
      </c>
      <c r="DH242">
        <f>87.25737587</f>
        <v>87.257375870000004</v>
      </c>
      <c r="DI242">
        <f>85.87468934</f>
        <v>85.874689340000003</v>
      </c>
      <c r="DJ242">
        <f>87.83430865</f>
        <v>87.834308649999997</v>
      </c>
      <c r="DK242">
        <f>174.790401</f>
        <v>174.790401</v>
      </c>
      <c r="DL242">
        <f>79.80464562</f>
        <v>79.804645620000002</v>
      </c>
      <c r="DM242">
        <f>170.7571936</f>
        <v>170.75719359999999</v>
      </c>
      <c r="DN242">
        <f>83.3094051</f>
        <v>83.309405100000006</v>
      </c>
      <c r="DO242">
        <f>85.08310992</f>
        <v>85.083109919999998</v>
      </c>
      <c r="DP242" t="str">
        <f>""</f>
        <v/>
      </c>
      <c r="DQ242" t="str">
        <f>""</f>
        <v/>
      </c>
      <c r="DR242" t="str">
        <f>""</f>
        <v/>
      </c>
      <c r="DS242">
        <f>80.34335295</f>
        <v>80.343352949999996</v>
      </c>
      <c r="DT242" t="str">
        <f>""</f>
        <v/>
      </c>
      <c r="DU242" t="str">
        <f>""</f>
        <v/>
      </c>
    </row>
    <row r="243" spans="1:125"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>
      <c r="A250" t="str">
        <f t="shared" ref="A250:AF250" si="60">"~~~~~~~~~~"</f>
        <v>~~~~~~~~~~</v>
      </c>
      <c r="B250" t="str">
        <f t="shared" si="60"/>
        <v>~~~~~~~~~~</v>
      </c>
      <c r="C250" t="str">
        <f t="shared" si="60"/>
        <v>~~~~~~~~~~</v>
      </c>
      <c r="D250" t="str">
        <f t="shared" si="60"/>
        <v>~~~~~~~~~~</v>
      </c>
      <c r="E250" t="str">
        <f t="shared" si="60"/>
        <v>~~~~~~~~~~</v>
      </c>
      <c r="F250" t="str">
        <f t="shared" si="60"/>
        <v>~~~~~~~~~~</v>
      </c>
      <c r="G250" t="str">
        <f t="shared" si="60"/>
        <v>~~~~~~~~~~</v>
      </c>
      <c r="H250" t="str">
        <f t="shared" si="60"/>
        <v>~~~~~~~~~~</v>
      </c>
      <c r="I250" t="str">
        <f t="shared" si="60"/>
        <v>~~~~~~~~~~</v>
      </c>
      <c r="J250" t="str">
        <f t="shared" si="60"/>
        <v>~~~~~~~~~~</v>
      </c>
      <c r="K250" t="str">
        <f t="shared" si="60"/>
        <v>~~~~~~~~~~</v>
      </c>
      <c r="L250" t="str">
        <f t="shared" si="60"/>
        <v>~~~~~~~~~~</v>
      </c>
      <c r="M250" t="str">
        <f t="shared" si="60"/>
        <v>~~~~~~~~~~</v>
      </c>
      <c r="N250" t="str">
        <f t="shared" si="60"/>
        <v>~~~~~~~~~~</v>
      </c>
      <c r="O250" t="str">
        <f t="shared" si="60"/>
        <v>~~~~~~~~~~</v>
      </c>
      <c r="P250" t="str">
        <f t="shared" si="60"/>
        <v>~~~~~~~~~~</v>
      </c>
      <c r="Q250" t="str">
        <f t="shared" si="60"/>
        <v>~~~~~~~~~~</v>
      </c>
      <c r="R250" t="str">
        <f t="shared" si="60"/>
        <v>~~~~~~~~~~</v>
      </c>
      <c r="S250" t="str">
        <f t="shared" si="60"/>
        <v>~~~~~~~~~~</v>
      </c>
      <c r="T250" t="str">
        <f t="shared" si="60"/>
        <v>~~~~~~~~~~</v>
      </c>
      <c r="U250" t="str">
        <f t="shared" si="60"/>
        <v>~~~~~~~~~~</v>
      </c>
      <c r="V250" t="str">
        <f t="shared" si="60"/>
        <v>~~~~~~~~~~</v>
      </c>
      <c r="W250" t="str">
        <f t="shared" si="60"/>
        <v>~~~~~~~~~~</v>
      </c>
      <c r="X250" t="str">
        <f t="shared" si="60"/>
        <v>~~~~~~~~~~</v>
      </c>
      <c r="Y250" t="str">
        <f t="shared" si="60"/>
        <v>~~~~~~~~~~</v>
      </c>
      <c r="Z250" t="str">
        <f t="shared" si="60"/>
        <v>~~~~~~~~~~</v>
      </c>
      <c r="AA250" t="str">
        <f t="shared" si="60"/>
        <v>~~~~~~~~~~</v>
      </c>
      <c r="AB250" t="str">
        <f t="shared" si="60"/>
        <v>~~~~~~~~~~</v>
      </c>
      <c r="AC250" t="str">
        <f t="shared" si="60"/>
        <v>~~~~~~~~~~</v>
      </c>
      <c r="AD250" t="str">
        <f t="shared" si="60"/>
        <v>~~~~~~~~~~</v>
      </c>
      <c r="AE250" t="str">
        <f t="shared" si="60"/>
        <v>~~~~~~~~~~</v>
      </c>
      <c r="AF250" t="str">
        <f t="shared" si="60"/>
        <v>~~~~~~~~~~</v>
      </c>
      <c r="AG250" t="str">
        <f t="shared" ref="AG250:BM250" si="61">"~~~~~~~~~~"</f>
        <v>~~~~~~~~~~</v>
      </c>
      <c r="AH250" t="str">
        <f t="shared" si="61"/>
        <v>~~~~~~~~~~</v>
      </c>
      <c r="AI250" t="str">
        <f t="shared" si="61"/>
        <v>~~~~~~~~~~</v>
      </c>
      <c r="AJ250" t="str">
        <f t="shared" si="61"/>
        <v>~~~~~~~~~~</v>
      </c>
      <c r="AK250" t="str">
        <f t="shared" si="61"/>
        <v>~~~~~~~~~~</v>
      </c>
      <c r="AL250" t="str">
        <f t="shared" si="61"/>
        <v>~~~~~~~~~~</v>
      </c>
      <c r="AM250" t="str">
        <f t="shared" si="61"/>
        <v>~~~~~~~~~~</v>
      </c>
      <c r="AN250" t="str">
        <f t="shared" si="61"/>
        <v>~~~~~~~~~~</v>
      </c>
      <c r="AO250" t="str">
        <f t="shared" si="61"/>
        <v>~~~~~~~~~~</v>
      </c>
      <c r="AP250" t="str">
        <f t="shared" si="61"/>
        <v>~~~~~~~~~~</v>
      </c>
      <c r="AQ250" t="str">
        <f t="shared" si="61"/>
        <v>~~~~~~~~~~</v>
      </c>
      <c r="AR250" t="str">
        <f t="shared" si="61"/>
        <v>~~~~~~~~~~</v>
      </c>
      <c r="AS250" t="str">
        <f t="shared" si="61"/>
        <v>~~~~~~~~~~</v>
      </c>
      <c r="AT250" t="str">
        <f t="shared" si="61"/>
        <v>~~~~~~~~~~</v>
      </c>
      <c r="AU250" t="str">
        <f t="shared" si="61"/>
        <v>~~~~~~~~~~</v>
      </c>
      <c r="AV250" t="str">
        <f t="shared" si="61"/>
        <v>~~~~~~~~~~</v>
      </c>
      <c r="AW250" t="str">
        <f t="shared" si="61"/>
        <v>~~~~~~~~~~</v>
      </c>
      <c r="AX250" t="str">
        <f t="shared" si="61"/>
        <v>~~~~~~~~~~</v>
      </c>
      <c r="AY250" t="str">
        <f t="shared" si="61"/>
        <v>~~~~~~~~~~</v>
      </c>
      <c r="AZ250" t="str">
        <f t="shared" si="61"/>
        <v>~~~~~~~~~~</v>
      </c>
      <c r="BA250" t="str">
        <f t="shared" si="61"/>
        <v>~~~~~~~~~~</v>
      </c>
      <c r="BB250" t="str">
        <f t="shared" si="61"/>
        <v>~~~~~~~~~~</v>
      </c>
      <c r="BC250" t="str">
        <f t="shared" si="61"/>
        <v>~~~~~~~~~~</v>
      </c>
      <c r="BD250" t="str">
        <f t="shared" si="61"/>
        <v>~~~~~~~~~~</v>
      </c>
      <c r="BE250" t="str">
        <f t="shared" si="61"/>
        <v>~~~~~~~~~~</v>
      </c>
      <c r="BF250" t="str">
        <f t="shared" si="61"/>
        <v>~~~~~~~~~~</v>
      </c>
      <c r="BG250" t="str">
        <f t="shared" si="61"/>
        <v>~~~~~~~~~~</v>
      </c>
      <c r="BH250" t="str">
        <f t="shared" si="61"/>
        <v>~~~~~~~~~~</v>
      </c>
      <c r="BI250" t="str">
        <f t="shared" si="61"/>
        <v>~~~~~~~~~~</v>
      </c>
      <c r="BJ250" t="str">
        <f t="shared" si="61"/>
        <v>~~~~~~~~~~</v>
      </c>
      <c r="BK250" t="str">
        <f t="shared" si="61"/>
        <v>~~~~~~~~~~</v>
      </c>
      <c r="BL250" t="str">
        <f t="shared" si="61"/>
        <v>~~~~~~~~~~</v>
      </c>
      <c r="BM250" t="str">
        <f t="shared" si="61"/>
        <v>~~~~~~~~~~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>
      <c r="A251" t="str">
        <f>"通过上面公式行而添加下列所有数据行以供参考之用。"</f>
        <v>通过上面公式行而添加下列所有数据行以供参考之用。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>
      <c r="A252">
        <f>RTD("bloomberg.ccyreader", "", "#track", "DBG", "BIHITX", "1.0","RepeatHit")</f>
        <v>0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>
      <c r="A253" t="str">
        <f>"货币"</f>
        <v>货币</v>
      </c>
      <c r="B253" t="str">
        <f>"USD"</f>
        <v>USD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>
      <c r="A254" t="str">
        <f>"周期"</f>
        <v>周期</v>
      </c>
      <c r="B254" t="str">
        <f>"CQ"</f>
        <v>CQ</v>
      </c>
      <c r="C254" t="str">
        <f>"AQ"</f>
        <v>AQ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>
      <c r="A255" t="str">
        <f>"周期数"</f>
        <v>周期数</v>
      </c>
      <c r="B255">
        <f>60</f>
        <v>60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>
      <c r="A256" t="str">
        <f>"起始日期"</f>
        <v>起始日期</v>
      </c>
      <c r="B256" t="str">
        <f>CONCATENATE("-",$B$255,$B$254)</f>
        <v>-60CQ</v>
      </c>
      <c r="C256" t="str">
        <f>CONCATENATE("-",$B$255,$C$254)</f>
        <v>-60AQ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>
      <c r="A257" t="str">
        <f>"End Date"</f>
        <v>End Date</v>
      </c>
      <c r="B257">
        <f ca="1">IF(TODAY()&lt;DATE(2018, 3,31),DATE(2018, 3,31),TODAY())</f>
        <v>43190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>
      <c r="A258" t="str">
        <f>"HeaderStatus(custom data)"</f>
        <v>HeaderStatus(custom data)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>
      <c r="A260" t="str">
        <f>$A$4</f>
        <v xml:space="preserve">    Alexandria Real Estate Equitie</v>
      </c>
      <c r="B260" t="str">
        <f>$B$4</f>
        <v>ARE US Equity</v>
      </c>
      <c r="C260" t="str">
        <f>$C$4</f>
        <v>IS030</v>
      </c>
      <c r="D260" t="str">
        <f>$D$4</f>
        <v>IS_RENT_INC</v>
      </c>
      <c r="E260" t="str">
        <f>$E$4</f>
        <v>动态</v>
      </c>
      <c r="F260" t="str">
        <f ca="1">BDH($B$4,$C$4,$B$256,$B$257,CONCATENATE("Per=",$B$254),"Dts=H","Dir=H",CONCATENATE("Points=",$B$255),"Sort=R","Days=A","Fill=B",CONCATENATE("FX=", $B$253) )</f>
        <v>#N/A Authorization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>
      <c r="A261" t="str">
        <f>$A$5</f>
        <v xml:space="preserve">    Care Capital Properties Inc</v>
      </c>
      <c r="B261" t="str">
        <f>$B$5</f>
        <v>CCP US Equity</v>
      </c>
      <c r="C261" t="str">
        <f>$C$5</f>
        <v>IS030</v>
      </c>
      <c r="D261" t="str">
        <f>$D$5</f>
        <v>IS_RENT_INC</v>
      </c>
      <c r="E261" t="str">
        <f>$E$5</f>
        <v>动态</v>
      </c>
      <c r="F261" t="str">
        <f ca="1">BDH($B$5,$C$5,$B$256,$B$257,CONCATENATE("Per=",$B$254),"Dts=H","Dir=H",CONCATENATE("Points=",$B$255),"Sort=R","Days=A","Fill=B",CONCATENATE("FX=", $B$253) )</f>
        <v>#N/A Authorization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>
      <c r="A262" t="str">
        <f>$A$6</f>
        <v xml:space="preserve">    HCP Inc</v>
      </c>
      <c r="B262" t="str">
        <f>$B$6</f>
        <v>HCP US Equity</v>
      </c>
      <c r="C262" t="str">
        <f>$C$6</f>
        <v>IS030</v>
      </c>
      <c r="D262" t="str">
        <f>$D$6</f>
        <v>IS_RENT_INC</v>
      </c>
      <c r="E262" t="str">
        <f>$E$6</f>
        <v>动态</v>
      </c>
      <c r="F262" t="str">
        <f ca="1">BDH($B$6,$C$6,$B$256,$B$257,CONCATENATE("Per=",$B$254),"Dts=H","Dir=H",CONCATENATE("Points=",$B$255),"Sort=R","Days=A","Fill=B",CONCATENATE("FX=", $B$253) )</f>
        <v>#N/A Authorization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>
      <c r="A263" t="str">
        <f>$A$7</f>
        <v xml:space="preserve">    Healthcare Realty Trust Inc</v>
      </c>
      <c r="B263" t="str">
        <f>$B$7</f>
        <v>HR US Equity</v>
      </c>
      <c r="C263" t="str">
        <f>$C$7</f>
        <v>IS030</v>
      </c>
      <c r="D263" t="str">
        <f>$D$7</f>
        <v>IS_RENT_INC</v>
      </c>
      <c r="E263" t="str">
        <f>$E$7</f>
        <v>动态</v>
      </c>
      <c r="F263" t="str">
        <f ca="1">BDH($B$7,$C$7,$B$256,$B$257,CONCATENATE("Per=",$B$254),"Dts=H","Dir=H",CONCATENATE("Points=",$B$255),"Sort=R","Days=A","Fill=B",CONCATENATE("FX=", $B$253) )</f>
        <v>#N/A Authorization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>
      <c r="A264" t="str">
        <f>$A$8</f>
        <v xml:space="preserve">    Healthcare Trust of America In</v>
      </c>
      <c r="B264" t="str">
        <f>$B$8</f>
        <v>HTA US Equity</v>
      </c>
      <c r="C264" t="str">
        <f>$C$8</f>
        <v>IS030</v>
      </c>
      <c r="D264" t="str">
        <f>$D$8</f>
        <v>IS_RENT_INC</v>
      </c>
      <c r="E264" t="str">
        <f>$E$8</f>
        <v>动态</v>
      </c>
      <c r="F264" t="str">
        <f ca="1">BDH($B$8,$C$8,$B$256,$B$257,CONCATENATE("Per=",$B$254),"Dts=H","Dir=H",CONCATENATE("Points=",$B$255),"Sort=R","Days=A","Fill=B",CONCATENATE("FX=", $B$253) )</f>
        <v>#N/A Authorization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>
      <c r="A265" t="str">
        <f>$A$9</f>
        <v xml:space="preserve">    Medical Properties Trust Inc</v>
      </c>
      <c r="B265" t="str">
        <f>$B$9</f>
        <v>MPW US Equity</v>
      </c>
      <c r="C265" t="str">
        <f>$C$9</f>
        <v>IS030</v>
      </c>
      <c r="D265" t="str">
        <f>$D$9</f>
        <v>IS_RENT_INC</v>
      </c>
      <c r="E265" t="str">
        <f>$E$9</f>
        <v>动态</v>
      </c>
      <c r="F265" t="str">
        <f ca="1">BDH($B$9,$C$9,$B$256,$B$257,CONCATENATE("Per=",$B$254),"Dts=H","Dir=H",CONCATENATE("Points=",$B$255),"Sort=R","Days=A","Fill=B",CONCATENATE("FX=", $B$253) )</f>
        <v>#N/A Authorization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>
      <c r="A266" t="str">
        <f>$A$10</f>
        <v xml:space="preserve">    Omega Healthcare Investors Inc</v>
      </c>
      <c r="B266" t="str">
        <f>$B$10</f>
        <v>OHI US Equity</v>
      </c>
      <c r="C266" t="str">
        <f>$C$10</f>
        <v>IS030</v>
      </c>
      <c r="D266" t="str">
        <f>$D$10</f>
        <v>IS_RENT_INC</v>
      </c>
      <c r="E266" t="str">
        <f>$E$10</f>
        <v>动态</v>
      </c>
      <c r="F266" t="str">
        <f ca="1">BDH($B$10,$C$10,$B$256,$B$257,CONCATENATE("Per=",$B$254),"Dts=H","Dir=H",CONCATENATE("Points=",$B$255),"Sort=R","Days=A","Fill=B",CONCATENATE("FX=", $B$253) )</f>
        <v>#N/A Authorization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>
      <c r="A267" t="str">
        <f>$A$11</f>
        <v xml:space="preserve">    Sabra Health Care REIT Inc</v>
      </c>
      <c r="B267" t="str">
        <f>$B$11</f>
        <v>SBRA US Equity</v>
      </c>
      <c r="C267" t="str">
        <f>$C$11</f>
        <v>IS030</v>
      </c>
      <c r="D267" t="str">
        <f>$D$11</f>
        <v>IS_RENT_INC</v>
      </c>
      <c r="E267" t="str">
        <f>$E$11</f>
        <v>动态</v>
      </c>
      <c r="F267" t="str">
        <f ca="1">BDH($B$11,$C$11,$B$256,$B$257,CONCATENATE("Per=",$B$254),"Dts=H","Dir=H",CONCATENATE("Points=",$B$255),"Sort=R","Days=A","Fill=B",CONCATENATE("FX=", $B$253) )</f>
        <v>#N/A Authorization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>
      <c r="A268" t="str">
        <f>$A$12</f>
        <v xml:space="preserve">    Senior Housing Properties Trus</v>
      </c>
      <c r="B268" t="str">
        <f>$B$12</f>
        <v>SNH US Equity</v>
      </c>
      <c r="C268" t="str">
        <f>$C$12</f>
        <v>IS030</v>
      </c>
      <c r="D268" t="str">
        <f>$D$12</f>
        <v>IS_RENT_INC</v>
      </c>
      <c r="E268" t="str">
        <f>$E$12</f>
        <v>动态</v>
      </c>
      <c r="F268" t="str">
        <f ca="1">BDH($B$12,$C$12,$B$256,$B$257,CONCATENATE("Per=",$B$254),"Dts=H","Dir=H",CONCATENATE("Points=",$B$255),"Sort=R","Days=A","Fill=B",CONCATENATE("FX=", $B$253) )</f>
        <v>#N/A Authorization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>
      <c r="A269" t="str">
        <f>$A$13</f>
        <v xml:space="preserve">    Ventas Inc</v>
      </c>
      <c r="B269" t="str">
        <f>$B$13</f>
        <v>VTR US Equity</v>
      </c>
      <c r="C269" t="str">
        <f>$C$13</f>
        <v>IS030</v>
      </c>
      <c r="D269" t="str">
        <f>$D$13</f>
        <v>IS_RENT_INC</v>
      </c>
      <c r="E269" t="str">
        <f>$E$13</f>
        <v>动态</v>
      </c>
      <c r="F269" t="str">
        <f ca="1">BDH($B$13,$C$13,$B$256,$B$257,CONCATENATE("Per=",$B$254),"Dts=H","Dir=H",CONCATENATE("Points=",$B$255),"Sort=R","Days=A","Fill=B",CONCATENATE("FX=", $B$253) )</f>
        <v>#N/A Authorization</v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>
      <c r="A270" t="str">
        <f>$A$14</f>
        <v xml:space="preserve">    Welltower Inc</v>
      </c>
      <c r="B270" t="str">
        <f>$B$14</f>
        <v>HCN US Equity</v>
      </c>
      <c r="C270" t="str">
        <f>$C$14</f>
        <v>IS030</v>
      </c>
      <c r="D270" t="str">
        <f>$D$14</f>
        <v>IS_RENT_INC</v>
      </c>
      <c r="E270" t="str">
        <f>$E$14</f>
        <v>动态</v>
      </c>
      <c r="F270" t="str">
        <f ca="1">BDH($B$14,$C$14,$B$256,$B$257,CONCATENATE("Per=",$B$254),"Dts=H","Dir=H",CONCATENATE("Points=",$B$255),"Sort=R","Days=A","Fill=B",CONCATENATE("FX=", $B$253) )</f>
        <v>#N/A Authorization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>
      <c r="A271" t="str">
        <f>$A$16</f>
        <v xml:space="preserve">    Alexandria Real Estate Equitie</v>
      </c>
      <c r="B271" t="str">
        <f>$B$16</f>
        <v>ARE US Equity</v>
      </c>
      <c r="C271" t="str">
        <f>$C$16</f>
        <v>IM275</v>
      </c>
      <c r="D271" t="str">
        <f>$D$16</f>
        <v>IS_OTHER_RENTAL_INCOME</v>
      </c>
      <c r="E271" t="str">
        <f>$E$16</f>
        <v>动态</v>
      </c>
      <c r="F271" t="str">
        <f ca="1">BDH($B$16,$C$16,$B$256,$B$257,CONCATENATE("Per=",$B$254),"Dts=H","Dir=H",CONCATENATE("Points=",$B$255),"Sort=R","Days=A","Fill=B",CONCATENATE("FX=", $B$253) )</f>
        <v>#N/A Authorization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>
      <c r="A272" t="str">
        <f>$A$17</f>
        <v xml:space="preserve">    Care Capital Properties Inc</v>
      </c>
      <c r="B272" t="str">
        <f>$B$17</f>
        <v>CCP US Equity</v>
      </c>
      <c r="C272" t="str">
        <f>$C$17</f>
        <v>IM275</v>
      </c>
      <c r="D272" t="str">
        <f>$D$17</f>
        <v>IS_OTHER_RENTAL_INCOME</v>
      </c>
      <c r="E272" t="str">
        <f>$E$17</f>
        <v>动态</v>
      </c>
      <c r="F272" t="str">
        <f ca="1">BDH($B$17,$C$17,$B$256,$B$257,CONCATENATE("Per=",$B$254),"Dts=H","Dir=H",CONCATENATE("Points=",$B$255),"Sort=R","Days=A","Fill=B",CONCATENATE("FX=", $B$253) )</f>
        <v>#N/A Authorization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>
      <c r="A273" t="str">
        <f>$A$18</f>
        <v xml:space="preserve">    HCP Inc</v>
      </c>
      <c r="B273" t="str">
        <f>$B$18</f>
        <v>HCP US Equity</v>
      </c>
      <c r="C273" t="str">
        <f>$C$18</f>
        <v>IM275</v>
      </c>
      <c r="D273" t="str">
        <f>$D$18</f>
        <v>IS_OTHER_RENTAL_INCOME</v>
      </c>
      <c r="E273" t="str">
        <f>$E$18</f>
        <v>动态</v>
      </c>
      <c r="F273" t="str">
        <f ca="1">BDH($B$18,$C$18,$B$256,$B$257,CONCATENATE("Per=",$B$254),"Dts=H","Dir=H",CONCATENATE("Points=",$B$255),"Sort=R","Days=A","Fill=B",CONCATENATE("FX=", $B$253) )</f>
        <v>#N/A Authorization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>
      <c r="A274" t="str">
        <f>$A$19</f>
        <v xml:space="preserve">    Healthcare Realty Trust Inc</v>
      </c>
      <c r="B274" t="str">
        <f>$B$19</f>
        <v>HR US Equity</v>
      </c>
      <c r="C274" t="str">
        <f>$C$19</f>
        <v>IM275</v>
      </c>
      <c r="D274" t="str">
        <f>$D$19</f>
        <v>IS_OTHER_RENTAL_INCOME</v>
      </c>
      <c r="E274" t="str">
        <f>$E$19</f>
        <v>动态</v>
      </c>
      <c r="F274" t="str">
        <f ca="1">BDH($B$19,$C$19,$B$256,$B$257,CONCATENATE("Per=",$B$254),"Dts=H","Dir=H",CONCATENATE("Points=",$B$255),"Sort=R","Days=A","Fill=B",CONCATENATE("FX=", $B$253) )</f>
        <v>#N/A Authorization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>
      <c r="A275" t="str">
        <f>$A$20</f>
        <v xml:space="preserve">    Healthcare Trust of America In</v>
      </c>
      <c r="B275" t="str">
        <f>$B$20</f>
        <v>HTA US Equity</v>
      </c>
      <c r="C275" t="str">
        <f>$C$20</f>
        <v>IM275</v>
      </c>
      <c r="D275" t="str">
        <f>$D$20</f>
        <v>IS_OTHER_RENTAL_INCOME</v>
      </c>
      <c r="E275" t="str">
        <f>$E$20</f>
        <v>动态</v>
      </c>
      <c r="F275" t="str">
        <f ca="1">BDH($B$20,$C$20,$B$256,$B$257,CONCATENATE("Per=",$B$254),"Dts=H","Dir=H",CONCATENATE("Points=",$B$255),"Sort=R","Days=A","Fill=B",CONCATENATE("FX=", $B$253) )</f>
        <v>#N/A Authorization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>
      <c r="A276" t="str">
        <f>$A$21</f>
        <v xml:space="preserve">    Medical Properties Trust Inc</v>
      </c>
      <c r="B276" t="str">
        <f>$B$21</f>
        <v>MPW US Equity</v>
      </c>
      <c r="C276" t="str">
        <f>$C$21</f>
        <v>IM275</v>
      </c>
      <c r="D276" t="str">
        <f>$D$21</f>
        <v>IS_OTHER_RENTAL_INCOME</v>
      </c>
      <c r="E276" t="str">
        <f>$E$21</f>
        <v>动态</v>
      </c>
      <c r="F276" t="str">
        <f ca="1">BDH($B$21,$C$21,$B$256,$B$257,CONCATENATE("Per=",$B$254),"Dts=H","Dir=H",CONCATENATE("Points=",$B$255),"Sort=R","Days=A","Fill=B",CONCATENATE("FX=", $B$253) )</f>
        <v>#N/A Authorization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>
      <c r="A277" t="str">
        <f>$A$22</f>
        <v xml:space="preserve">    Omega Healthcare Investors Inc</v>
      </c>
      <c r="B277" t="str">
        <f>$B$22</f>
        <v>OHI US Equity</v>
      </c>
      <c r="C277" t="str">
        <f>$C$22</f>
        <v>IM275</v>
      </c>
      <c r="D277" t="str">
        <f>$D$22</f>
        <v>IS_OTHER_RENTAL_INCOME</v>
      </c>
      <c r="E277" t="str">
        <f>$E$22</f>
        <v>动态</v>
      </c>
      <c r="F277" t="str">
        <f ca="1">BDH($B$22,$C$22,$B$256,$B$257,CONCATENATE("Per=",$B$254),"Dts=H","Dir=H",CONCATENATE("Points=",$B$255),"Sort=R","Days=A","Fill=B",CONCATENATE("FX=", $B$253) )</f>
        <v>#N/A Authorization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>
      <c r="A278" t="str">
        <f>$A$23</f>
        <v xml:space="preserve">    Sabra Health Care REIT Inc</v>
      </c>
      <c r="B278" t="str">
        <f>$B$23</f>
        <v>SBRA US Equity</v>
      </c>
      <c r="C278" t="str">
        <f>$C$23</f>
        <v>IM275</v>
      </c>
      <c r="D278" t="str">
        <f>$D$23</f>
        <v>IS_OTHER_RENTAL_INCOME</v>
      </c>
      <c r="E278" t="str">
        <f>$E$23</f>
        <v>动态</v>
      </c>
      <c r="F278" t="str">
        <f ca="1">BDH($B$23,$C$23,$B$256,$B$257,CONCATENATE("Per=",$B$254),"Dts=H","Dir=H",CONCATENATE("Points=",$B$255),"Sort=R","Days=A","Fill=B",CONCATENATE("FX=", $B$253) )</f>
        <v>#N/A Authorization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>
      <c r="A279" t="str">
        <f>$A$24</f>
        <v xml:space="preserve">    Senior Housing Properties Trus</v>
      </c>
      <c r="B279" t="str">
        <f>$B$24</f>
        <v>SNH US Equity</v>
      </c>
      <c r="C279" t="str">
        <f>$C$24</f>
        <v>IM275</v>
      </c>
      <c r="D279" t="str">
        <f>$D$24</f>
        <v>IS_OTHER_RENTAL_INCOME</v>
      </c>
      <c r="E279" t="str">
        <f>$E$24</f>
        <v>动态</v>
      </c>
      <c r="F279" t="str">
        <f ca="1">BDH($B$24,$C$24,$B$256,$B$257,CONCATENATE("Per=",$B$254),"Dts=H","Dir=H",CONCATENATE("Points=",$B$255),"Sort=R","Days=A","Fill=B",CONCATENATE("FX=", $B$253) )</f>
        <v>#N/A Authorization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>
      <c r="A280" t="str">
        <f>$A$25</f>
        <v xml:space="preserve">    Ventas Inc</v>
      </c>
      <c r="B280" t="str">
        <f>$B$25</f>
        <v>VTR US Equity</v>
      </c>
      <c r="C280" t="str">
        <f>$C$25</f>
        <v>IM275</v>
      </c>
      <c r="D280" t="str">
        <f>$D$25</f>
        <v>IS_OTHER_RENTAL_INCOME</v>
      </c>
      <c r="E280" t="str">
        <f>$E$25</f>
        <v>动态</v>
      </c>
      <c r="F280" t="str">
        <f ca="1">BDH($B$25,$C$25,$B$256,$B$257,CONCATENATE("Per=",$B$254),"Dts=H","Dir=H",CONCATENATE("Points=",$B$255),"Sort=R","Days=A","Fill=B",CONCATENATE("FX=", $B$253) )</f>
        <v>#N/A Authorization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>
      <c r="A281" t="str">
        <f>$A$26</f>
        <v xml:space="preserve">    Welltower Inc</v>
      </c>
      <c r="B281" t="str">
        <f>$B$26</f>
        <v>HCN US Equity</v>
      </c>
      <c r="C281" t="str">
        <f>$C$26</f>
        <v>IM275</v>
      </c>
      <c r="D281" t="str">
        <f>$D$26</f>
        <v>IS_OTHER_RENTAL_INCOME</v>
      </c>
      <c r="E281" t="str">
        <f>$E$26</f>
        <v>动态</v>
      </c>
      <c r="F281" t="str">
        <f ca="1">BDH($B$26,$C$26,$B$256,$B$257,CONCATENATE("Per=",$B$254),"Dts=H","Dir=H",CONCATENATE("Points=",$B$255),"Sort=R","Days=A","Fill=B",CONCATENATE("FX=", $B$253) )</f>
        <v>#N/A Authorization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>
      <c r="A282" t="str">
        <f>$A$28</f>
        <v xml:space="preserve">    Alexandria Real Estate Equitie</v>
      </c>
      <c r="B282" t="str">
        <f>$B$28</f>
        <v>ARE US Equity</v>
      </c>
      <c r="C282" t="str">
        <f>$C$28</f>
        <v>IM281</v>
      </c>
      <c r="D282" t="str">
        <f>$D$28</f>
        <v>IS_NON_REAL_ESTATE_INCOME</v>
      </c>
      <c r="E282" t="str">
        <f>$E$28</f>
        <v>动态</v>
      </c>
      <c r="F282" t="str">
        <f ca="1">BDH($B$28,$C$28,$B$256,$B$257,CONCATENATE("Per=",$B$254),"Dts=H","Dir=H",CONCATENATE("Points=",$B$255),"Sort=R","Days=A","Fill=B",CONCATENATE("FX=", $B$253) )</f>
        <v>#N/A Authorization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>
      <c r="A283" t="str">
        <f>$A$29</f>
        <v xml:space="preserve">    Care Capital Properties Inc</v>
      </c>
      <c r="B283" t="str">
        <f>$B$29</f>
        <v>CCP US Equity</v>
      </c>
      <c r="C283" t="str">
        <f>$C$29</f>
        <v>IM281</v>
      </c>
      <c r="D283" t="str">
        <f>$D$29</f>
        <v>IS_NON_REAL_ESTATE_INCOME</v>
      </c>
      <c r="E283" t="str">
        <f>$E$29</f>
        <v>动态</v>
      </c>
      <c r="F283" t="str">
        <f ca="1">BDH($B$29,$C$29,$B$256,$B$257,CONCATENATE("Per=",$B$254),"Dts=H","Dir=H",CONCATENATE("Points=",$B$255),"Sort=R","Days=A","Fill=B",CONCATENATE("FX=", $B$253) )</f>
        <v>#N/A Authorization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>
      <c r="A284" t="str">
        <f>$A$30</f>
        <v xml:space="preserve">    HCP Inc</v>
      </c>
      <c r="B284" t="str">
        <f>$B$30</f>
        <v>HCP US Equity</v>
      </c>
      <c r="C284" t="str">
        <f>$C$30</f>
        <v>IM281</v>
      </c>
      <c r="D284" t="str">
        <f>$D$30</f>
        <v>IS_NON_REAL_ESTATE_INCOME</v>
      </c>
      <c r="E284" t="str">
        <f>$E$30</f>
        <v>动态</v>
      </c>
      <c r="F284" t="str">
        <f ca="1">BDH($B$30,$C$30,$B$256,$B$257,CONCATENATE("Per=",$B$254),"Dts=H","Dir=H",CONCATENATE("Points=",$B$255),"Sort=R","Days=A","Fill=B",CONCATENATE("FX=", $B$253) )</f>
        <v>#N/A Authorization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>
      <c r="A285" t="str">
        <f>$A$31</f>
        <v xml:space="preserve">    Healthcare Realty Trust Inc</v>
      </c>
      <c r="B285" t="str">
        <f>$B$31</f>
        <v>HR US Equity</v>
      </c>
      <c r="C285" t="str">
        <f>$C$31</f>
        <v>IM281</v>
      </c>
      <c r="D285" t="str">
        <f>$D$31</f>
        <v>IS_NON_REAL_ESTATE_INCOME</v>
      </c>
      <c r="E285" t="str">
        <f>$E$31</f>
        <v>动态</v>
      </c>
      <c r="F285" t="str">
        <f ca="1">BDH($B$31,$C$31,$B$256,$B$257,CONCATENATE("Per=",$B$254),"Dts=H","Dir=H",CONCATENATE("Points=",$B$255),"Sort=R","Days=A","Fill=B",CONCATENATE("FX=", $B$253) )</f>
        <v>#N/A Authorization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>
      <c r="A286" t="str">
        <f>$A$32</f>
        <v xml:space="preserve">    Healthcare Trust of America In</v>
      </c>
      <c r="B286" t="str">
        <f>$B$32</f>
        <v>HTA US Equity</v>
      </c>
      <c r="C286" t="str">
        <f>$C$32</f>
        <v>IM281</v>
      </c>
      <c r="D286" t="str">
        <f>$D$32</f>
        <v>IS_NON_REAL_ESTATE_INCOME</v>
      </c>
      <c r="E286" t="str">
        <f>$E$32</f>
        <v>动态</v>
      </c>
      <c r="F286" t="str">
        <f ca="1">BDH($B$32,$C$32,$B$256,$B$257,CONCATENATE("Per=",$B$254),"Dts=H","Dir=H",CONCATENATE("Points=",$B$255),"Sort=R","Days=A","Fill=B",CONCATENATE("FX=", $B$253) )</f>
        <v>#N/A Authorization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>
      <c r="A287" t="str">
        <f>$A$33</f>
        <v xml:space="preserve">    Medical Properties Trust Inc</v>
      </c>
      <c r="B287" t="str">
        <f>$B$33</f>
        <v>MPW US Equity</v>
      </c>
      <c r="C287" t="str">
        <f>$C$33</f>
        <v>IM281</v>
      </c>
      <c r="D287" t="str">
        <f>$D$33</f>
        <v>IS_NON_REAL_ESTATE_INCOME</v>
      </c>
      <c r="E287" t="str">
        <f>$E$33</f>
        <v>动态</v>
      </c>
      <c r="F287" t="str">
        <f ca="1">BDH($B$33,$C$33,$B$256,$B$257,CONCATENATE("Per=",$B$254),"Dts=H","Dir=H",CONCATENATE("Points=",$B$255),"Sort=R","Days=A","Fill=B",CONCATENATE("FX=", $B$253) )</f>
        <v>#N/A Authorization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>
      <c r="A288" t="str">
        <f>$A$34</f>
        <v xml:space="preserve">    Omega Healthcare Investors Inc</v>
      </c>
      <c r="B288" t="str">
        <f>$B$34</f>
        <v>OHI US Equity</v>
      </c>
      <c r="C288" t="str">
        <f>$C$34</f>
        <v>IM281</v>
      </c>
      <c r="D288" t="str">
        <f>$D$34</f>
        <v>IS_NON_REAL_ESTATE_INCOME</v>
      </c>
      <c r="E288" t="str">
        <f>$E$34</f>
        <v>动态</v>
      </c>
      <c r="F288" t="str">
        <f ca="1">BDH($B$34,$C$34,$B$256,$B$257,CONCATENATE("Per=",$B$254),"Dts=H","Dir=H",CONCATENATE("Points=",$B$255),"Sort=R","Days=A","Fill=B",CONCATENATE("FX=", $B$253) )</f>
        <v>#N/A Authorization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>
      <c r="A289" t="str">
        <f>$A$35</f>
        <v xml:space="preserve">    Sabra Health Care REIT Inc</v>
      </c>
      <c r="B289" t="str">
        <f>$B$35</f>
        <v>SBRA US Equity</v>
      </c>
      <c r="C289" t="str">
        <f>$C$35</f>
        <v>IM281</v>
      </c>
      <c r="D289" t="str">
        <f>$D$35</f>
        <v>IS_NON_REAL_ESTATE_INCOME</v>
      </c>
      <c r="E289" t="str">
        <f>$E$35</f>
        <v>动态</v>
      </c>
      <c r="F289" t="str">
        <f ca="1">BDH($B$35,$C$35,$B$256,$B$257,CONCATENATE("Per=",$B$254),"Dts=H","Dir=H",CONCATENATE("Points=",$B$255),"Sort=R","Days=A","Fill=B",CONCATENATE("FX=", $B$253) )</f>
        <v>#N/A Authorization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>
      <c r="A290" t="str">
        <f>$A$36</f>
        <v xml:space="preserve">    Senior Housing Properties Trus</v>
      </c>
      <c r="B290" t="str">
        <f>$B$36</f>
        <v>SNH US Equity</v>
      </c>
      <c r="C290" t="str">
        <f>$C$36</f>
        <v>IM281</v>
      </c>
      <c r="D290" t="str">
        <f>$D$36</f>
        <v>IS_NON_REAL_ESTATE_INCOME</v>
      </c>
      <c r="E290" t="str">
        <f>$E$36</f>
        <v>动态</v>
      </c>
      <c r="F290" t="str">
        <f ca="1">BDH($B$36,$C$36,$B$256,$B$257,CONCATENATE("Per=",$B$254),"Dts=H","Dir=H",CONCATENATE("Points=",$B$255),"Sort=R","Days=A","Fill=B",CONCATENATE("FX=", $B$253) )</f>
        <v>#N/A Authorization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>
      <c r="A291" t="str">
        <f>$A$37</f>
        <v xml:space="preserve">    Ventas Inc</v>
      </c>
      <c r="B291" t="str">
        <f>$B$37</f>
        <v>VTR US Equity</v>
      </c>
      <c r="C291" t="str">
        <f>$C$37</f>
        <v>IM281</v>
      </c>
      <c r="D291" t="str">
        <f>$D$37</f>
        <v>IS_NON_REAL_ESTATE_INCOME</v>
      </c>
      <c r="E291" t="str">
        <f>$E$37</f>
        <v>动态</v>
      </c>
      <c r="F291" t="str">
        <f ca="1">BDH($B$37,$C$37,$B$256,$B$257,CONCATENATE("Per=",$B$254),"Dts=H","Dir=H",CONCATENATE("Points=",$B$255),"Sort=R","Days=A","Fill=B",CONCATENATE("FX=", $B$253) )</f>
        <v>#N/A Authorization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>
      <c r="A292" t="str">
        <f>$A$38</f>
        <v xml:space="preserve">    Welltower Inc</v>
      </c>
      <c r="B292" t="str">
        <f>$B$38</f>
        <v>HCN US Equity</v>
      </c>
      <c r="C292" t="str">
        <f>$C$38</f>
        <v>IM281</v>
      </c>
      <c r="D292" t="str">
        <f>$D$38</f>
        <v>IS_NON_REAL_ESTATE_INCOME</v>
      </c>
      <c r="E292" t="str">
        <f>$E$38</f>
        <v>动态</v>
      </c>
      <c r="F292" t="str">
        <f ca="1">BDH($B$38,$C$38,$B$256,$B$257,CONCATENATE("Per=",$B$254),"Dts=H","Dir=H",CONCATENATE("Points=",$B$255),"Sort=R","Days=A","Fill=B",CONCATENATE("FX=", $B$253) )</f>
        <v>#N/A Authorization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>
      <c r="A293" t="str">
        <f>$A$40</f>
        <v xml:space="preserve">    Alexandria Real Estate Equitie</v>
      </c>
      <c r="B293" t="str">
        <f>$B$40</f>
        <v>ARE US Equity</v>
      </c>
      <c r="C293" t="str">
        <f>$C$40</f>
        <v>IS010</v>
      </c>
      <c r="D293" t="str">
        <f>$D$40</f>
        <v>SALES_REV_TURN</v>
      </c>
      <c r="E293" t="str">
        <f>$E$40</f>
        <v>动态</v>
      </c>
      <c r="F293" t="str">
        <f ca="1">BDH($B$40,$C$40,$B$256,$B$257,CONCATENATE("Per=",$B$254),"Dts=H","Dir=H",CONCATENATE("Points=",$B$255),"Sort=R","Days=A","Fill=B",CONCATENATE("FX=", $B$253) )</f>
        <v>#N/A Authorization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>
      <c r="A294" t="str">
        <f>$A$41</f>
        <v xml:space="preserve">    Care Capital Properties Inc</v>
      </c>
      <c r="B294" t="str">
        <f>$B$41</f>
        <v>CCP US Equity</v>
      </c>
      <c r="C294" t="str">
        <f>$C$41</f>
        <v>IS010</v>
      </c>
      <c r="D294" t="str">
        <f>$D$41</f>
        <v>SALES_REV_TURN</v>
      </c>
      <c r="E294" t="str">
        <f>$E$41</f>
        <v>动态</v>
      </c>
      <c r="F294" t="str">
        <f ca="1">BDH($B$41,$C$41,$B$256,$B$257,CONCATENATE("Per=",$B$254),"Dts=H","Dir=H",CONCATENATE("Points=",$B$255),"Sort=R","Days=A","Fill=B",CONCATENATE("FX=", $B$253) )</f>
        <v>#N/A Authorization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>
      <c r="A295" t="str">
        <f>$A$42</f>
        <v xml:space="preserve">    HCP Inc</v>
      </c>
      <c r="B295" t="str">
        <f>$B$42</f>
        <v>HCP US Equity</v>
      </c>
      <c r="C295" t="str">
        <f>$C$42</f>
        <v>IS010</v>
      </c>
      <c r="D295" t="str">
        <f>$D$42</f>
        <v>SALES_REV_TURN</v>
      </c>
      <c r="E295" t="str">
        <f>$E$42</f>
        <v>动态</v>
      </c>
      <c r="F295" t="str">
        <f ca="1">BDH($B$42,$C$42,$B$256,$B$257,CONCATENATE("Per=",$B$254),"Dts=H","Dir=H",CONCATENATE("Points=",$B$255),"Sort=R","Days=A","Fill=B",CONCATENATE("FX=", $B$253) )</f>
        <v>#N/A Authorization</v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>
      <c r="A296" t="str">
        <f>$A$43</f>
        <v xml:space="preserve">    Healthcare Realty Trust Inc</v>
      </c>
      <c r="B296" t="str">
        <f>$B$43</f>
        <v>HR US Equity</v>
      </c>
      <c r="C296" t="str">
        <f>$C$43</f>
        <v>IS010</v>
      </c>
      <c r="D296" t="str">
        <f>$D$43</f>
        <v>SALES_REV_TURN</v>
      </c>
      <c r="E296" t="str">
        <f>$E$43</f>
        <v>动态</v>
      </c>
      <c r="F296" t="str">
        <f ca="1">BDH($B$43,$C$43,$B$256,$B$257,CONCATENATE("Per=",$B$254),"Dts=H","Dir=H",CONCATENATE("Points=",$B$255),"Sort=R","Days=A","Fill=B",CONCATENATE("FX=", $B$253) )</f>
        <v>#N/A Authorization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>
      <c r="A297" t="str">
        <f>$A$44</f>
        <v xml:space="preserve">    Healthcare Trust of America In</v>
      </c>
      <c r="B297" t="str">
        <f>$B$44</f>
        <v>HTA US Equity</v>
      </c>
      <c r="C297" t="str">
        <f>$C$44</f>
        <v>IS010</v>
      </c>
      <c r="D297" t="str">
        <f>$D$44</f>
        <v>SALES_REV_TURN</v>
      </c>
      <c r="E297" t="str">
        <f>$E$44</f>
        <v>动态</v>
      </c>
      <c r="F297" t="str">
        <f ca="1">BDH($B$44,$C$44,$B$256,$B$257,CONCATENATE("Per=",$B$254),"Dts=H","Dir=H",CONCATENATE("Points=",$B$255),"Sort=R","Days=A","Fill=B",CONCATENATE("FX=", $B$253) )</f>
        <v>#N/A Authorization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>
      <c r="A298" t="str">
        <f>$A$45</f>
        <v xml:space="preserve">    Medical Properties Trust Inc</v>
      </c>
      <c r="B298" t="str">
        <f>$B$45</f>
        <v>MPW US Equity</v>
      </c>
      <c r="C298" t="str">
        <f>$C$45</f>
        <v>IS010</v>
      </c>
      <c r="D298" t="str">
        <f>$D$45</f>
        <v>SALES_REV_TURN</v>
      </c>
      <c r="E298" t="str">
        <f>$E$45</f>
        <v>动态</v>
      </c>
      <c r="F298" t="str">
        <f ca="1">BDH($B$45,$C$45,$B$256,$B$257,CONCATENATE("Per=",$B$254),"Dts=H","Dir=H",CONCATENATE("Points=",$B$255),"Sort=R","Days=A","Fill=B",CONCATENATE("FX=", $B$253) )</f>
        <v>#N/A Authorization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>
      <c r="A299" t="str">
        <f>$A$46</f>
        <v xml:space="preserve">    Omega Healthcare Investors Inc</v>
      </c>
      <c r="B299" t="str">
        <f>$B$46</f>
        <v>OHI US Equity</v>
      </c>
      <c r="C299" t="str">
        <f>$C$46</f>
        <v>IS010</v>
      </c>
      <c r="D299" t="str">
        <f>$D$46</f>
        <v>SALES_REV_TURN</v>
      </c>
      <c r="E299" t="str">
        <f>$E$46</f>
        <v>动态</v>
      </c>
      <c r="F299" t="str">
        <f ca="1">BDH($B$46,$C$46,$B$256,$B$257,CONCATENATE("Per=",$B$254),"Dts=H","Dir=H",CONCATENATE("Points=",$B$255),"Sort=R","Days=A","Fill=B",CONCATENATE("FX=", $B$253) )</f>
        <v>#N/A Authorization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>
      <c r="A300" t="str">
        <f>$A$47</f>
        <v xml:space="preserve">    Sabra Health Care REIT Inc</v>
      </c>
      <c r="B300" t="str">
        <f>$B$47</f>
        <v>SBRA US Equity</v>
      </c>
      <c r="C300" t="str">
        <f>$C$47</f>
        <v>IS010</v>
      </c>
      <c r="D300" t="str">
        <f>$D$47</f>
        <v>SALES_REV_TURN</v>
      </c>
      <c r="E300" t="str">
        <f>$E$47</f>
        <v>动态</v>
      </c>
      <c r="F300" t="str">
        <f ca="1">BDH($B$47,$C$47,$B$256,$B$257,CONCATENATE("Per=",$B$254),"Dts=H","Dir=H",CONCATENATE("Points=",$B$255),"Sort=R","Days=A","Fill=B",CONCATENATE("FX=", $B$253) )</f>
        <v>#N/A Authorization</v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>
      <c r="A301" t="str">
        <f>$A$48</f>
        <v xml:space="preserve">    Senior Housing Properties Trus</v>
      </c>
      <c r="B301" t="str">
        <f>$B$48</f>
        <v>SNH US Equity</v>
      </c>
      <c r="C301" t="str">
        <f>$C$48</f>
        <v>IS010</v>
      </c>
      <c r="D301" t="str">
        <f>$D$48</f>
        <v>SALES_REV_TURN</v>
      </c>
      <c r="E301" t="str">
        <f>$E$48</f>
        <v>动态</v>
      </c>
      <c r="F301" t="str">
        <f ca="1">BDH($B$48,$C$48,$B$256,$B$257,CONCATENATE("Per=",$B$254),"Dts=H","Dir=H",CONCATENATE("Points=",$B$255),"Sort=R","Days=A","Fill=B",CONCATENATE("FX=", $B$253) )</f>
        <v>#N/A Authorization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>
      <c r="A302" t="str">
        <f>$A$49</f>
        <v xml:space="preserve">    Ventas Inc</v>
      </c>
      <c r="B302" t="str">
        <f>$B$49</f>
        <v>VTR US Equity</v>
      </c>
      <c r="C302" t="str">
        <f>$C$49</f>
        <v>IS010</v>
      </c>
      <c r="D302" t="str">
        <f>$D$49</f>
        <v>SALES_REV_TURN</v>
      </c>
      <c r="E302" t="str">
        <f>$E$49</f>
        <v>动态</v>
      </c>
      <c r="F302" t="str">
        <f ca="1">BDH($B$49,$C$49,$B$256,$B$257,CONCATENATE("Per=",$B$254),"Dts=H","Dir=H",CONCATENATE("Points=",$B$255),"Sort=R","Days=A","Fill=B",CONCATENATE("FX=", $B$253) )</f>
        <v>#N/A Authorization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>
      <c r="A303" t="str">
        <f>$A$50</f>
        <v xml:space="preserve">    Welltower Inc</v>
      </c>
      <c r="B303" t="str">
        <f>$B$50</f>
        <v>HCN US Equity</v>
      </c>
      <c r="C303" t="str">
        <f>$C$50</f>
        <v>IS010</v>
      </c>
      <c r="D303" t="str">
        <f>$D$50</f>
        <v>SALES_REV_TURN</v>
      </c>
      <c r="E303" t="str">
        <f>$E$50</f>
        <v>动态</v>
      </c>
      <c r="F303" t="str">
        <f ca="1">BDH($B$50,$C$50,$B$256,$B$257,CONCATENATE("Per=",$B$254),"Dts=H","Dir=H",CONCATENATE("Points=",$B$255),"Sort=R","Days=A","Fill=B",CONCATENATE("FX=", $B$253) )</f>
        <v>#N/A Authorization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>
      <c r="A304" t="str">
        <f>$A$52</f>
        <v xml:space="preserve">    Alexandria Real Estate Equitie</v>
      </c>
      <c r="B304" t="str">
        <f>$B$52</f>
        <v>ARE US Equity</v>
      </c>
      <c r="C304" t="str">
        <f>$C$52</f>
        <v>RR502</v>
      </c>
      <c r="D304" t="str">
        <f>$D$52</f>
        <v>NET_OPER_INCOME</v>
      </c>
      <c r="E304" t="str">
        <f>$E$52</f>
        <v>动态</v>
      </c>
      <c r="F304" t="str">
        <f ca="1">BDH($B$52,$C$52,$B$256,$B$257,CONCATENATE("Per=",$B$254),"Dts=H","Dir=H",CONCATENATE("Points=",$B$255),"Sort=R","Days=A","Fill=B",CONCATENATE("FX=", $B$253) )</f>
        <v>#N/A Authorization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1:125">
      <c r="A305" t="str">
        <f>$A$53</f>
        <v xml:space="preserve">    Care Capital Properties Inc</v>
      </c>
      <c r="B305" t="str">
        <f>$B$53</f>
        <v>CCP US Equity</v>
      </c>
      <c r="C305" t="str">
        <f>$C$53</f>
        <v>RR502</v>
      </c>
      <c r="D305" t="str">
        <f>$D$53</f>
        <v>NET_OPER_INCOME</v>
      </c>
      <c r="E305" t="str">
        <f>$E$53</f>
        <v>动态</v>
      </c>
      <c r="F305" t="str">
        <f ca="1">BDH($B$53,$C$53,$B$256,$B$257,CONCATENATE("Per=",$B$254),"Dts=H","Dir=H",CONCATENATE("Points=",$B$255),"Sort=R","Days=A","Fill=B",CONCATENATE("FX=", $B$253) )</f>
        <v>#N/A Authorization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1:125">
      <c r="A306" t="str">
        <f>$A$54</f>
        <v xml:space="preserve">    HCP Inc</v>
      </c>
      <c r="B306" t="str">
        <f>$B$54</f>
        <v>HCP US Equity</v>
      </c>
      <c r="C306" t="str">
        <f>$C$54</f>
        <v>RR502</v>
      </c>
      <c r="D306" t="str">
        <f>$D$54</f>
        <v>NET_OPER_INCOME</v>
      </c>
      <c r="E306" t="str">
        <f>$E$54</f>
        <v>动态</v>
      </c>
      <c r="F306" t="str">
        <f ca="1">BDH($B$54,$C$54,$B$256,$B$257,CONCATENATE("Per=",$B$254),"Dts=H","Dir=H",CONCATENATE("Points=",$B$255),"Sort=R","Days=A","Fill=B",CONCATENATE("FX=", $B$253) )</f>
        <v>#N/A Authorization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1:125">
      <c r="A307" t="str">
        <f>$A$55</f>
        <v xml:space="preserve">    Healthcare Realty Trust Inc</v>
      </c>
      <c r="B307" t="str">
        <f>$B$55</f>
        <v>HR US Equity</v>
      </c>
      <c r="C307" t="str">
        <f>$C$55</f>
        <v>RR502</v>
      </c>
      <c r="D307" t="str">
        <f>$D$55</f>
        <v>NET_OPER_INCOME</v>
      </c>
      <c r="E307" t="str">
        <f>$E$55</f>
        <v>动态</v>
      </c>
      <c r="F307" t="str">
        <f ca="1">BDH($B$55,$C$55,$B$256,$B$257,CONCATENATE("Per=",$B$254),"Dts=H","Dir=H",CONCATENATE("Points=",$B$255),"Sort=R","Days=A","Fill=B",CONCATENATE("FX=", $B$253) )</f>
        <v>#N/A Authorization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1:125">
      <c r="A308" t="str">
        <f>$A$56</f>
        <v xml:space="preserve">    Healthcare Trust of America In</v>
      </c>
      <c r="B308" t="str">
        <f>$B$56</f>
        <v>HTA US Equity</v>
      </c>
      <c r="C308" t="str">
        <f>$C$56</f>
        <v>RR502</v>
      </c>
      <c r="D308" t="str">
        <f>$D$56</f>
        <v>NET_OPER_INCOME</v>
      </c>
      <c r="E308" t="str">
        <f>$E$56</f>
        <v>动态</v>
      </c>
      <c r="F308" t="str">
        <f ca="1">BDH($B$56,$C$56,$B$256,$B$257,CONCATENATE("Per=",$B$254),"Dts=H","Dir=H",CONCATENATE("Points=",$B$255),"Sort=R","Days=A","Fill=B",CONCATENATE("FX=", $B$253) )</f>
        <v>#N/A Authorization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1:125">
      <c r="A309" t="str">
        <f>$A$57</f>
        <v xml:space="preserve">    Medical Properties Trust Inc</v>
      </c>
      <c r="B309" t="str">
        <f>$B$57</f>
        <v>MPW US Equity</v>
      </c>
      <c r="C309" t="str">
        <f>$C$57</f>
        <v>RR502</v>
      </c>
      <c r="D309" t="str">
        <f>$D$57</f>
        <v>NET_OPER_INCOME</v>
      </c>
      <c r="E309" t="str">
        <f>$E$57</f>
        <v>动态</v>
      </c>
      <c r="F309" t="str">
        <f ca="1">BDH($B$57,$C$57,$B$256,$B$257,CONCATENATE("Per=",$B$254),"Dts=H","Dir=H",CONCATENATE("Points=",$B$255),"Sort=R","Days=A","Fill=B",CONCATENATE("FX=", $B$253) )</f>
        <v>#N/A Authorization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1:125">
      <c r="A310" t="str">
        <f>$A$58</f>
        <v xml:space="preserve">    Omega Healthcare Investors Inc</v>
      </c>
      <c r="B310" t="str">
        <f>$B$58</f>
        <v>OHI US Equity</v>
      </c>
      <c r="C310" t="str">
        <f>$C$58</f>
        <v>RR502</v>
      </c>
      <c r="D310" t="str">
        <f>$D$58</f>
        <v>NET_OPER_INCOME</v>
      </c>
      <c r="E310" t="str">
        <f>$E$58</f>
        <v>动态</v>
      </c>
      <c r="F310" t="str">
        <f ca="1">BDH($B$58,$C$58,$B$256,$B$257,CONCATENATE("Per=",$B$254),"Dts=H","Dir=H",CONCATENATE("Points=",$B$255),"Sort=R","Days=A","Fill=B",CONCATENATE("FX=", $B$253) )</f>
        <v>#N/A Authorization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1:125">
      <c r="A311" t="str">
        <f>$A$59</f>
        <v xml:space="preserve">    Sabra Health Care REIT Inc</v>
      </c>
      <c r="B311" t="str">
        <f>$B$59</f>
        <v>SBRA US Equity</v>
      </c>
      <c r="C311" t="str">
        <f>$C$59</f>
        <v>RR502</v>
      </c>
      <c r="D311" t="str">
        <f>$D$59</f>
        <v>NET_OPER_INCOME</v>
      </c>
      <c r="E311" t="str">
        <f>$E$59</f>
        <v>动态</v>
      </c>
      <c r="F311" t="str">
        <f ca="1">BDH($B$59,$C$59,$B$256,$B$257,CONCATENATE("Per=",$B$254),"Dts=H","Dir=H",CONCATENATE("Points=",$B$255),"Sort=R","Days=A","Fill=B",CONCATENATE("FX=", $B$253) )</f>
        <v>#N/A Authorization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1:125">
      <c r="A312" t="str">
        <f>$A$60</f>
        <v xml:space="preserve">    Senior Housing Properties Trus</v>
      </c>
      <c r="B312" t="str">
        <f>$B$60</f>
        <v>SNH US Equity</v>
      </c>
      <c r="C312" t="str">
        <f>$C$60</f>
        <v>RR502</v>
      </c>
      <c r="D312" t="str">
        <f>$D$60</f>
        <v>NET_OPER_INCOME</v>
      </c>
      <c r="E312" t="str">
        <f>$E$60</f>
        <v>动态</v>
      </c>
      <c r="F312" t="str">
        <f ca="1">BDH($B$60,$C$60,$B$256,$B$257,CONCATENATE("Per=",$B$254),"Dts=H","Dir=H",CONCATENATE("Points=",$B$255),"Sort=R","Days=A","Fill=B",CONCATENATE("FX=", $B$253) )</f>
        <v>#N/A Authorization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1:125">
      <c r="A313" t="str">
        <f>$A$61</f>
        <v xml:space="preserve">    Ventas Inc</v>
      </c>
      <c r="B313" t="str">
        <f>$B$61</f>
        <v>VTR US Equity</v>
      </c>
      <c r="C313" t="str">
        <f>$C$61</f>
        <v>RR502</v>
      </c>
      <c r="D313" t="str">
        <f>$D$61</f>
        <v>NET_OPER_INCOME</v>
      </c>
      <c r="E313" t="str">
        <f>$E$61</f>
        <v>动态</v>
      </c>
      <c r="F313" t="str">
        <f ca="1">BDH($B$61,$C$61,$B$256,$B$257,CONCATENATE("Per=",$B$254),"Dts=H","Dir=H",CONCATENATE("Points=",$B$255),"Sort=R","Days=A","Fill=B",CONCATENATE("FX=", $B$253) )</f>
        <v>#N/A Authorization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1:125">
      <c r="A314" t="str">
        <f>$A$62</f>
        <v xml:space="preserve">    Welltower Inc</v>
      </c>
      <c r="B314" t="str">
        <f>$B$62</f>
        <v>HCN US Equity</v>
      </c>
      <c r="C314" t="str">
        <f>$C$62</f>
        <v>RR502</v>
      </c>
      <c r="D314" t="str">
        <f>$D$62</f>
        <v>NET_OPER_INCOME</v>
      </c>
      <c r="E314" t="str">
        <f>$E$62</f>
        <v>动态</v>
      </c>
      <c r="F314" t="str">
        <f ca="1">BDH($B$62,$C$62,$B$256,$B$257,CONCATENATE("Per=",$B$254),"Dts=H","Dir=H",CONCATENATE("Points=",$B$255),"Sort=R","Days=A","Fill=B",CONCATENATE("FX=", $B$253) )</f>
        <v>#N/A Authorization</v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1:125">
      <c r="A315" t="str">
        <f>$A$64</f>
        <v xml:space="preserve">    Alexandria Real Estate Equitie</v>
      </c>
      <c r="B315" t="str">
        <f>$B$64</f>
        <v>ARE US Equity</v>
      </c>
      <c r="C315" t="str">
        <f>$C$64</f>
        <v>RR009</v>
      </c>
      <c r="D315" t="str">
        <f>$D$64</f>
        <v>EBITDA</v>
      </c>
      <c r="E315" t="str">
        <f>$E$64</f>
        <v>动态</v>
      </c>
      <c r="F315" t="str">
        <f ca="1">BDH($B$64,$C$64,$B$256,$B$257,CONCATENATE("Per=",$B$254),"Dts=H","Dir=H",CONCATENATE("Points=",$B$255),"Sort=R","Days=A","Fill=B",CONCATENATE("FX=", $B$253) )</f>
        <v>#N/A Authorization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1:125">
      <c r="A316" t="str">
        <f>$A$65</f>
        <v xml:space="preserve">    Care Capital Properties Inc</v>
      </c>
      <c r="B316" t="str">
        <f>$B$65</f>
        <v>CCP US Equity</v>
      </c>
      <c r="C316" t="str">
        <f>$C$65</f>
        <v>RR009</v>
      </c>
      <c r="D316" t="str">
        <f>$D$65</f>
        <v>EBITDA</v>
      </c>
      <c r="E316" t="str">
        <f>$E$65</f>
        <v>动态</v>
      </c>
      <c r="F316" t="str">
        <f ca="1">BDH($B$65,$C$65,$B$256,$B$257,CONCATENATE("Per=",$B$254),"Dts=H","Dir=H",CONCATENATE("Points=",$B$255),"Sort=R","Days=A","Fill=B",CONCATENATE("FX=", $B$253) )</f>
        <v>#N/A Authorization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1:125">
      <c r="A317" t="str">
        <f>$A$66</f>
        <v xml:space="preserve">    HCP Inc</v>
      </c>
      <c r="B317" t="str">
        <f>$B$66</f>
        <v>HCP US Equity</v>
      </c>
      <c r="C317" t="str">
        <f>$C$66</f>
        <v>RR009</v>
      </c>
      <c r="D317" t="str">
        <f>$D$66</f>
        <v>EBITDA</v>
      </c>
      <c r="E317" t="str">
        <f>$E$66</f>
        <v>动态</v>
      </c>
      <c r="F317" t="str">
        <f ca="1">BDH($B$66,$C$66,$B$256,$B$257,CONCATENATE("Per=",$B$254),"Dts=H","Dir=H",CONCATENATE("Points=",$B$255),"Sort=R","Days=A","Fill=B",CONCATENATE("FX=", $B$253) )</f>
        <v>#N/A Authorization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1:125">
      <c r="A318" t="str">
        <f>$A$67</f>
        <v xml:space="preserve">    Healthcare Realty Trust Inc</v>
      </c>
      <c r="B318" t="str">
        <f>$B$67</f>
        <v>HR US Equity</v>
      </c>
      <c r="C318" t="str">
        <f>$C$67</f>
        <v>RR009</v>
      </c>
      <c r="D318" t="str">
        <f>$D$67</f>
        <v>EBITDA</v>
      </c>
      <c r="E318" t="str">
        <f>$E$67</f>
        <v>动态</v>
      </c>
      <c r="F318" t="str">
        <f ca="1">BDH($B$67,$C$67,$B$256,$B$257,CONCATENATE("Per=",$B$254),"Dts=H","Dir=H",CONCATENATE("Points=",$B$255),"Sort=R","Days=A","Fill=B",CONCATENATE("FX=", $B$253) )</f>
        <v>#N/A Authorization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1:125">
      <c r="A319" t="str">
        <f>$A$68</f>
        <v xml:space="preserve">    Healthcare Trust of America In</v>
      </c>
      <c r="B319" t="str">
        <f>$B$68</f>
        <v>HTA US Equity</v>
      </c>
      <c r="C319" t="str">
        <f>$C$68</f>
        <v>RR009</v>
      </c>
      <c r="D319" t="str">
        <f>$D$68</f>
        <v>EBITDA</v>
      </c>
      <c r="E319" t="str">
        <f>$E$68</f>
        <v>动态</v>
      </c>
      <c r="F319" t="str">
        <f ca="1">BDH($B$68,$C$68,$B$256,$B$257,CONCATENATE("Per=",$B$254),"Dts=H","Dir=H",CONCATENATE("Points=",$B$255),"Sort=R","Days=A","Fill=B",CONCATENATE("FX=", $B$253) )</f>
        <v>#N/A Authorization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1:125">
      <c r="A320" t="str">
        <f>$A$69</f>
        <v xml:space="preserve">    Medical Properties Trust Inc</v>
      </c>
      <c r="B320" t="str">
        <f>$B$69</f>
        <v>MPW US Equity</v>
      </c>
      <c r="C320" t="str">
        <f>$C$69</f>
        <v>RR009</v>
      </c>
      <c r="D320" t="str">
        <f>$D$69</f>
        <v>EBITDA</v>
      </c>
      <c r="E320" t="str">
        <f>$E$69</f>
        <v>动态</v>
      </c>
      <c r="F320" t="str">
        <f ca="1">BDH($B$69,$C$69,$B$256,$B$257,CONCATENATE("Per=",$B$254),"Dts=H","Dir=H",CONCATENATE("Points=",$B$255),"Sort=R","Days=A","Fill=B",CONCATENATE("FX=", $B$253) )</f>
        <v>#N/A Authorization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>
      <c r="A321" t="str">
        <f>$A$70</f>
        <v xml:space="preserve">    Omega Healthcare Investors Inc</v>
      </c>
      <c r="B321" t="str">
        <f>$B$70</f>
        <v>OHI US Equity</v>
      </c>
      <c r="C321" t="str">
        <f>$C$70</f>
        <v>RR009</v>
      </c>
      <c r="D321" t="str">
        <f>$D$70</f>
        <v>EBITDA</v>
      </c>
      <c r="E321" t="str">
        <f>$E$70</f>
        <v>动态</v>
      </c>
      <c r="F321" t="str">
        <f ca="1">BDH($B$70,$C$70,$B$256,$B$257,CONCATENATE("Per=",$B$254),"Dts=H","Dir=H",CONCATENATE("Points=",$B$255),"Sort=R","Days=A","Fill=B",CONCATENATE("FX=", $B$253) )</f>
        <v>#N/A Authorization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>
      <c r="A322" t="str">
        <f>$A$71</f>
        <v xml:space="preserve">    Sabra Health Care REIT Inc</v>
      </c>
      <c r="B322" t="str">
        <f>$B$71</f>
        <v>SBRA US Equity</v>
      </c>
      <c r="C322" t="str">
        <f>$C$71</f>
        <v>RR009</v>
      </c>
      <c r="D322" t="str">
        <f>$D$71</f>
        <v>EBITDA</v>
      </c>
      <c r="E322" t="str">
        <f>$E$71</f>
        <v>动态</v>
      </c>
      <c r="F322" t="str">
        <f ca="1">BDH($B$71,$C$71,$B$256,$B$257,CONCATENATE("Per=",$B$254),"Dts=H","Dir=H",CONCATENATE("Points=",$B$255),"Sort=R","Days=A","Fill=B",CONCATENATE("FX=", $B$253) )</f>
        <v>#N/A Authorization</v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>
      <c r="A323" t="str">
        <f>$A$72</f>
        <v xml:space="preserve">    Senior Housing Properties Trus</v>
      </c>
      <c r="B323" t="str">
        <f>$B$72</f>
        <v>SNH US Equity</v>
      </c>
      <c r="C323" t="str">
        <f>$C$72</f>
        <v>RR009</v>
      </c>
      <c r="D323" t="str">
        <f>$D$72</f>
        <v>EBITDA</v>
      </c>
      <c r="E323" t="str">
        <f>$E$72</f>
        <v>动态</v>
      </c>
      <c r="F323" t="str">
        <f ca="1">BDH($B$72,$C$72,$B$256,$B$257,CONCATENATE("Per=",$B$254),"Dts=H","Dir=H",CONCATENATE("Points=",$B$255),"Sort=R","Days=A","Fill=B",CONCATENATE("FX=", $B$253) )</f>
        <v>#N/A Authorization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>
      <c r="A324" t="str">
        <f>$A$73</f>
        <v xml:space="preserve">    Ventas Inc</v>
      </c>
      <c r="B324" t="str">
        <f>$B$73</f>
        <v>VTR US Equity</v>
      </c>
      <c r="C324" t="str">
        <f>$C$73</f>
        <v>RR009</v>
      </c>
      <c r="D324" t="str">
        <f>$D$73</f>
        <v>EBITDA</v>
      </c>
      <c r="E324" t="str">
        <f>$E$73</f>
        <v>动态</v>
      </c>
      <c r="F324" t="str">
        <f ca="1">BDH($B$73,$C$73,$B$256,$B$257,CONCATENATE("Per=",$B$254),"Dts=H","Dir=H",CONCATENATE("Points=",$B$255),"Sort=R","Days=A","Fill=B",CONCATENATE("FX=", $B$253) )</f>
        <v>#N/A Authorization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>
      <c r="A325" t="str">
        <f>$A$74</f>
        <v xml:space="preserve">    Welltower Inc</v>
      </c>
      <c r="B325" t="str">
        <f>$B$74</f>
        <v>HCN US Equity</v>
      </c>
      <c r="C325" t="str">
        <f>$C$74</f>
        <v>RR009</v>
      </c>
      <c r="D325" t="str">
        <f>$D$74</f>
        <v>EBITDA</v>
      </c>
      <c r="E325" t="str">
        <f>$E$74</f>
        <v>动态</v>
      </c>
      <c r="F325" t="str">
        <f ca="1">BDH($B$74,$C$74,$B$256,$B$257,CONCATENATE("Per=",$B$254),"Dts=H","Dir=H",CONCATENATE("Points=",$B$255),"Sort=R","Days=A","Fill=B",CONCATENATE("FX=", $B$253) )</f>
        <v>#N/A Authorization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>
      <c r="A326" t="str">
        <f>$A$76</f>
        <v xml:space="preserve">    Alexandria Real Estate Equitie</v>
      </c>
      <c r="B326" t="str">
        <f>$B$76</f>
        <v>ARE US Equity</v>
      </c>
      <c r="C326" t="str">
        <f>$C$76</f>
        <v>IS972</v>
      </c>
      <c r="D326" t="str">
        <f>$D$76</f>
        <v>IS_ADJUSTED_EBITDA_AS_REPORTED</v>
      </c>
      <c r="E326" t="str">
        <f>$E$76</f>
        <v>动态</v>
      </c>
      <c r="F326" t="str">
        <f ca="1">BDH($B$76,$C$76,$B$256,$B$257,CONCATENATE("Per=",$B$254),"Dts=H","Dir=H",CONCATENATE("Points=",$B$255),"Sort=R","Days=A","Fill=B",CONCATENATE("FX=", $B$253) )</f>
        <v>#N/A Authorization</v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>
      <c r="A327" t="str">
        <f>$A$77</f>
        <v xml:space="preserve">    Care Capital Properties Inc</v>
      </c>
      <c r="B327" t="str">
        <f>$B$77</f>
        <v>CCP US Equity</v>
      </c>
      <c r="C327" t="str">
        <f>$C$77</f>
        <v>IS972</v>
      </c>
      <c r="D327" t="str">
        <f>$D$77</f>
        <v>IS_ADJUSTED_EBITDA_AS_REPORTED</v>
      </c>
      <c r="E327" t="str">
        <f>$E$77</f>
        <v>动态</v>
      </c>
      <c r="F327" t="str">
        <f ca="1">BDH($B$77,$C$77,$B$256,$B$257,CONCATENATE("Per=",$B$254),"Dts=H","Dir=H",CONCATENATE("Points=",$B$255),"Sort=R","Days=A","Fill=B",CONCATENATE("FX=", $B$253) )</f>
        <v>#N/A Authorization</v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>
      <c r="A328" t="str">
        <f>$A$78</f>
        <v xml:space="preserve">    HCP Inc</v>
      </c>
      <c r="B328" t="str">
        <f>$B$78</f>
        <v>HCP US Equity</v>
      </c>
      <c r="C328" t="str">
        <f>$C$78</f>
        <v>IS972</v>
      </c>
      <c r="D328" t="str">
        <f>$D$78</f>
        <v>IS_ADJUSTED_EBITDA_AS_REPORTED</v>
      </c>
      <c r="E328" t="str">
        <f>$E$78</f>
        <v>动态</v>
      </c>
      <c r="F328" t="str">
        <f ca="1">BDH($B$78,$C$78,$B$256,$B$257,CONCATENATE("Per=",$B$254),"Dts=H","Dir=H",CONCATENATE("Points=",$B$255),"Sort=R","Days=A","Fill=B",CONCATENATE("FX=", $B$253) )</f>
        <v>#N/A Authorization</v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>
      <c r="A329" t="str">
        <f>$A$79</f>
        <v xml:space="preserve">    Healthcare Realty Trust Inc</v>
      </c>
      <c r="B329" t="str">
        <f>$B$79</f>
        <v>HR US Equity</v>
      </c>
      <c r="C329" t="str">
        <f>$C$79</f>
        <v>IS972</v>
      </c>
      <c r="D329" t="str">
        <f>$D$79</f>
        <v>IS_ADJUSTED_EBITDA_AS_REPORTED</v>
      </c>
      <c r="E329" t="str">
        <f>$E$79</f>
        <v>动态</v>
      </c>
      <c r="F329" t="str">
        <f ca="1">BDH($B$79,$C$79,$B$256,$B$257,CONCATENATE("Per=",$B$254),"Dts=H","Dir=H",CONCATENATE("Points=",$B$255),"Sort=R","Days=A","Fill=B",CONCATENATE("FX=", $B$253) )</f>
        <v>#N/A Authorization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>
      <c r="A330" t="str">
        <f>$A$80</f>
        <v xml:space="preserve">    Healthcare Trust of America In</v>
      </c>
      <c r="B330" t="str">
        <f>$B$80</f>
        <v>HTA US Equity</v>
      </c>
      <c r="C330" t="str">
        <f>$C$80</f>
        <v>IS972</v>
      </c>
      <c r="D330" t="str">
        <f>$D$80</f>
        <v>IS_ADJUSTED_EBITDA_AS_REPORTED</v>
      </c>
      <c r="E330" t="str">
        <f>$E$80</f>
        <v>动态</v>
      </c>
      <c r="F330" t="str">
        <f ca="1">BDH($B$80,$C$80,$B$256,$B$257,CONCATENATE("Per=",$B$254),"Dts=H","Dir=H",CONCATENATE("Points=",$B$255),"Sort=R","Days=A","Fill=B",CONCATENATE("FX=", $B$253) )</f>
        <v>#N/A Authorization</v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>
      <c r="A331" t="str">
        <f>$A$81</f>
        <v xml:space="preserve">    Medical Properties Trust Inc</v>
      </c>
      <c r="B331" t="str">
        <f>$B$81</f>
        <v>MPW US Equity</v>
      </c>
      <c r="C331" t="str">
        <f>$C$81</f>
        <v>IS972</v>
      </c>
      <c r="D331" t="str">
        <f>$D$81</f>
        <v>IS_ADJUSTED_EBITDA_AS_REPORTED</v>
      </c>
      <c r="E331" t="str">
        <f>$E$81</f>
        <v>动态</v>
      </c>
      <c r="F331" t="str">
        <f ca="1">BDH($B$81,$C$81,$B$256,$B$257,CONCATENATE("Per=",$B$254),"Dts=H","Dir=H",CONCATENATE("Points=",$B$255),"Sort=R","Days=A","Fill=B",CONCATENATE("FX=", $B$253) )</f>
        <v>#N/A Authorization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>
      <c r="A332" t="str">
        <f>$A$82</f>
        <v xml:space="preserve">    Omega Healthcare Investors Inc</v>
      </c>
      <c r="B332" t="str">
        <f>$B$82</f>
        <v>OHI US Equity</v>
      </c>
      <c r="C332" t="str">
        <f>$C$82</f>
        <v>IS972</v>
      </c>
      <c r="D332" t="str">
        <f>$D$82</f>
        <v>IS_ADJUSTED_EBITDA_AS_REPORTED</v>
      </c>
      <c r="E332" t="str">
        <f>$E$82</f>
        <v>动态</v>
      </c>
      <c r="F332" t="str">
        <f ca="1">BDH($B$82,$C$82,$B$256,$B$257,CONCATENATE("Per=",$B$254),"Dts=H","Dir=H",CONCATENATE("Points=",$B$255),"Sort=R","Days=A","Fill=B",CONCATENATE("FX=", $B$253) )</f>
        <v>#N/A Authorization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>
      <c r="A333" t="str">
        <f>$A$83</f>
        <v xml:space="preserve">    Sabra Health Care REIT Inc</v>
      </c>
      <c r="B333" t="str">
        <f>$B$83</f>
        <v>SBRA US Equity</v>
      </c>
      <c r="C333" t="str">
        <f>$C$83</f>
        <v>IS972</v>
      </c>
      <c r="D333" t="str">
        <f>$D$83</f>
        <v>IS_ADJUSTED_EBITDA_AS_REPORTED</v>
      </c>
      <c r="E333" t="str">
        <f>$E$83</f>
        <v>动态</v>
      </c>
      <c r="F333" t="str">
        <f ca="1">BDH($B$83,$C$83,$B$256,$B$257,CONCATENATE("Per=",$B$254),"Dts=H","Dir=H",CONCATENATE("Points=",$B$255),"Sort=R","Days=A","Fill=B",CONCATENATE("FX=", $B$253) )</f>
        <v>#N/A Authorization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>
      <c r="A334" t="str">
        <f>$A$84</f>
        <v xml:space="preserve">    Senior Housing Properties Trus</v>
      </c>
      <c r="B334" t="str">
        <f>$B$84</f>
        <v>SNH US Equity</v>
      </c>
      <c r="C334" t="str">
        <f>$C$84</f>
        <v>IS972</v>
      </c>
      <c r="D334" t="str">
        <f>$D$84</f>
        <v>IS_ADJUSTED_EBITDA_AS_REPORTED</v>
      </c>
      <c r="E334" t="str">
        <f>$E$84</f>
        <v>动态</v>
      </c>
      <c r="F334" t="str">
        <f ca="1">BDH($B$84,$C$84,$B$256,$B$257,CONCATENATE("Per=",$B$254),"Dts=H","Dir=H",CONCATENATE("Points=",$B$255),"Sort=R","Days=A","Fill=B",CONCATENATE("FX=", $B$253) )</f>
        <v>#N/A Authorization</v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>
      <c r="A335" t="str">
        <f>$A$85</f>
        <v xml:space="preserve">    Ventas Inc</v>
      </c>
      <c r="B335" t="str">
        <f>$B$85</f>
        <v>VTR US Equity</v>
      </c>
      <c r="C335" t="str">
        <f>$C$85</f>
        <v>IS972</v>
      </c>
      <c r="D335" t="str">
        <f>$D$85</f>
        <v>IS_ADJUSTED_EBITDA_AS_REPORTED</v>
      </c>
      <c r="E335" t="str">
        <f>$E$85</f>
        <v>动态</v>
      </c>
      <c r="F335" t="str">
        <f ca="1">BDH($B$85,$C$85,$B$256,$B$257,CONCATENATE("Per=",$B$254),"Dts=H","Dir=H",CONCATENATE("Points=",$B$255),"Sort=R","Days=A","Fill=B",CONCATENATE("FX=", $B$253) )</f>
        <v>#N/A Authorization</v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>
      <c r="A336" t="str">
        <f>$A$86</f>
        <v xml:space="preserve">    Welltower Inc</v>
      </c>
      <c r="B336" t="str">
        <f>$B$86</f>
        <v>HCN US Equity</v>
      </c>
      <c r="C336" t="str">
        <f>$C$86</f>
        <v>IS972</v>
      </c>
      <c r="D336" t="str">
        <f>$D$86</f>
        <v>IS_ADJUSTED_EBITDA_AS_REPORTED</v>
      </c>
      <c r="E336" t="str">
        <f>$E$86</f>
        <v>动态</v>
      </c>
      <c r="F336" t="str">
        <f ca="1">BDH($B$86,$C$86,$B$256,$B$257,CONCATENATE("Per=",$B$254),"Dts=H","Dir=H",CONCATENATE("Points=",$B$255),"Sort=R","Days=A","Fill=B",CONCATENATE("FX=", $B$253) )</f>
        <v>#N/A Authorization</v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>
      <c r="A337" t="str">
        <f>$A$88</f>
        <v xml:space="preserve">    Alexandria Real Estate Equitie</v>
      </c>
      <c r="B337" t="str">
        <f>$B$88</f>
        <v>ARE US Equity</v>
      </c>
      <c r="C337" t="str">
        <f>$C$88</f>
        <v>CF039</v>
      </c>
      <c r="D337" t="str">
        <f>$D$88</f>
        <v>CF_FFO</v>
      </c>
      <c r="E337" t="str">
        <f>$E$88</f>
        <v>动态</v>
      </c>
      <c r="F337" t="str">
        <f ca="1">BDH($B$88,$C$88,$B$256,$B$257,CONCATENATE("Per=",$B$254),"Dts=H","Dir=H",CONCATENATE("Points=",$B$255),"Sort=R","Days=A","Fill=B",CONCATENATE("FX=", $B$253) )</f>
        <v>#N/A Authorization</v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>
      <c r="A338" t="str">
        <f>$A$89</f>
        <v xml:space="preserve">    Care Capital Properties Inc</v>
      </c>
      <c r="B338" t="str">
        <f>$B$89</f>
        <v>CCP US Equity</v>
      </c>
      <c r="C338" t="str">
        <f>$C$89</f>
        <v>CF039</v>
      </c>
      <c r="D338" t="str">
        <f>$D$89</f>
        <v>CF_FFO</v>
      </c>
      <c r="E338" t="str">
        <f>$E$89</f>
        <v>动态</v>
      </c>
      <c r="F338" t="str">
        <f ca="1">BDH($B$89,$C$89,$B$256,$B$257,CONCATENATE("Per=",$B$254),"Dts=H","Dir=H",CONCATENATE("Points=",$B$255),"Sort=R","Days=A","Fill=B",CONCATENATE("FX=", $B$253) )</f>
        <v>#N/A Authorization</v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>
      <c r="A339" t="str">
        <f>$A$90</f>
        <v xml:space="preserve">    HCP Inc</v>
      </c>
      <c r="B339" t="str">
        <f>$B$90</f>
        <v>HCP US Equity</v>
      </c>
      <c r="C339" t="str">
        <f>$C$90</f>
        <v>CF039</v>
      </c>
      <c r="D339" t="str">
        <f>$D$90</f>
        <v>CF_FFO</v>
      </c>
      <c r="E339" t="str">
        <f>$E$90</f>
        <v>动态</v>
      </c>
      <c r="F339" t="str">
        <f ca="1">BDH($B$90,$C$90,$B$256,$B$257,CONCATENATE("Per=",$B$254),"Dts=H","Dir=H",CONCATENATE("Points=",$B$255),"Sort=R","Days=A","Fill=B",CONCATENATE("FX=", $B$253) )</f>
        <v>#N/A Authorization</v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>
      <c r="A340" t="str">
        <f>$A$91</f>
        <v xml:space="preserve">    Healthcare Realty Trust Inc</v>
      </c>
      <c r="B340" t="str">
        <f>$B$91</f>
        <v>HR US Equity</v>
      </c>
      <c r="C340" t="str">
        <f>$C$91</f>
        <v>CF039</v>
      </c>
      <c r="D340" t="str">
        <f>$D$91</f>
        <v>CF_FFO</v>
      </c>
      <c r="E340" t="str">
        <f>$E$91</f>
        <v>动态</v>
      </c>
      <c r="F340" t="str">
        <f ca="1">BDH($B$91,$C$91,$B$256,$B$257,CONCATENATE("Per=",$B$254),"Dts=H","Dir=H",CONCATENATE("Points=",$B$255),"Sort=R","Days=A","Fill=B",CONCATENATE("FX=", $B$253) )</f>
        <v>#N/A Authorization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>
      <c r="A341" t="str">
        <f>$A$92</f>
        <v xml:space="preserve">    Healthcare Trust of America In</v>
      </c>
      <c r="B341" t="str">
        <f>$B$92</f>
        <v>HTA US Equity</v>
      </c>
      <c r="C341" t="str">
        <f>$C$92</f>
        <v>CF039</v>
      </c>
      <c r="D341" t="str">
        <f>$D$92</f>
        <v>CF_FFO</v>
      </c>
      <c r="E341" t="str">
        <f>$E$92</f>
        <v>动态</v>
      </c>
      <c r="F341" t="str">
        <f ca="1">BDH($B$92,$C$92,$B$256,$B$257,CONCATENATE("Per=",$B$254),"Dts=H","Dir=H",CONCATENATE("Points=",$B$255),"Sort=R","Days=A","Fill=B",CONCATENATE("FX=", $B$253) )</f>
        <v>#N/A Authorization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>
      <c r="A342" t="str">
        <f>$A$93</f>
        <v xml:space="preserve">    Medical Properties Trust Inc</v>
      </c>
      <c r="B342" t="str">
        <f>$B$93</f>
        <v>MPW US Equity</v>
      </c>
      <c r="C342" t="str">
        <f>$C$93</f>
        <v>CF039</v>
      </c>
      <c r="D342" t="str">
        <f>$D$93</f>
        <v>CF_FFO</v>
      </c>
      <c r="E342" t="str">
        <f>$E$93</f>
        <v>动态</v>
      </c>
      <c r="F342" t="str">
        <f ca="1">BDH($B$93,$C$93,$B$256,$B$257,CONCATENATE("Per=",$B$254),"Dts=H","Dir=H",CONCATENATE("Points=",$B$255),"Sort=R","Days=A","Fill=B",CONCATENATE("FX=", $B$253) )</f>
        <v>#N/A Authorization</v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>
      <c r="A343" t="str">
        <f>$A$94</f>
        <v xml:space="preserve">    Omega Healthcare Investors Inc</v>
      </c>
      <c r="B343" t="str">
        <f>$B$94</f>
        <v>OHI US Equity</v>
      </c>
      <c r="C343" t="str">
        <f>$C$94</f>
        <v>CF039</v>
      </c>
      <c r="D343" t="str">
        <f>$D$94</f>
        <v>CF_FFO</v>
      </c>
      <c r="E343" t="str">
        <f>$E$94</f>
        <v>动态</v>
      </c>
      <c r="F343" t="str">
        <f ca="1">BDH($B$94,$C$94,$B$256,$B$257,CONCATENATE("Per=",$B$254),"Dts=H","Dir=H",CONCATENATE("Points=",$B$255),"Sort=R","Days=A","Fill=B",CONCATENATE("FX=", $B$253) )</f>
        <v>#N/A Authorization</v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>
      <c r="A344" t="str">
        <f>$A$95</f>
        <v xml:space="preserve">    Sabra Health Care REIT Inc</v>
      </c>
      <c r="B344" t="str">
        <f>$B$95</f>
        <v>SBRA US Equity</v>
      </c>
      <c r="C344" t="str">
        <f>$C$95</f>
        <v>CF039</v>
      </c>
      <c r="D344" t="str">
        <f>$D$95</f>
        <v>CF_FFO</v>
      </c>
      <c r="E344" t="str">
        <f>$E$95</f>
        <v>动态</v>
      </c>
      <c r="F344" t="str">
        <f ca="1">BDH($B$95,$C$95,$B$256,$B$257,CONCATENATE("Per=",$B$254),"Dts=H","Dir=H",CONCATENATE("Points=",$B$255),"Sort=R","Days=A","Fill=B",CONCATENATE("FX=", $B$253) )</f>
        <v>#N/A Authorization</v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>
      <c r="A345" t="str">
        <f>$A$96</f>
        <v xml:space="preserve">    Senior Housing Properties Trus</v>
      </c>
      <c r="B345" t="str">
        <f>$B$96</f>
        <v>SNH US Equity</v>
      </c>
      <c r="C345" t="str">
        <f>$C$96</f>
        <v>CF039</v>
      </c>
      <c r="D345" t="str">
        <f>$D$96</f>
        <v>CF_FFO</v>
      </c>
      <c r="E345" t="str">
        <f>$E$96</f>
        <v>动态</v>
      </c>
      <c r="F345" t="str">
        <f ca="1">BDH($B$96,$C$96,$B$256,$B$257,CONCATENATE("Per=",$B$254),"Dts=H","Dir=H",CONCATENATE("Points=",$B$255),"Sort=R","Days=A","Fill=B",CONCATENATE("FX=", $B$253) )</f>
        <v>#N/A Authorization</v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>
      <c r="A346" t="str">
        <f>$A$97</f>
        <v xml:space="preserve">    Ventas Inc</v>
      </c>
      <c r="B346" t="str">
        <f>$B$97</f>
        <v>VTR US Equity</v>
      </c>
      <c r="C346" t="str">
        <f>$C$97</f>
        <v>CF039</v>
      </c>
      <c r="D346" t="str">
        <f>$D$97</f>
        <v>CF_FFO</v>
      </c>
      <c r="E346" t="str">
        <f>$E$97</f>
        <v>动态</v>
      </c>
      <c r="F346" t="str">
        <f ca="1">BDH($B$97,$C$97,$B$256,$B$257,CONCATENATE("Per=",$B$254),"Dts=H","Dir=H",CONCATENATE("Points=",$B$255),"Sort=R","Days=A","Fill=B",CONCATENATE("FX=", $B$253) )</f>
        <v>#N/A Authorization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>
      <c r="A347" t="str">
        <f>$A$98</f>
        <v xml:space="preserve">    Welltower Inc</v>
      </c>
      <c r="B347" t="str">
        <f>$B$98</f>
        <v>HCN US Equity</v>
      </c>
      <c r="C347" t="str">
        <f>$C$98</f>
        <v>CF039</v>
      </c>
      <c r="D347" t="str">
        <f>$D$98</f>
        <v>CF_FFO</v>
      </c>
      <c r="E347" t="str">
        <f>$E$98</f>
        <v>动态</v>
      </c>
      <c r="F347" t="str">
        <f ca="1">BDH($B$98,$C$98,$B$256,$B$257,CONCATENATE("Per=",$B$254),"Dts=H","Dir=H",CONCATENATE("Points=",$B$255),"Sort=R","Days=A","Fill=B",CONCATENATE("FX=", $B$253) )</f>
        <v>#N/A Authorization</v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>
      <c r="A348" t="str">
        <f>$A$100</f>
        <v xml:space="preserve">    Alexandria Real Estate Equitie</v>
      </c>
      <c r="B348" t="str">
        <f>$B$100</f>
        <v>ARE US Equity</v>
      </c>
      <c r="C348" t="str">
        <f>$C$100</f>
        <v>F0578</v>
      </c>
      <c r="D348" t="str">
        <f>$D$100</f>
        <v>FUNDS_AVAILABLE_FOR_DISTRIBUTION</v>
      </c>
      <c r="E348" t="str">
        <f>$E$100</f>
        <v>动态</v>
      </c>
      <c r="F348" t="str">
        <f ca="1">BDH($B$100,$C$100,$B$256,$B$257,CONCATENATE("Per=",$B$254),"Dts=H","Dir=H",CONCATENATE("Points=",$B$255),"Sort=R","Days=A","Fill=B",CONCATENATE("FX=", $B$253) )</f>
        <v>#N/A Authorization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>
      <c r="A349" t="str">
        <f>$A$101</f>
        <v xml:space="preserve">    Care Capital Properties Inc</v>
      </c>
      <c r="B349" t="str">
        <f>$B$101</f>
        <v>CCP US Equity</v>
      </c>
      <c r="C349" t="str">
        <f>$C$101</f>
        <v>F0578</v>
      </c>
      <c r="D349" t="str">
        <f>$D$101</f>
        <v>FUNDS_AVAILABLE_FOR_DISTRIBUTION</v>
      </c>
      <c r="E349" t="str">
        <f>$E$101</f>
        <v>动态</v>
      </c>
      <c r="F349" t="str">
        <f ca="1">BDH($B$101,$C$101,$B$256,$B$257,CONCATENATE("Per=",$B$254),"Dts=H","Dir=H",CONCATENATE("Points=",$B$255),"Sort=R","Days=A","Fill=B",CONCATENATE("FX=", $B$253) )</f>
        <v>#N/A Authorization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>
      <c r="A350" t="str">
        <f>$A$102</f>
        <v xml:space="preserve">    HCP Inc</v>
      </c>
      <c r="B350" t="str">
        <f>$B$102</f>
        <v>HCP US Equity</v>
      </c>
      <c r="C350" t="str">
        <f>$C$102</f>
        <v>F0578</v>
      </c>
      <c r="D350" t="str">
        <f>$D$102</f>
        <v>FUNDS_AVAILABLE_FOR_DISTRIBUTION</v>
      </c>
      <c r="E350" t="str">
        <f>$E$102</f>
        <v>动态</v>
      </c>
      <c r="F350" t="str">
        <f ca="1">BDH($B$102,$C$102,$B$256,$B$257,CONCATENATE("Per=",$B$254),"Dts=H","Dir=H",CONCATENATE("Points=",$B$255),"Sort=R","Days=A","Fill=B",CONCATENATE("FX=", $B$253) )</f>
        <v>#N/A Authorization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>
      <c r="A351" t="str">
        <f>$A$103</f>
        <v xml:space="preserve">    Healthcare Realty Trust Inc</v>
      </c>
      <c r="B351" t="str">
        <f>$B$103</f>
        <v>HR US Equity</v>
      </c>
      <c r="C351" t="str">
        <f>$C$103</f>
        <v>F0578</v>
      </c>
      <c r="D351" t="str">
        <f>$D$103</f>
        <v>FUNDS_AVAILABLE_FOR_DISTRIBUTION</v>
      </c>
      <c r="E351" t="str">
        <f>$E$103</f>
        <v>动态</v>
      </c>
      <c r="F351" t="str">
        <f ca="1">BDH($B$103,$C$103,$B$256,$B$257,CONCATENATE("Per=",$B$254),"Dts=H","Dir=H",CONCATENATE("Points=",$B$255),"Sort=R","Days=A","Fill=B",CONCATENATE("FX=", $B$253) )</f>
        <v>#N/A Authorization</v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>
      <c r="A352" t="str">
        <f>$A$104</f>
        <v xml:space="preserve">    Healthcare Trust of America In</v>
      </c>
      <c r="B352" t="str">
        <f>$B$104</f>
        <v>HTA US Equity</v>
      </c>
      <c r="C352" t="str">
        <f>$C$104</f>
        <v>F0578</v>
      </c>
      <c r="D352" t="str">
        <f>$D$104</f>
        <v>FUNDS_AVAILABLE_FOR_DISTRIBUTION</v>
      </c>
      <c r="E352" t="str">
        <f>$E$104</f>
        <v>动态</v>
      </c>
      <c r="F352" t="str">
        <f ca="1">BDH($B$104,$C$104,$B$256,$B$257,CONCATENATE("Per=",$B$254),"Dts=H","Dir=H",CONCATENATE("Points=",$B$255),"Sort=R","Days=A","Fill=B",CONCATENATE("FX=", $B$253) )</f>
        <v>#N/A Authorization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>
      <c r="A353" t="str">
        <f>$A$105</f>
        <v xml:space="preserve">    Medical Properties Trust Inc</v>
      </c>
      <c r="B353" t="str">
        <f>$B$105</f>
        <v>MPW US Equity</v>
      </c>
      <c r="C353" t="str">
        <f>$C$105</f>
        <v>F0578</v>
      </c>
      <c r="D353" t="str">
        <f>$D$105</f>
        <v>FUNDS_AVAILABLE_FOR_DISTRIBUTION</v>
      </c>
      <c r="E353" t="str">
        <f>$E$105</f>
        <v>动态</v>
      </c>
      <c r="F353" t="str">
        <f ca="1">BDH($B$105,$C$105,$B$256,$B$257,CONCATENATE("Per=",$B$254),"Dts=H","Dir=H",CONCATENATE("Points=",$B$255),"Sort=R","Days=A","Fill=B",CONCATENATE("FX=", $B$253) )</f>
        <v>#N/A Authorization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>
      <c r="A354" t="str">
        <f>$A$106</f>
        <v xml:space="preserve">    Omega Healthcare Investors Inc</v>
      </c>
      <c r="B354" t="str">
        <f>$B$106</f>
        <v>OHI US Equity</v>
      </c>
      <c r="C354" t="str">
        <f>$C$106</f>
        <v>F0578</v>
      </c>
      <c r="D354" t="str">
        <f>$D$106</f>
        <v>FUNDS_AVAILABLE_FOR_DISTRIBUTION</v>
      </c>
      <c r="E354" t="str">
        <f>$E$106</f>
        <v>动态</v>
      </c>
      <c r="F354" t="str">
        <f ca="1">BDH($B$106,$C$106,$B$256,$B$257,CONCATENATE("Per=",$B$254),"Dts=H","Dir=H",CONCATENATE("Points=",$B$255),"Sort=R","Days=A","Fill=B",CONCATENATE("FX=", $B$253) )</f>
        <v>#N/A Authorization</v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>
      <c r="A355" t="str">
        <f>$A$107</f>
        <v xml:space="preserve">    Sabra Health Care REIT Inc</v>
      </c>
      <c r="B355" t="str">
        <f>$B$107</f>
        <v>SBRA US Equity</v>
      </c>
      <c r="C355" t="str">
        <f>$C$107</f>
        <v>F0578</v>
      </c>
      <c r="D355" t="str">
        <f>$D$107</f>
        <v>FUNDS_AVAILABLE_FOR_DISTRIBUTION</v>
      </c>
      <c r="E355" t="str">
        <f>$E$107</f>
        <v>动态</v>
      </c>
      <c r="F355" t="str">
        <f ca="1">BDH($B$107,$C$107,$B$256,$B$257,CONCATENATE("Per=",$B$254),"Dts=H","Dir=H",CONCATENATE("Points=",$B$255),"Sort=R","Days=A","Fill=B",CONCATENATE("FX=", $B$253) )</f>
        <v>#N/A Authorization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>
      <c r="A356" t="str">
        <f>$A$108</f>
        <v xml:space="preserve">    Senior Housing Properties Trus</v>
      </c>
      <c r="B356" t="str">
        <f>$B$108</f>
        <v>SNH US Equity</v>
      </c>
      <c r="C356" t="str">
        <f>$C$108</f>
        <v>F0578</v>
      </c>
      <c r="D356" t="str">
        <f>$D$108</f>
        <v>FUNDS_AVAILABLE_FOR_DISTRIBUTION</v>
      </c>
      <c r="E356" t="str">
        <f>$E$108</f>
        <v>动态</v>
      </c>
      <c r="F356" t="str">
        <f ca="1">BDH($B$108,$C$108,$B$256,$B$257,CONCATENATE("Per=",$B$254),"Dts=H","Dir=H",CONCATENATE("Points=",$B$255),"Sort=R","Days=A","Fill=B",CONCATENATE("FX=", $B$253) )</f>
        <v>#N/A Authorization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>
      <c r="A357" t="str">
        <f>$A$109</f>
        <v xml:space="preserve">    Ventas Inc</v>
      </c>
      <c r="B357" t="str">
        <f>$B$109</f>
        <v>VTR US Equity</v>
      </c>
      <c r="C357" t="str">
        <f>$C$109</f>
        <v>F0578</v>
      </c>
      <c r="D357" t="str">
        <f>$D$109</f>
        <v>FUNDS_AVAILABLE_FOR_DISTRIBUTION</v>
      </c>
      <c r="E357" t="str">
        <f>$E$109</f>
        <v>动态</v>
      </c>
      <c r="F357" t="str">
        <f ca="1">BDH($B$109,$C$109,$B$256,$B$257,CONCATENATE("Per=",$B$254),"Dts=H","Dir=H",CONCATENATE("Points=",$B$255),"Sort=R","Days=A","Fill=B",CONCATENATE("FX=", $B$253) )</f>
        <v>#N/A Authorization</v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>
      <c r="A358" t="str">
        <f>$A$110</f>
        <v xml:space="preserve">    Welltower Inc</v>
      </c>
      <c r="B358" t="str">
        <f>$B$110</f>
        <v>HCN US Equity</v>
      </c>
      <c r="C358" t="str">
        <f>$C$110</f>
        <v>F0578</v>
      </c>
      <c r="D358" t="str">
        <f>$D$110</f>
        <v>FUNDS_AVAILABLE_FOR_DISTRIBUTION</v>
      </c>
      <c r="E358" t="str">
        <f>$E$110</f>
        <v>动态</v>
      </c>
      <c r="F358" t="str">
        <f ca="1">BDH($B$110,$C$110,$B$256,$B$257,CONCATENATE("Per=",$B$254),"Dts=H","Dir=H",CONCATENATE("Points=",$B$255),"Sort=R","Days=A","Fill=B",CONCATENATE("FX=", $B$253) )</f>
        <v>#N/A Authorization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>
      <c r="A359" t="str">
        <f>$A$112</f>
        <v xml:space="preserve">    Alexandria Real Estate Equitie</v>
      </c>
      <c r="B359" t="str">
        <f>$B$112</f>
        <v>ARE US Equity</v>
      </c>
      <c r="C359" t="str">
        <f>$C$112</f>
        <v>RR033</v>
      </c>
      <c r="D359" t="str">
        <f>$D$112</f>
        <v>SALES_GROWTH</v>
      </c>
      <c r="E359" t="str">
        <f>$E$112</f>
        <v>动态</v>
      </c>
      <c r="F359" t="str">
        <f ca="1">BDH($B$112,$C$112,$B$256,$B$257,CONCATENATE("Per=",$B$254),"Dts=H","Dir=H",CONCATENATE("Points=",$B$255),"Sort=R","Days=A","Fill=B",CONCATENATE("FX=", $B$253) )</f>
        <v>#N/A Authorization</v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>
      <c r="A360" t="str">
        <f>$A$113</f>
        <v xml:space="preserve">    Care Capital Properties Inc</v>
      </c>
      <c r="B360" t="str">
        <f>$B$113</f>
        <v>CCP US Equity</v>
      </c>
      <c r="C360" t="str">
        <f>$C$113</f>
        <v>RR033</v>
      </c>
      <c r="D360" t="str">
        <f>$D$113</f>
        <v>SALES_GROWTH</v>
      </c>
      <c r="E360" t="str">
        <f>$E$113</f>
        <v>动态</v>
      </c>
      <c r="F360" t="str">
        <f ca="1">BDH($B$113,$C$113,$B$256,$B$257,CONCATENATE("Per=",$B$254),"Dts=H","Dir=H",CONCATENATE("Points=",$B$255),"Sort=R","Days=A","Fill=B",CONCATENATE("FX=", $B$253) )</f>
        <v>#N/A Authorization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>
      <c r="A361" t="str">
        <f>$A$114</f>
        <v xml:space="preserve">    HCP Inc</v>
      </c>
      <c r="B361" t="str">
        <f>$B$114</f>
        <v>HCP US Equity</v>
      </c>
      <c r="C361" t="str">
        <f>$C$114</f>
        <v>RR033</v>
      </c>
      <c r="D361" t="str">
        <f>$D$114</f>
        <v>SALES_GROWTH</v>
      </c>
      <c r="E361" t="str">
        <f>$E$114</f>
        <v>动态</v>
      </c>
      <c r="F361" t="str">
        <f ca="1">BDH($B$114,$C$114,$B$256,$B$257,CONCATENATE("Per=",$B$254),"Dts=H","Dir=H",CONCATENATE("Points=",$B$255),"Sort=R","Days=A","Fill=B",CONCATENATE("FX=", $B$253) )</f>
        <v>#N/A Authorization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>
      <c r="A362" t="str">
        <f>$A$115</f>
        <v xml:space="preserve">    Healthcare Realty Trust Inc</v>
      </c>
      <c r="B362" t="str">
        <f>$B$115</f>
        <v>HR US Equity</v>
      </c>
      <c r="C362" t="str">
        <f>$C$115</f>
        <v>RR033</v>
      </c>
      <c r="D362" t="str">
        <f>$D$115</f>
        <v>SALES_GROWTH</v>
      </c>
      <c r="E362" t="str">
        <f>$E$115</f>
        <v>动态</v>
      </c>
      <c r="F362" t="str">
        <f ca="1">BDH($B$115,$C$115,$B$256,$B$257,CONCATENATE("Per=",$B$254),"Dts=H","Dir=H",CONCATENATE("Points=",$B$255),"Sort=R","Days=A","Fill=B",CONCATENATE("FX=", $B$253) )</f>
        <v>#N/A Authorization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>
      <c r="A363" t="str">
        <f>$A$116</f>
        <v xml:space="preserve">    Healthcare Trust of America In</v>
      </c>
      <c r="B363" t="str">
        <f>$B$116</f>
        <v>HTA US Equity</v>
      </c>
      <c r="C363" t="str">
        <f>$C$116</f>
        <v>RR033</v>
      </c>
      <c r="D363" t="str">
        <f>$D$116</f>
        <v>SALES_GROWTH</v>
      </c>
      <c r="E363" t="str">
        <f>$E$116</f>
        <v>动态</v>
      </c>
      <c r="F363" t="str">
        <f ca="1">BDH($B$116,$C$116,$B$256,$B$257,CONCATENATE("Per=",$B$254),"Dts=H","Dir=H",CONCATENATE("Points=",$B$255),"Sort=R","Days=A","Fill=B",CONCATENATE("FX=", $B$253) )</f>
        <v>#N/A Authorization</v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  <row r="364" spans="1:125">
      <c r="A364" t="str">
        <f>$A$117</f>
        <v xml:space="preserve">    Medical Properties Trust Inc</v>
      </c>
      <c r="B364" t="str">
        <f>$B$117</f>
        <v>MPW US Equity</v>
      </c>
      <c r="C364" t="str">
        <f>$C$117</f>
        <v>RR033</v>
      </c>
      <c r="D364" t="str">
        <f>$D$117</f>
        <v>SALES_GROWTH</v>
      </c>
      <c r="E364" t="str">
        <f>$E$117</f>
        <v>动态</v>
      </c>
      <c r="F364" t="str">
        <f ca="1">BDH($B$117,$C$117,$B$256,$B$257,CONCATENATE("Per=",$B$254),"Dts=H","Dir=H",CONCATENATE("Points=",$B$255),"Sort=R","Days=A","Fill=B",CONCATENATE("FX=", $B$253) )</f>
        <v>#N/A Authorization</v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  <c r="CI364" t="str">
        <f>""</f>
        <v/>
      </c>
      <c r="CJ364" t="str">
        <f>""</f>
        <v/>
      </c>
      <c r="CK364" t="str">
        <f>""</f>
        <v/>
      </c>
      <c r="CL364" t="str">
        <f>""</f>
        <v/>
      </c>
      <c r="CM364" t="str">
        <f>""</f>
        <v/>
      </c>
      <c r="CN364" t="str">
        <f>""</f>
        <v/>
      </c>
      <c r="CO364" t="str">
        <f>""</f>
        <v/>
      </c>
      <c r="CP364" t="str">
        <f>""</f>
        <v/>
      </c>
      <c r="CQ364" t="str">
        <f>""</f>
        <v/>
      </c>
      <c r="CR364" t="str">
        <f>""</f>
        <v/>
      </c>
      <c r="CS364" t="str">
        <f>""</f>
        <v/>
      </c>
      <c r="CT364" t="str">
        <f>""</f>
        <v/>
      </c>
      <c r="CU364" t="str">
        <f>""</f>
        <v/>
      </c>
      <c r="CV364" t="str">
        <f>""</f>
        <v/>
      </c>
      <c r="CW364" t="str">
        <f>""</f>
        <v/>
      </c>
      <c r="CX364" t="str">
        <f>""</f>
        <v/>
      </c>
      <c r="CY364" t="str">
        <f>""</f>
        <v/>
      </c>
      <c r="CZ364" t="str">
        <f>""</f>
        <v/>
      </c>
      <c r="DA364" t="str">
        <f>""</f>
        <v/>
      </c>
      <c r="DB364" t="str">
        <f>""</f>
        <v/>
      </c>
      <c r="DC364" t="str">
        <f>""</f>
        <v/>
      </c>
      <c r="DD364" t="str">
        <f>""</f>
        <v/>
      </c>
      <c r="DE364" t="str">
        <f>""</f>
        <v/>
      </c>
      <c r="DF364" t="str">
        <f>""</f>
        <v/>
      </c>
      <c r="DG364" t="str">
        <f>""</f>
        <v/>
      </c>
      <c r="DH364" t="str">
        <f>""</f>
        <v/>
      </c>
      <c r="DI364" t="str">
        <f>""</f>
        <v/>
      </c>
      <c r="DJ364" t="str">
        <f>""</f>
        <v/>
      </c>
      <c r="DK364" t="str">
        <f>""</f>
        <v/>
      </c>
      <c r="DL364" t="str">
        <f>""</f>
        <v/>
      </c>
      <c r="DM364" t="str">
        <f>""</f>
        <v/>
      </c>
      <c r="DN364" t="str">
        <f>""</f>
        <v/>
      </c>
      <c r="DO364" t="str">
        <f>""</f>
        <v/>
      </c>
      <c r="DP364" t="str">
        <f>""</f>
        <v/>
      </c>
      <c r="DQ364" t="str">
        <f>""</f>
        <v/>
      </c>
      <c r="DR364" t="str">
        <f>""</f>
        <v/>
      </c>
      <c r="DS364" t="str">
        <f>""</f>
        <v/>
      </c>
      <c r="DT364" t="str">
        <f>""</f>
        <v/>
      </c>
      <c r="DU364" t="str">
        <f>""</f>
        <v/>
      </c>
    </row>
    <row r="365" spans="1:125">
      <c r="A365" t="str">
        <f>$A$118</f>
        <v xml:space="preserve">    Omega Healthcare Investors Inc</v>
      </c>
      <c r="B365" t="str">
        <f>$B$118</f>
        <v>OHI US Equity</v>
      </c>
      <c r="C365" t="str">
        <f>$C$118</f>
        <v>RR033</v>
      </c>
      <c r="D365" t="str">
        <f>$D$118</f>
        <v>SALES_GROWTH</v>
      </c>
      <c r="E365" t="str">
        <f>$E$118</f>
        <v>动态</v>
      </c>
      <c r="F365" t="str">
        <f ca="1">BDH($B$118,$C$118,$B$256,$B$257,CONCATENATE("Per=",$B$254),"Dts=H","Dir=H",CONCATENATE("Points=",$B$255),"Sort=R","Days=A","Fill=B",CONCATENATE("FX=", $B$253) )</f>
        <v>#N/A Authorization</v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""</f>
        <v/>
      </c>
      <c r="CI365" t="str">
        <f>""</f>
        <v/>
      </c>
      <c r="CJ365" t="str">
        <f>""</f>
        <v/>
      </c>
      <c r="CK365" t="str">
        <f>""</f>
        <v/>
      </c>
      <c r="CL365" t="str">
        <f>""</f>
        <v/>
      </c>
      <c r="CM365" t="str">
        <f>""</f>
        <v/>
      </c>
      <c r="CN365" t="str">
        <f>""</f>
        <v/>
      </c>
      <c r="CO365" t="str">
        <f>""</f>
        <v/>
      </c>
      <c r="CP365" t="str">
        <f>""</f>
        <v/>
      </c>
      <c r="CQ365" t="str">
        <f>""</f>
        <v/>
      </c>
      <c r="CR365" t="str">
        <f>""</f>
        <v/>
      </c>
      <c r="CS365" t="str">
        <f>""</f>
        <v/>
      </c>
      <c r="CT365" t="str">
        <f>""</f>
        <v/>
      </c>
      <c r="CU365" t="str">
        <f>""</f>
        <v/>
      </c>
      <c r="CV365" t="str">
        <f>""</f>
        <v/>
      </c>
      <c r="CW365" t="str">
        <f>""</f>
        <v/>
      </c>
      <c r="CX365" t="str">
        <f>""</f>
        <v/>
      </c>
      <c r="CY365" t="str">
        <f>""</f>
        <v/>
      </c>
      <c r="CZ365" t="str">
        <f>""</f>
        <v/>
      </c>
      <c r="DA365" t="str">
        <f>""</f>
        <v/>
      </c>
      <c r="DB365" t="str">
        <f>""</f>
        <v/>
      </c>
      <c r="DC365" t="str">
        <f>""</f>
        <v/>
      </c>
      <c r="DD365" t="str">
        <f>""</f>
        <v/>
      </c>
      <c r="DE365" t="str">
        <f>""</f>
        <v/>
      </c>
      <c r="DF365" t="str">
        <f>""</f>
        <v/>
      </c>
      <c r="DG365" t="str">
        <f>""</f>
        <v/>
      </c>
      <c r="DH365" t="str">
        <f>""</f>
        <v/>
      </c>
      <c r="DI365" t="str">
        <f>""</f>
        <v/>
      </c>
      <c r="DJ365" t="str">
        <f>""</f>
        <v/>
      </c>
      <c r="DK365" t="str">
        <f>""</f>
        <v/>
      </c>
      <c r="DL365" t="str">
        <f>""</f>
        <v/>
      </c>
      <c r="DM365" t="str">
        <f>""</f>
        <v/>
      </c>
      <c r="DN365" t="str">
        <f>""</f>
        <v/>
      </c>
      <c r="DO365" t="str">
        <f>""</f>
        <v/>
      </c>
      <c r="DP365" t="str">
        <f>""</f>
        <v/>
      </c>
      <c r="DQ365" t="str">
        <f>""</f>
        <v/>
      </c>
      <c r="DR365" t="str">
        <f>""</f>
        <v/>
      </c>
      <c r="DS365" t="str">
        <f>""</f>
        <v/>
      </c>
      <c r="DT365" t="str">
        <f>""</f>
        <v/>
      </c>
      <c r="DU365" t="str">
        <f>""</f>
        <v/>
      </c>
    </row>
    <row r="366" spans="1:125">
      <c r="A366" t="str">
        <f>$A$119</f>
        <v xml:space="preserve">    Sabra Health Care REIT Inc</v>
      </c>
      <c r="B366" t="str">
        <f>$B$119</f>
        <v>SBRA US Equity</v>
      </c>
      <c r="C366" t="str">
        <f>$C$119</f>
        <v>RR033</v>
      </c>
      <c r="D366" t="str">
        <f>$D$119</f>
        <v>SALES_GROWTH</v>
      </c>
      <c r="E366" t="str">
        <f>$E$119</f>
        <v>动态</v>
      </c>
      <c r="F366" t="str">
        <f ca="1">BDH($B$119,$C$119,$B$256,$B$257,CONCATENATE("Per=",$B$254),"Dts=H","Dir=H",CONCATENATE("Points=",$B$255),"Sort=R","Days=A","Fill=B",CONCATENATE("FX=", $B$253) )</f>
        <v>#N/A Authorization</v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  <c r="CI366" t="str">
        <f>""</f>
        <v/>
      </c>
      <c r="CJ366" t="str">
        <f>""</f>
        <v/>
      </c>
      <c r="CK366" t="str">
        <f>""</f>
        <v/>
      </c>
      <c r="CL366" t="str">
        <f>""</f>
        <v/>
      </c>
      <c r="CM366" t="str">
        <f>""</f>
        <v/>
      </c>
      <c r="CN366" t="str">
        <f>""</f>
        <v/>
      </c>
      <c r="CO366" t="str">
        <f>""</f>
        <v/>
      </c>
      <c r="CP366" t="str">
        <f>""</f>
        <v/>
      </c>
      <c r="CQ366" t="str">
        <f>""</f>
        <v/>
      </c>
      <c r="CR366" t="str">
        <f>""</f>
        <v/>
      </c>
      <c r="CS366" t="str">
        <f>""</f>
        <v/>
      </c>
      <c r="CT366" t="str">
        <f>""</f>
        <v/>
      </c>
      <c r="CU366" t="str">
        <f>""</f>
        <v/>
      </c>
      <c r="CV366" t="str">
        <f>""</f>
        <v/>
      </c>
      <c r="CW366" t="str">
        <f>""</f>
        <v/>
      </c>
      <c r="CX366" t="str">
        <f>""</f>
        <v/>
      </c>
      <c r="CY366" t="str">
        <f>""</f>
        <v/>
      </c>
      <c r="CZ366" t="str">
        <f>""</f>
        <v/>
      </c>
      <c r="DA366" t="str">
        <f>""</f>
        <v/>
      </c>
      <c r="DB366" t="str">
        <f>""</f>
        <v/>
      </c>
      <c r="DC366" t="str">
        <f>""</f>
        <v/>
      </c>
      <c r="DD366" t="str">
        <f>""</f>
        <v/>
      </c>
      <c r="DE366" t="str">
        <f>""</f>
        <v/>
      </c>
      <c r="DF366" t="str">
        <f>""</f>
        <v/>
      </c>
      <c r="DG366" t="str">
        <f>""</f>
        <v/>
      </c>
      <c r="DH366" t="str">
        <f>""</f>
        <v/>
      </c>
      <c r="DI366" t="str">
        <f>""</f>
        <v/>
      </c>
      <c r="DJ366" t="str">
        <f>""</f>
        <v/>
      </c>
      <c r="DK366" t="str">
        <f>""</f>
        <v/>
      </c>
      <c r="DL366" t="str">
        <f>""</f>
        <v/>
      </c>
      <c r="DM366" t="str">
        <f>""</f>
        <v/>
      </c>
      <c r="DN366" t="str">
        <f>""</f>
        <v/>
      </c>
      <c r="DO366" t="str">
        <f>""</f>
        <v/>
      </c>
      <c r="DP366" t="str">
        <f>""</f>
        <v/>
      </c>
      <c r="DQ366" t="str">
        <f>""</f>
        <v/>
      </c>
      <c r="DR366" t="str">
        <f>""</f>
        <v/>
      </c>
      <c r="DS366" t="str">
        <f>""</f>
        <v/>
      </c>
      <c r="DT366" t="str">
        <f>""</f>
        <v/>
      </c>
      <c r="DU366" t="str">
        <f>""</f>
        <v/>
      </c>
    </row>
    <row r="367" spans="1:125">
      <c r="A367" t="str">
        <f>$A$120</f>
        <v xml:space="preserve">    Senior Housing Properties Trus</v>
      </c>
      <c r="B367" t="str">
        <f>$B$120</f>
        <v>SNH US Equity</v>
      </c>
      <c r="C367" t="str">
        <f>$C$120</f>
        <v>RR033</v>
      </c>
      <c r="D367" t="str">
        <f>$D$120</f>
        <v>SALES_GROWTH</v>
      </c>
      <c r="E367" t="str">
        <f>$E$120</f>
        <v>动态</v>
      </c>
      <c r="F367" t="str">
        <f ca="1">BDH($B$120,$C$120,$B$256,$B$257,CONCATENATE("Per=",$B$254),"Dts=H","Dir=H",CONCATENATE("Points=",$B$255),"Sort=R","Days=A","Fill=B",CONCATENATE("FX=", $B$253) )</f>
        <v>#N/A Authorization</v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  <c r="CI367" t="str">
        <f>""</f>
        <v/>
      </c>
      <c r="CJ367" t="str">
        <f>""</f>
        <v/>
      </c>
      <c r="CK367" t="str">
        <f>""</f>
        <v/>
      </c>
      <c r="CL367" t="str">
        <f>""</f>
        <v/>
      </c>
      <c r="CM367" t="str">
        <f>""</f>
        <v/>
      </c>
      <c r="CN367" t="str">
        <f>""</f>
        <v/>
      </c>
      <c r="CO367" t="str">
        <f>""</f>
        <v/>
      </c>
      <c r="CP367" t="str">
        <f>""</f>
        <v/>
      </c>
      <c r="CQ367" t="str">
        <f>""</f>
        <v/>
      </c>
      <c r="CR367" t="str">
        <f>""</f>
        <v/>
      </c>
      <c r="CS367" t="str">
        <f>""</f>
        <v/>
      </c>
      <c r="CT367" t="str">
        <f>""</f>
        <v/>
      </c>
      <c r="CU367" t="str">
        <f>""</f>
        <v/>
      </c>
      <c r="CV367" t="str">
        <f>""</f>
        <v/>
      </c>
      <c r="CW367" t="str">
        <f>""</f>
        <v/>
      </c>
      <c r="CX367" t="str">
        <f>""</f>
        <v/>
      </c>
      <c r="CY367" t="str">
        <f>""</f>
        <v/>
      </c>
      <c r="CZ367" t="str">
        <f>""</f>
        <v/>
      </c>
      <c r="DA367" t="str">
        <f>""</f>
        <v/>
      </c>
      <c r="DB367" t="str">
        <f>""</f>
        <v/>
      </c>
      <c r="DC367" t="str">
        <f>""</f>
        <v/>
      </c>
      <c r="DD367" t="str">
        <f>""</f>
        <v/>
      </c>
      <c r="DE367" t="str">
        <f>""</f>
        <v/>
      </c>
      <c r="DF367" t="str">
        <f>""</f>
        <v/>
      </c>
      <c r="DG367" t="str">
        <f>""</f>
        <v/>
      </c>
      <c r="DH367" t="str">
        <f>""</f>
        <v/>
      </c>
      <c r="DI367" t="str">
        <f>""</f>
        <v/>
      </c>
      <c r="DJ367" t="str">
        <f>""</f>
        <v/>
      </c>
      <c r="DK367" t="str">
        <f>""</f>
        <v/>
      </c>
      <c r="DL367" t="str">
        <f>""</f>
        <v/>
      </c>
      <c r="DM367" t="str">
        <f>""</f>
        <v/>
      </c>
      <c r="DN367" t="str">
        <f>""</f>
        <v/>
      </c>
      <c r="DO367" t="str">
        <f>""</f>
        <v/>
      </c>
      <c r="DP367" t="str">
        <f>""</f>
        <v/>
      </c>
      <c r="DQ367" t="str">
        <f>""</f>
        <v/>
      </c>
      <c r="DR367" t="str">
        <f>""</f>
        <v/>
      </c>
      <c r="DS367" t="str">
        <f>""</f>
        <v/>
      </c>
      <c r="DT367" t="str">
        <f>""</f>
        <v/>
      </c>
      <c r="DU367" t="str">
        <f>""</f>
        <v/>
      </c>
    </row>
    <row r="368" spans="1:125">
      <c r="A368" t="str">
        <f>$A$121</f>
        <v xml:space="preserve">    Ventas Inc</v>
      </c>
      <c r="B368" t="str">
        <f>$B$121</f>
        <v>VTR US Equity</v>
      </c>
      <c r="C368" t="str">
        <f>$C$121</f>
        <v>RR033</v>
      </c>
      <c r="D368" t="str">
        <f>$D$121</f>
        <v>SALES_GROWTH</v>
      </c>
      <c r="E368" t="str">
        <f>$E$121</f>
        <v>动态</v>
      </c>
      <c r="F368" t="str">
        <f ca="1">BDH($B$121,$C$121,$B$256,$B$257,CONCATENATE("Per=",$B$254),"Dts=H","Dir=H",CONCATENATE("Points=",$B$255),"Sort=R","Days=A","Fill=B",CONCATENATE("FX=", $B$253) )</f>
        <v>#N/A Authorization</v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  <c r="CI368" t="str">
        <f>""</f>
        <v/>
      </c>
      <c r="CJ368" t="str">
        <f>""</f>
        <v/>
      </c>
      <c r="CK368" t="str">
        <f>""</f>
        <v/>
      </c>
      <c r="CL368" t="str">
        <f>""</f>
        <v/>
      </c>
      <c r="CM368" t="str">
        <f>""</f>
        <v/>
      </c>
      <c r="CN368" t="str">
        <f>""</f>
        <v/>
      </c>
      <c r="CO368" t="str">
        <f>""</f>
        <v/>
      </c>
      <c r="CP368" t="str">
        <f>""</f>
        <v/>
      </c>
      <c r="CQ368" t="str">
        <f>""</f>
        <v/>
      </c>
      <c r="CR368" t="str">
        <f>""</f>
        <v/>
      </c>
      <c r="CS368" t="str">
        <f>""</f>
        <v/>
      </c>
      <c r="CT368" t="str">
        <f>""</f>
        <v/>
      </c>
      <c r="CU368" t="str">
        <f>""</f>
        <v/>
      </c>
      <c r="CV368" t="str">
        <f>""</f>
        <v/>
      </c>
      <c r="CW368" t="str">
        <f>""</f>
        <v/>
      </c>
      <c r="CX368" t="str">
        <f>""</f>
        <v/>
      </c>
      <c r="CY368" t="str">
        <f>""</f>
        <v/>
      </c>
      <c r="CZ368" t="str">
        <f>""</f>
        <v/>
      </c>
      <c r="DA368" t="str">
        <f>""</f>
        <v/>
      </c>
      <c r="DB368" t="str">
        <f>""</f>
        <v/>
      </c>
      <c r="DC368" t="str">
        <f>""</f>
        <v/>
      </c>
      <c r="DD368" t="str">
        <f>""</f>
        <v/>
      </c>
      <c r="DE368" t="str">
        <f>""</f>
        <v/>
      </c>
      <c r="DF368" t="str">
        <f>""</f>
        <v/>
      </c>
      <c r="DG368" t="str">
        <f>""</f>
        <v/>
      </c>
      <c r="DH368" t="str">
        <f>""</f>
        <v/>
      </c>
      <c r="DI368" t="str">
        <f>""</f>
        <v/>
      </c>
      <c r="DJ368" t="str">
        <f>""</f>
        <v/>
      </c>
      <c r="DK368" t="str">
        <f>""</f>
        <v/>
      </c>
      <c r="DL368" t="str">
        <f>""</f>
        <v/>
      </c>
      <c r="DM368" t="str">
        <f>""</f>
        <v/>
      </c>
      <c r="DN368" t="str">
        <f>""</f>
        <v/>
      </c>
      <c r="DO368" t="str">
        <f>""</f>
        <v/>
      </c>
      <c r="DP368" t="str">
        <f>""</f>
        <v/>
      </c>
      <c r="DQ368" t="str">
        <f>""</f>
        <v/>
      </c>
      <c r="DR368" t="str">
        <f>""</f>
        <v/>
      </c>
      <c r="DS368" t="str">
        <f>""</f>
        <v/>
      </c>
      <c r="DT368" t="str">
        <f>""</f>
        <v/>
      </c>
      <c r="DU368" t="str">
        <f>""</f>
        <v/>
      </c>
    </row>
    <row r="369" spans="1:125">
      <c r="A369" t="str">
        <f>$A$122</f>
        <v xml:space="preserve">    Welltower Inc</v>
      </c>
      <c r="B369" t="str">
        <f>$B$122</f>
        <v>HCN US Equity</v>
      </c>
      <c r="C369" t="str">
        <f>$C$122</f>
        <v>RR033</v>
      </c>
      <c r="D369" t="str">
        <f>$D$122</f>
        <v>SALES_GROWTH</v>
      </c>
      <c r="E369" t="str">
        <f>$E$122</f>
        <v>动态</v>
      </c>
      <c r="F369" t="str">
        <f ca="1">BDH($B$122,$C$122,$B$256,$B$257,CONCATENATE("Per=",$B$254),"Dts=H","Dir=H",CONCATENATE("Points=",$B$255),"Sort=R","Days=A","Fill=B",CONCATENATE("FX=", $B$253) )</f>
        <v>#N/A Authorization</v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  <c r="CH369" t="str">
        <f>""</f>
        <v/>
      </c>
      <c r="CI369" t="str">
        <f>""</f>
        <v/>
      </c>
      <c r="CJ369" t="str">
        <f>""</f>
        <v/>
      </c>
      <c r="CK369" t="str">
        <f>""</f>
        <v/>
      </c>
      <c r="CL369" t="str">
        <f>""</f>
        <v/>
      </c>
      <c r="CM369" t="str">
        <f>""</f>
        <v/>
      </c>
      <c r="CN369" t="str">
        <f>""</f>
        <v/>
      </c>
      <c r="CO369" t="str">
        <f>""</f>
        <v/>
      </c>
      <c r="CP369" t="str">
        <f>""</f>
        <v/>
      </c>
      <c r="CQ369" t="str">
        <f>""</f>
        <v/>
      </c>
      <c r="CR369" t="str">
        <f>""</f>
        <v/>
      </c>
      <c r="CS369" t="str">
        <f>""</f>
        <v/>
      </c>
      <c r="CT369" t="str">
        <f>""</f>
        <v/>
      </c>
      <c r="CU369" t="str">
        <f>""</f>
        <v/>
      </c>
      <c r="CV369" t="str">
        <f>""</f>
        <v/>
      </c>
      <c r="CW369" t="str">
        <f>""</f>
        <v/>
      </c>
      <c r="CX369" t="str">
        <f>""</f>
        <v/>
      </c>
      <c r="CY369" t="str">
        <f>""</f>
        <v/>
      </c>
      <c r="CZ369" t="str">
        <f>""</f>
        <v/>
      </c>
      <c r="DA369" t="str">
        <f>""</f>
        <v/>
      </c>
      <c r="DB369" t="str">
        <f>""</f>
        <v/>
      </c>
      <c r="DC369" t="str">
        <f>""</f>
        <v/>
      </c>
      <c r="DD369" t="str">
        <f>""</f>
        <v/>
      </c>
      <c r="DE369" t="str">
        <f>""</f>
        <v/>
      </c>
      <c r="DF369" t="str">
        <f>""</f>
        <v/>
      </c>
      <c r="DG369" t="str">
        <f>""</f>
        <v/>
      </c>
      <c r="DH369" t="str">
        <f>""</f>
        <v/>
      </c>
      <c r="DI369" t="str">
        <f>""</f>
        <v/>
      </c>
      <c r="DJ369" t="str">
        <f>""</f>
        <v/>
      </c>
      <c r="DK369" t="str">
        <f>""</f>
        <v/>
      </c>
      <c r="DL369" t="str">
        <f>""</f>
        <v/>
      </c>
      <c r="DM369" t="str">
        <f>""</f>
        <v/>
      </c>
      <c r="DN369" t="str">
        <f>""</f>
        <v/>
      </c>
      <c r="DO369" t="str">
        <f>""</f>
        <v/>
      </c>
      <c r="DP369" t="str">
        <f>""</f>
        <v/>
      </c>
      <c r="DQ369" t="str">
        <f>""</f>
        <v/>
      </c>
      <c r="DR369" t="str">
        <f>""</f>
        <v/>
      </c>
      <c r="DS369" t="str">
        <f>""</f>
        <v/>
      </c>
      <c r="DT369" t="str">
        <f>""</f>
        <v/>
      </c>
      <c r="DU369" t="str">
        <f>""</f>
        <v/>
      </c>
    </row>
    <row r="370" spans="1:125">
      <c r="A370" t="str">
        <f>$A$124</f>
        <v xml:space="preserve">    Alexandria Real Estate Equitie</v>
      </c>
      <c r="B370" t="str">
        <f>$B$124</f>
        <v>ARE US Equity</v>
      </c>
      <c r="C370" t="str">
        <f>$C$124</f>
        <v>RR551</v>
      </c>
      <c r="D370" t="str">
        <f>$D$124</f>
        <v>NOI_GROWTH</v>
      </c>
      <c r="E370" t="str">
        <f>$E$124</f>
        <v>动态</v>
      </c>
      <c r="F370" t="str">
        <f ca="1">BDH($B$124,$C$124,$B$256,$B$257,CONCATENATE("Per=",$B$254),"Dts=H","Dir=H",CONCATENATE("Points=",$B$255),"Sort=R","Days=A","Fill=B",CONCATENATE("FX=", $B$253) )</f>
        <v>#N/A Authorization</v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  <c r="CI370" t="str">
        <f>""</f>
        <v/>
      </c>
      <c r="CJ370" t="str">
        <f>""</f>
        <v/>
      </c>
      <c r="CK370" t="str">
        <f>""</f>
        <v/>
      </c>
      <c r="CL370" t="str">
        <f>""</f>
        <v/>
      </c>
      <c r="CM370" t="str">
        <f>""</f>
        <v/>
      </c>
      <c r="CN370" t="str">
        <f>""</f>
        <v/>
      </c>
      <c r="CO370" t="str">
        <f>""</f>
        <v/>
      </c>
      <c r="CP370" t="str">
        <f>""</f>
        <v/>
      </c>
      <c r="CQ370" t="str">
        <f>""</f>
        <v/>
      </c>
      <c r="CR370" t="str">
        <f>""</f>
        <v/>
      </c>
      <c r="CS370" t="str">
        <f>""</f>
        <v/>
      </c>
      <c r="CT370" t="str">
        <f>""</f>
        <v/>
      </c>
      <c r="CU370" t="str">
        <f>""</f>
        <v/>
      </c>
      <c r="CV370" t="str">
        <f>""</f>
        <v/>
      </c>
      <c r="CW370" t="str">
        <f>""</f>
        <v/>
      </c>
      <c r="CX370" t="str">
        <f>""</f>
        <v/>
      </c>
      <c r="CY370" t="str">
        <f>""</f>
        <v/>
      </c>
      <c r="CZ370" t="str">
        <f>""</f>
        <v/>
      </c>
      <c r="DA370" t="str">
        <f>""</f>
        <v/>
      </c>
      <c r="DB370" t="str">
        <f>""</f>
        <v/>
      </c>
      <c r="DC370" t="str">
        <f>""</f>
        <v/>
      </c>
      <c r="DD370" t="str">
        <f>""</f>
        <v/>
      </c>
      <c r="DE370" t="str">
        <f>""</f>
        <v/>
      </c>
      <c r="DF370" t="str">
        <f>""</f>
        <v/>
      </c>
      <c r="DG370" t="str">
        <f>""</f>
        <v/>
      </c>
      <c r="DH370" t="str">
        <f>""</f>
        <v/>
      </c>
      <c r="DI370" t="str">
        <f>""</f>
        <v/>
      </c>
      <c r="DJ370" t="str">
        <f>""</f>
        <v/>
      </c>
      <c r="DK370" t="str">
        <f>""</f>
        <v/>
      </c>
      <c r="DL370" t="str">
        <f>""</f>
        <v/>
      </c>
      <c r="DM370" t="str">
        <f>""</f>
        <v/>
      </c>
      <c r="DN370" t="str">
        <f>""</f>
        <v/>
      </c>
      <c r="DO370" t="str">
        <f>""</f>
        <v/>
      </c>
      <c r="DP370" t="str">
        <f>""</f>
        <v/>
      </c>
      <c r="DQ370" t="str">
        <f>""</f>
        <v/>
      </c>
      <c r="DR370" t="str">
        <f>""</f>
        <v/>
      </c>
      <c r="DS370" t="str">
        <f>""</f>
        <v/>
      </c>
      <c r="DT370" t="str">
        <f>""</f>
        <v/>
      </c>
      <c r="DU370" t="str">
        <f>""</f>
        <v/>
      </c>
    </row>
    <row r="371" spans="1:125">
      <c r="A371" t="str">
        <f>$A$125</f>
        <v xml:space="preserve">    Care Capital Properties Inc</v>
      </c>
      <c r="B371" t="str">
        <f>$B$125</f>
        <v>CCP US Equity</v>
      </c>
      <c r="C371" t="str">
        <f>$C$125</f>
        <v>RR551</v>
      </c>
      <c r="D371" t="str">
        <f>$D$125</f>
        <v>NOI_GROWTH</v>
      </c>
      <c r="E371" t="str">
        <f>$E$125</f>
        <v>动态</v>
      </c>
      <c r="F371" t="str">
        <f ca="1">BDH($B$125,$C$125,$B$256,$B$257,CONCATENATE("Per=",$B$254),"Dts=H","Dir=H",CONCATENATE("Points=",$B$255),"Sort=R","Days=A","Fill=B",CONCATENATE("FX=", $B$253) )</f>
        <v>#N/A Authorization</v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  <c r="CI371" t="str">
        <f>""</f>
        <v/>
      </c>
      <c r="CJ371" t="str">
        <f>""</f>
        <v/>
      </c>
      <c r="CK371" t="str">
        <f>""</f>
        <v/>
      </c>
      <c r="CL371" t="str">
        <f>""</f>
        <v/>
      </c>
      <c r="CM371" t="str">
        <f>""</f>
        <v/>
      </c>
      <c r="CN371" t="str">
        <f>""</f>
        <v/>
      </c>
      <c r="CO371" t="str">
        <f>""</f>
        <v/>
      </c>
      <c r="CP371" t="str">
        <f>""</f>
        <v/>
      </c>
      <c r="CQ371" t="str">
        <f>""</f>
        <v/>
      </c>
      <c r="CR371" t="str">
        <f>""</f>
        <v/>
      </c>
      <c r="CS371" t="str">
        <f>""</f>
        <v/>
      </c>
      <c r="CT371" t="str">
        <f>""</f>
        <v/>
      </c>
      <c r="CU371" t="str">
        <f>""</f>
        <v/>
      </c>
      <c r="CV371" t="str">
        <f>""</f>
        <v/>
      </c>
      <c r="CW371" t="str">
        <f>""</f>
        <v/>
      </c>
      <c r="CX371" t="str">
        <f>""</f>
        <v/>
      </c>
      <c r="CY371" t="str">
        <f>""</f>
        <v/>
      </c>
      <c r="CZ371" t="str">
        <f>""</f>
        <v/>
      </c>
      <c r="DA371" t="str">
        <f>""</f>
        <v/>
      </c>
      <c r="DB371" t="str">
        <f>""</f>
        <v/>
      </c>
      <c r="DC371" t="str">
        <f>""</f>
        <v/>
      </c>
      <c r="DD371" t="str">
        <f>""</f>
        <v/>
      </c>
      <c r="DE371" t="str">
        <f>""</f>
        <v/>
      </c>
      <c r="DF371" t="str">
        <f>""</f>
        <v/>
      </c>
      <c r="DG371" t="str">
        <f>""</f>
        <v/>
      </c>
      <c r="DH371" t="str">
        <f>""</f>
        <v/>
      </c>
      <c r="DI371" t="str">
        <f>""</f>
        <v/>
      </c>
      <c r="DJ371" t="str">
        <f>""</f>
        <v/>
      </c>
      <c r="DK371" t="str">
        <f>""</f>
        <v/>
      </c>
      <c r="DL371" t="str">
        <f>""</f>
        <v/>
      </c>
      <c r="DM371" t="str">
        <f>""</f>
        <v/>
      </c>
      <c r="DN371" t="str">
        <f>""</f>
        <v/>
      </c>
      <c r="DO371" t="str">
        <f>""</f>
        <v/>
      </c>
      <c r="DP371" t="str">
        <f>""</f>
        <v/>
      </c>
      <c r="DQ371" t="str">
        <f>""</f>
        <v/>
      </c>
      <c r="DR371" t="str">
        <f>""</f>
        <v/>
      </c>
      <c r="DS371" t="str">
        <f>""</f>
        <v/>
      </c>
      <c r="DT371" t="str">
        <f>""</f>
        <v/>
      </c>
      <c r="DU371" t="str">
        <f>""</f>
        <v/>
      </c>
    </row>
    <row r="372" spans="1:125">
      <c r="A372" t="str">
        <f>$A$126</f>
        <v xml:space="preserve">    HCP Inc</v>
      </c>
      <c r="B372" t="str">
        <f>$B$126</f>
        <v>HCP US Equity</v>
      </c>
      <c r="C372" t="str">
        <f>$C$126</f>
        <v>RR551</v>
      </c>
      <c r="D372" t="str">
        <f>$D$126</f>
        <v>NOI_GROWTH</v>
      </c>
      <c r="E372" t="str">
        <f>$E$126</f>
        <v>动态</v>
      </c>
      <c r="F372" t="str">
        <f ca="1">BDH($B$126,$C$126,$B$256,$B$257,CONCATENATE("Per=",$B$254),"Dts=H","Dir=H",CONCATENATE("Points=",$B$255),"Sort=R","Days=A","Fill=B",CONCATENATE("FX=", $B$253) )</f>
        <v>#N/A Authorization</v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  <c r="CI372" t="str">
        <f>""</f>
        <v/>
      </c>
      <c r="CJ372" t="str">
        <f>""</f>
        <v/>
      </c>
      <c r="CK372" t="str">
        <f>""</f>
        <v/>
      </c>
      <c r="CL372" t="str">
        <f>""</f>
        <v/>
      </c>
      <c r="CM372" t="str">
        <f>""</f>
        <v/>
      </c>
      <c r="CN372" t="str">
        <f>""</f>
        <v/>
      </c>
      <c r="CO372" t="str">
        <f>""</f>
        <v/>
      </c>
      <c r="CP372" t="str">
        <f>""</f>
        <v/>
      </c>
      <c r="CQ372" t="str">
        <f>""</f>
        <v/>
      </c>
      <c r="CR372" t="str">
        <f>""</f>
        <v/>
      </c>
      <c r="CS372" t="str">
        <f>""</f>
        <v/>
      </c>
      <c r="CT372" t="str">
        <f>""</f>
        <v/>
      </c>
      <c r="CU372" t="str">
        <f>""</f>
        <v/>
      </c>
      <c r="CV372" t="str">
        <f>""</f>
        <v/>
      </c>
      <c r="CW372" t="str">
        <f>""</f>
        <v/>
      </c>
      <c r="CX372" t="str">
        <f>""</f>
        <v/>
      </c>
      <c r="CY372" t="str">
        <f>""</f>
        <v/>
      </c>
      <c r="CZ372" t="str">
        <f>""</f>
        <v/>
      </c>
      <c r="DA372" t="str">
        <f>""</f>
        <v/>
      </c>
      <c r="DB372" t="str">
        <f>""</f>
        <v/>
      </c>
      <c r="DC372" t="str">
        <f>""</f>
        <v/>
      </c>
      <c r="DD372" t="str">
        <f>""</f>
        <v/>
      </c>
      <c r="DE372" t="str">
        <f>""</f>
        <v/>
      </c>
      <c r="DF372" t="str">
        <f>""</f>
        <v/>
      </c>
      <c r="DG372" t="str">
        <f>""</f>
        <v/>
      </c>
      <c r="DH372" t="str">
        <f>""</f>
        <v/>
      </c>
      <c r="DI372" t="str">
        <f>""</f>
        <v/>
      </c>
      <c r="DJ372" t="str">
        <f>""</f>
        <v/>
      </c>
      <c r="DK372" t="str">
        <f>""</f>
        <v/>
      </c>
      <c r="DL372" t="str">
        <f>""</f>
        <v/>
      </c>
      <c r="DM372" t="str">
        <f>""</f>
        <v/>
      </c>
      <c r="DN372" t="str">
        <f>""</f>
        <v/>
      </c>
      <c r="DO372" t="str">
        <f>""</f>
        <v/>
      </c>
      <c r="DP372" t="str">
        <f>""</f>
        <v/>
      </c>
      <c r="DQ372" t="str">
        <f>""</f>
        <v/>
      </c>
      <c r="DR372" t="str">
        <f>""</f>
        <v/>
      </c>
      <c r="DS372" t="str">
        <f>""</f>
        <v/>
      </c>
      <c r="DT372" t="str">
        <f>""</f>
        <v/>
      </c>
      <c r="DU372" t="str">
        <f>""</f>
        <v/>
      </c>
    </row>
    <row r="373" spans="1:125">
      <c r="A373" t="str">
        <f>$A$127</f>
        <v xml:space="preserve">    Healthcare Realty Trust Inc</v>
      </c>
      <c r="B373" t="str">
        <f>$B$127</f>
        <v>HR US Equity</v>
      </c>
      <c r="C373" t="str">
        <f>$C$127</f>
        <v>RR551</v>
      </c>
      <c r="D373" t="str">
        <f>$D$127</f>
        <v>NOI_GROWTH</v>
      </c>
      <c r="E373" t="str">
        <f>$E$127</f>
        <v>动态</v>
      </c>
      <c r="F373" t="str">
        <f ca="1">BDH($B$127,$C$127,$B$256,$B$257,CONCATENATE("Per=",$B$254),"Dts=H","Dir=H",CONCATENATE("Points=",$B$255),"Sort=R","Days=A","Fill=B",CONCATENATE("FX=", $B$253) )</f>
        <v>#N/A Authorization</v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  <c r="CI373" t="str">
        <f>""</f>
        <v/>
      </c>
      <c r="CJ373" t="str">
        <f>""</f>
        <v/>
      </c>
      <c r="CK373" t="str">
        <f>""</f>
        <v/>
      </c>
      <c r="CL373" t="str">
        <f>""</f>
        <v/>
      </c>
      <c r="CM373" t="str">
        <f>""</f>
        <v/>
      </c>
      <c r="CN373" t="str">
        <f>""</f>
        <v/>
      </c>
      <c r="CO373" t="str">
        <f>""</f>
        <v/>
      </c>
      <c r="CP373" t="str">
        <f>""</f>
        <v/>
      </c>
      <c r="CQ373" t="str">
        <f>""</f>
        <v/>
      </c>
      <c r="CR373" t="str">
        <f>""</f>
        <v/>
      </c>
      <c r="CS373" t="str">
        <f>""</f>
        <v/>
      </c>
      <c r="CT373" t="str">
        <f>""</f>
        <v/>
      </c>
      <c r="CU373" t="str">
        <f>""</f>
        <v/>
      </c>
      <c r="CV373" t="str">
        <f>""</f>
        <v/>
      </c>
      <c r="CW373" t="str">
        <f>""</f>
        <v/>
      </c>
      <c r="CX373" t="str">
        <f>""</f>
        <v/>
      </c>
      <c r="CY373" t="str">
        <f>""</f>
        <v/>
      </c>
      <c r="CZ373" t="str">
        <f>""</f>
        <v/>
      </c>
      <c r="DA373" t="str">
        <f>""</f>
        <v/>
      </c>
      <c r="DB373" t="str">
        <f>""</f>
        <v/>
      </c>
      <c r="DC373" t="str">
        <f>""</f>
        <v/>
      </c>
      <c r="DD373" t="str">
        <f>""</f>
        <v/>
      </c>
      <c r="DE373" t="str">
        <f>""</f>
        <v/>
      </c>
      <c r="DF373" t="str">
        <f>""</f>
        <v/>
      </c>
      <c r="DG373" t="str">
        <f>""</f>
        <v/>
      </c>
      <c r="DH373" t="str">
        <f>""</f>
        <v/>
      </c>
      <c r="DI373" t="str">
        <f>""</f>
        <v/>
      </c>
      <c r="DJ373" t="str">
        <f>""</f>
        <v/>
      </c>
      <c r="DK373" t="str">
        <f>""</f>
        <v/>
      </c>
      <c r="DL373" t="str">
        <f>""</f>
        <v/>
      </c>
      <c r="DM373" t="str">
        <f>""</f>
        <v/>
      </c>
      <c r="DN373" t="str">
        <f>""</f>
        <v/>
      </c>
      <c r="DO373" t="str">
        <f>""</f>
        <v/>
      </c>
      <c r="DP373" t="str">
        <f>""</f>
        <v/>
      </c>
      <c r="DQ373" t="str">
        <f>""</f>
        <v/>
      </c>
      <c r="DR373" t="str">
        <f>""</f>
        <v/>
      </c>
      <c r="DS373" t="str">
        <f>""</f>
        <v/>
      </c>
      <c r="DT373" t="str">
        <f>""</f>
        <v/>
      </c>
      <c r="DU373" t="str">
        <f>""</f>
        <v/>
      </c>
    </row>
    <row r="374" spans="1:125">
      <c r="A374" t="str">
        <f>$A$128</f>
        <v xml:space="preserve">    Healthcare Trust of America In</v>
      </c>
      <c r="B374" t="str">
        <f>$B$128</f>
        <v>HTA US Equity</v>
      </c>
      <c r="C374" t="str">
        <f>$C$128</f>
        <v>RR551</v>
      </c>
      <c r="D374" t="str">
        <f>$D$128</f>
        <v>NOI_GROWTH</v>
      </c>
      <c r="E374" t="str">
        <f>$E$128</f>
        <v>动态</v>
      </c>
      <c r="F374" t="str">
        <f ca="1">BDH($B$128,$C$128,$B$256,$B$257,CONCATENATE("Per=",$B$254),"Dts=H","Dir=H",CONCATENATE("Points=",$B$255),"Sort=R","Days=A","Fill=B",CONCATENATE("FX=", $B$253) )</f>
        <v>#N/A Authorization</v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  <c r="CH374" t="str">
        <f>""</f>
        <v/>
      </c>
      <c r="CI374" t="str">
        <f>""</f>
        <v/>
      </c>
      <c r="CJ374" t="str">
        <f>""</f>
        <v/>
      </c>
      <c r="CK374" t="str">
        <f>""</f>
        <v/>
      </c>
      <c r="CL374" t="str">
        <f>""</f>
        <v/>
      </c>
      <c r="CM374" t="str">
        <f>""</f>
        <v/>
      </c>
      <c r="CN374" t="str">
        <f>""</f>
        <v/>
      </c>
      <c r="CO374" t="str">
        <f>""</f>
        <v/>
      </c>
      <c r="CP374" t="str">
        <f>""</f>
        <v/>
      </c>
      <c r="CQ374" t="str">
        <f>""</f>
        <v/>
      </c>
      <c r="CR374" t="str">
        <f>""</f>
        <v/>
      </c>
      <c r="CS374" t="str">
        <f>""</f>
        <v/>
      </c>
      <c r="CT374" t="str">
        <f>""</f>
        <v/>
      </c>
      <c r="CU374" t="str">
        <f>""</f>
        <v/>
      </c>
      <c r="CV374" t="str">
        <f>""</f>
        <v/>
      </c>
      <c r="CW374" t="str">
        <f>""</f>
        <v/>
      </c>
      <c r="CX374" t="str">
        <f>""</f>
        <v/>
      </c>
      <c r="CY374" t="str">
        <f>""</f>
        <v/>
      </c>
      <c r="CZ374" t="str">
        <f>""</f>
        <v/>
      </c>
      <c r="DA374" t="str">
        <f>""</f>
        <v/>
      </c>
      <c r="DB374" t="str">
        <f>""</f>
        <v/>
      </c>
      <c r="DC374" t="str">
        <f>""</f>
        <v/>
      </c>
      <c r="DD374" t="str">
        <f>""</f>
        <v/>
      </c>
      <c r="DE374" t="str">
        <f>""</f>
        <v/>
      </c>
      <c r="DF374" t="str">
        <f>""</f>
        <v/>
      </c>
      <c r="DG374" t="str">
        <f>""</f>
        <v/>
      </c>
      <c r="DH374" t="str">
        <f>""</f>
        <v/>
      </c>
      <c r="DI374" t="str">
        <f>""</f>
        <v/>
      </c>
      <c r="DJ374" t="str">
        <f>""</f>
        <v/>
      </c>
      <c r="DK374" t="str">
        <f>""</f>
        <v/>
      </c>
      <c r="DL374" t="str">
        <f>""</f>
        <v/>
      </c>
      <c r="DM374" t="str">
        <f>""</f>
        <v/>
      </c>
      <c r="DN374" t="str">
        <f>""</f>
        <v/>
      </c>
      <c r="DO374" t="str">
        <f>""</f>
        <v/>
      </c>
      <c r="DP374" t="str">
        <f>""</f>
        <v/>
      </c>
      <c r="DQ374" t="str">
        <f>""</f>
        <v/>
      </c>
      <c r="DR374" t="str">
        <f>""</f>
        <v/>
      </c>
      <c r="DS374" t="str">
        <f>""</f>
        <v/>
      </c>
      <c r="DT374" t="str">
        <f>""</f>
        <v/>
      </c>
      <c r="DU374" t="str">
        <f>""</f>
        <v/>
      </c>
    </row>
    <row r="375" spans="1:125">
      <c r="A375" t="str">
        <f>$A$129</f>
        <v xml:space="preserve">    Medical Properties Trust Inc</v>
      </c>
      <c r="B375" t="str">
        <f>$B$129</f>
        <v>MPW US Equity</v>
      </c>
      <c r="C375" t="str">
        <f>$C$129</f>
        <v>RR551</v>
      </c>
      <c r="D375" t="str">
        <f>$D$129</f>
        <v>NOI_GROWTH</v>
      </c>
      <c r="E375" t="str">
        <f>$E$129</f>
        <v>动态</v>
      </c>
      <c r="F375" t="str">
        <f ca="1">BDH($B$129,$C$129,$B$256,$B$257,CONCATENATE("Per=",$B$254),"Dts=H","Dir=H",CONCATENATE("Points=",$B$255),"Sort=R","Days=A","Fill=B",CONCATENATE("FX=", $B$253) )</f>
        <v>#N/A Authorization</v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  <c r="CI375" t="str">
        <f>""</f>
        <v/>
      </c>
      <c r="CJ375" t="str">
        <f>""</f>
        <v/>
      </c>
      <c r="CK375" t="str">
        <f>""</f>
        <v/>
      </c>
      <c r="CL375" t="str">
        <f>""</f>
        <v/>
      </c>
      <c r="CM375" t="str">
        <f>""</f>
        <v/>
      </c>
      <c r="CN375" t="str">
        <f>""</f>
        <v/>
      </c>
      <c r="CO375" t="str">
        <f>""</f>
        <v/>
      </c>
      <c r="CP375" t="str">
        <f>""</f>
        <v/>
      </c>
      <c r="CQ375" t="str">
        <f>""</f>
        <v/>
      </c>
      <c r="CR375" t="str">
        <f>""</f>
        <v/>
      </c>
      <c r="CS375" t="str">
        <f>""</f>
        <v/>
      </c>
      <c r="CT375" t="str">
        <f>""</f>
        <v/>
      </c>
      <c r="CU375" t="str">
        <f>""</f>
        <v/>
      </c>
      <c r="CV375" t="str">
        <f>""</f>
        <v/>
      </c>
      <c r="CW375" t="str">
        <f>""</f>
        <v/>
      </c>
      <c r="CX375" t="str">
        <f>""</f>
        <v/>
      </c>
      <c r="CY375" t="str">
        <f>""</f>
        <v/>
      </c>
      <c r="CZ375" t="str">
        <f>""</f>
        <v/>
      </c>
      <c r="DA375" t="str">
        <f>""</f>
        <v/>
      </c>
      <c r="DB375" t="str">
        <f>""</f>
        <v/>
      </c>
      <c r="DC375" t="str">
        <f>""</f>
        <v/>
      </c>
      <c r="DD375" t="str">
        <f>""</f>
        <v/>
      </c>
      <c r="DE375" t="str">
        <f>""</f>
        <v/>
      </c>
      <c r="DF375" t="str">
        <f>""</f>
        <v/>
      </c>
      <c r="DG375" t="str">
        <f>""</f>
        <v/>
      </c>
      <c r="DH375" t="str">
        <f>""</f>
        <v/>
      </c>
      <c r="DI375" t="str">
        <f>""</f>
        <v/>
      </c>
      <c r="DJ375" t="str">
        <f>""</f>
        <v/>
      </c>
      <c r="DK375" t="str">
        <f>""</f>
        <v/>
      </c>
      <c r="DL375" t="str">
        <f>""</f>
        <v/>
      </c>
      <c r="DM375" t="str">
        <f>""</f>
        <v/>
      </c>
      <c r="DN375" t="str">
        <f>""</f>
        <v/>
      </c>
      <c r="DO375" t="str">
        <f>""</f>
        <v/>
      </c>
      <c r="DP375" t="str">
        <f>""</f>
        <v/>
      </c>
      <c r="DQ375" t="str">
        <f>""</f>
        <v/>
      </c>
      <c r="DR375" t="str">
        <f>""</f>
        <v/>
      </c>
      <c r="DS375" t="str">
        <f>""</f>
        <v/>
      </c>
      <c r="DT375" t="str">
        <f>""</f>
        <v/>
      </c>
      <c r="DU375" t="str">
        <f>""</f>
        <v/>
      </c>
    </row>
    <row r="376" spans="1:125">
      <c r="A376" t="str">
        <f>$A$130</f>
        <v xml:space="preserve">    Omega Healthcare Investors Inc</v>
      </c>
      <c r="B376" t="str">
        <f>$B$130</f>
        <v>OHI US Equity</v>
      </c>
      <c r="C376" t="str">
        <f>$C$130</f>
        <v>RR551</v>
      </c>
      <c r="D376" t="str">
        <f>$D$130</f>
        <v>NOI_GROWTH</v>
      </c>
      <c r="E376" t="str">
        <f>$E$130</f>
        <v>动态</v>
      </c>
      <c r="F376" t="str">
        <f ca="1">BDH($B$130,$C$130,$B$256,$B$257,CONCATENATE("Per=",$B$254),"Dts=H","Dir=H",CONCATENATE("Points=",$B$255),"Sort=R","Days=A","Fill=B",CONCATENATE("FX=", $B$253) )</f>
        <v>#N/A Authorization</v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  <c r="CI376" t="str">
        <f>""</f>
        <v/>
      </c>
      <c r="CJ376" t="str">
        <f>""</f>
        <v/>
      </c>
      <c r="CK376" t="str">
        <f>""</f>
        <v/>
      </c>
      <c r="CL376" t="str">
        <f>""</f>
        <v/>
      </c>
      <c r="CM376" t="str">
        <f>""</f>
        <v/>
      </c>
      <c r="CN376" t="str">
        <f>""</f>
        <v/>
      </c>
      <c r="CO376" t="str">
        <f>""</f>
        <v/>
      </c>
      <c r="CP376" t="str">
        <f>""</f>
        <v/>
      </c>
      <c r="CQ376" t="str">
        <f>""</f>
        <v/>
      </c>
      <c r="CR376" t="str">
        <f>""</f>
        <v/>
      </c>
      <c r="CS376" t="str">
        <f>""</f>
        <v/>
      </c>
      <c r="CT376" t="str">
        <f>""</f>
        <v/>
      </c>
      <c r="CU376" t="str">
        <f>""</f>
        <v/>
      </c>
      <c r="CV376" t="str">
        <f>""</f>
        <v/>
      </c>
      <c r="CW376" t="str">
        <f>""</f>
        <v/>
      </c>
      <c r="CX376" t="str">
        <f>""</f>
        <v/>
      </c>
      <c r="CY376" t="str">
        <f>""</f>
        <v/>
      </c>
      <c r="CZ376" t="str">
        <f>""</f>
        <v/>
      </c>
      <c r="DA376" t="str">
        <f>""</f>
        <v/>
      </c>
      <c r="DB376" t="str">
        <f>""</f>
        <v/>
      </c>
      <c r="DC376" t="str">
        <f>""</f>
        <v/>
      </c>
      <c r="DD376" t="str">
        <f>""</f>
        <v/>
      </c>
      <c r="DE376" t="str">
        <f>""</f>
        <v/>
      </c>
      <c r="DF376" t="str">
        <f>""</f>
        <v/>
      </c>
      <c r="DG376" t="str">
        <f>""</f>
        <v/>
      </c>
      <c r="DH376" t="str">
        <f>""</f>
        <v/>
      </c>
      <c r="DI376" t="str">
        <f>""</f>
        <v/>
      </c>
      <c r="DJ376" t="str">
        <f>""</f>
        <v/>
      </c>
      <c r="DK376" t="str">
        <f>""</f>
        <v/>
      </c>
      <c r="DL376" t="str">
        <f>""</f>
        <v/>
      </c>
      <c r="DM376" t="str">
        <f>""</f>
        <v/>
      </c>
      <c r="DN376" t="str">
        <f>""</f>
        <v/>
      </c>
      <c r="DO376" t="str">
        <f>""</f>
        <v/>
      </c>
      <c r="DP376" t="str">
        <f>""</f>
        <v/>
      </c>
      <c r="DQ376" t="str">
        <f>""</f>
        <v/>
      </c>
      <c r="DR376" t="str">
        <f>""</f>
        <v/>
      </c>
      <c r="DS376" t="str">
        <f>""</f>
        <v/>
      </c>
      <c r="DT376" t="str">
        <f>""</f>
        <v/>
      </c>
      <c r="DU376" t="str">
        <f>""</f>
        <v/>
      </c>
    </row>
    <row r="377" spans="1:125">
      <c r="A377" t="str">
        <f>$A$131</f>
        <v xml:space="preserve">    Sabra Health Care REIT Inc</v>
      </c>
      <c r="B377" t="str">
        <f>$B$131</f>
        <v>SBRA US Equity</v>
      </c>
      <c r="C377" t="str">
        <f>$C$131</f>
        <v>RR551</v>
      </c>
      <c r="D377" t="str">
        <f>$D$131</f>
        <v>NOI_GROWTH</v>
      </c>
      <c r="E377" t="str">
        <f>$E$131</f>
        <v>动态</v>
      </c>
      <c r="F377" t="str">
        <f ca="1">BDH($B$131,$C$131,$B$256,$B$257,CONCATENATE("Per=",$B$254),"Dts=H","Dir=H",CONCATENATE("Points=",$B$255),"Sort=R","Days=A","Fill=B",CONCATENATE("FX=", $B$253) )</f>
        <v>#N/A Authorization</v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  <c r="CI377" t="str">
        <f>""</f>
        <v/>
      </c>
      <c r="CJ377" t="str">
        <f>""</f>
        <v/>
      </c>
      <c r="CK377" t="str">
        <f>""</f>
        <v/>
      </c>
      <c r="CL377" t="str">
        <f>""</f>
        <v/>
      </c>
      <c r="CM377" t="str">
        <f>""</f>
        <v/>
      </c>
      <c r="CN377" t="str">
        <f>""</f>
        <v/>
      </c>
      <c r="CO377" t="str">
        <f>""</f>
        <v/>
      </c>
      <c r="CP377" t="str">
        <f>""</f>
        <v/>
      </c>
      <c r="CQ377" t="str">
        <f>""</f>
        <v/>
      </c>
      <c r="CR377" t="str">
        <f>""</f>
        <v/>
      </c>
      <c r="CS377" t="str">
        <f>""</f>
        <v/>
      </c>
      <c r="CT377" t="str">
        <f>""</f>
        <v/>
      </c>
      <c r="CU377" t="str">
        <f>""</f>
        <v/>
      </c>
      <c r="CV377" t="str">
        <f>""</f>
        <v/>
      </c>
      <c r="CW377" t="str">
        <f>""</f>
        <v/>
      </c>
      <c r="CX377" t="str">
        <f>""</f>
        <v/>
      </c>
      <c r="CY377" t="str">
        <f>""</f>
        <v/>
      </c>
      <c r="CZ377" t="str">
        <f>""</f>
        <v/>
      </c>
      <c r="DA377" t="str">
        <f>""</f>
        <v/>
      </c>
      <c r="DB377" t="str">
        <f>""</f>
        <v/>
      </c>
      <c r="DC377" t="str">
        <f>""</f>
        <v/>
      </c>
      <c r="DD377" t="str">
        <f>""</f>
        <v/>
      </c>
      <c r="DE377" t="str">
        <f>""</f>
        <v/>
      </c>
      <c r="DF377" t="str">
        <f>""</f>
        <v/>
      </c>
      <c r="DG377" t="str">
        <f>""</f>
        <v/>
      </c>
      <c r="DH377" t="str">
        <f>""</f>
        <v/>
      </c>
      <c r="DI377" t="str">
        <f>""</f>
        <v/>
      </c>
      <c r="DJ377" t="str">
        <f>""</f>
        <v/>
      </c>
      <c r="DK377" t="str">
        <f>""</f>
        <v/>
      </c>
      <c r="DL377" t="str">
        <f>""</f>
        <v/>
      </c>
      <c r="DM377" t="str">
        <f>""</f>
        <v/>
      </c>
      <c r="DN377" t="str">
        <f>""</f>
        <v/>
      </c>
      <c r="DO377" t="str">
        <f>""</f>
        <v/>
      </c>
      <c r="DP377" t="str">
        <f>""</f>
        <v/>
      </c>
      <c r="DQ377" t="str">
        <f>""</f>
        <v/>
      </c>
      <c r="DR377" t="str">
        <f>""</f>
        <v/>
      </c>
      <c r="DS377" t="str">
        <f>""</f>
        <v/>
      </c>
      <c r="DT377" t="str">
        <f>""</f>
        <v/>
      </c>
      <c r="DU377" t="str">
        <f>""</f>
        <v/>
      </c>
    </row>
    <row r="378" spans="1:125">
      <c r="A378" t="str">
        <f>$A$132</f>
        <v xml:space="preserve">    Senior Housing Properties Trus</v>
      </c>
      <c r="B378" t="str">
        <f>$B$132</f>
        <v>SNH US Equity</v>
      </c>
      <c r="C378" t="str">
        <f>$C$132</f>
        <v>RR551</v>
      </c>
      <c r="D378" t="str">
        <f>$D$132</f>
        <v>NOI_GROWTH</v>
      </c>
      <c r="E378" t="str">
        <f>$E$132</f>
        <v>动态</v>
      </c>
      <c r="F378" t="str">
        <f ca="1">BDH($B$132,$C$132,$B$256,$B$257,CONCATENATE("Per=",$B$254),"Dts=H","Dir=H",CONCATENATE("Points=",$B$255),"Sort=R","Days=A","Fill=B",CONCATENATE("FX=", $B$253) )</f>
        <v>#N/A Authorization</v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  <c r="CH378" t="str">
        <f>""</f>
        <v/>
      </c>
      <c r="CI378" t="str">
        <f>""</f>
        <v/>
      </c>
      <c r="CJ378" t="str">
        <f>""</f>
        <v/>
      </c>
      <c r="CK378" t="str">
        <f>""</f>
        <v/>
      </c>
      <c r="CL378" t="str">
        <f>""</f>
        <v/>
      </c>
      <c r="CM378" t="str">
        <f>""</f>
        <v/>
      </c>
      <c r="CN378" t="str">
        <f>""</f>
        <v/>
      </c>
      <c r="CO378" t="str">
        <f>""</f>
        <v/>
      </c>
      <c r="CP378" t="str">
        <f>""</f>
        <v/>
      </c>
      <c r="CQ378" t="str">
        <f>""</f>
        <v/>
      </c>
      <c r="CR378" t="str">
        <f>""</f>
        <v/>
      </c>
      <c r="CS378" t="str">
        <f>""</f>
        <v/>
      </c>
      <c r="CT378" t="str">
        <f>""</f>
        <v/>
      </c>
      <c r="CU378" t="str">
        <f>""</f>
        <v/>
      </c>
      <c r="CV378" t="str">
        <f>""</f>
        <v/>
      </c>
      <c r="CW378" t="str">
        <f>""</f>
        <v/>
      </c>
      <c r="CX378" t="str">
        <f>""</f>
        <v/>
      </c>
      <c r="CY378" t="str">
        <f>""</f>
        <v/>
      </c>
      <c r="CZ378" t="str">
        <f>""</f>
        <v/>
      </c>
      <c r="DA378" t="str">
        <f>""</f>
        <v/>
      </c>
      <c r="DB378" t="str">
        <f>""</f>
        <v/>
      </c>
      <c r="DC378" t="str">
        <f>""</f>
        <v/>
      </c>
      <c r="DD378" t="str">
        <f>""</f>
        <v/>
      </c>
      <c r="DE378" t="str">
        <f>""</f>
        <v/>
      </c>
      <c r="DF378" t="str">
        <f>""</f>
        <v/>
      </c>
      <c r="DG378" t="str">
        <f>""</f>
        <v/>
      </c>
      <c r="DH378" t="str">
        <f>""</f>
        <v/>
      </c>
      <c r="DI378" t="str">
        <f>""</f>
        <v/>
      </c>
      <c r="DJ378" t="str">
        <f>""</f>
        <v/>
      </c>
      <c r="DK378" t="str">
        <f>""</f>
        <v/>
      </c>
      <c r="DL378" t="str">
        <f>""</f>
        <v/>
      </c>
      <c r="DM378" t="str">
        <f>""</f>
        <v/>
      </c>
      <c r="DN378" t="str">
        <f>""</f>
        <v/>
      </c>
      <c r="DO378" t="str">
        <f>""</f>
        <v/>
      </c>
      <c r="DP378" t="str">
        <f>""</f>
        <v/>
      </c>
      <c r="DQ378" t="str">
        <f>""</f>
        <v/>
      </c>
      <c r="DR378" t="str">
        <f>""</f>
        <v/>
      </c>
      <c r="DS378" t="str">
        <f>""</f>
        <v/>
      </c>
      <c r="DT378" t="str">
        <f>""</f>
        <v/>
      </c>
      <c r="DU378" t="str">
        <f>""</f>
        <v/>
      </c>
    </row>
    <row r="379" spans="1:125">
      <c r="A379" t="str">
        <f>$A$133</f>
        <v xml:space="preserve">    Ventas Inc</v>
      </c>
      <c r="B379" t="str">
        <f>$B$133</f>
        <v>VTR US Equity</v>
      </c>
      <c r="C379" t="str">
        <f>$C$133</f>
        <v>RR551</v>
      </c>
      <c r="D379" t="str">
        <f>$D$133</f>
        <v>NOI_GROWTH</v>
      </c>
      <c r="E379" t="str">
        <f>$E$133</f>
        <v>动态</v>
      </c>
      <c r="F379" t="str">
        <f ca="1">BDH($B$133,$C$133,$B$256,$B$257,CONCATENATE("Per=",$B$254),"Dts=H","Dir=H",CONCATENATE("Points=",$B$255),"Sort=R","Days=A","Fill=B",CONCATENATE("FX=", $B$253) )</f>
        <v>#N/A Authorization</v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  <c r="CI379" t="str">
        <f>""</f>
        <v/>
      </c>
      <c r="CJ379" t="str">
        <f>""</f>
        <v/>
      </c>
      <c r="CK379" t="str">
        <f>""</f>
        <v/>
      </c>
      <c r="CL379" t="str">
        <f>""</f>
        <v/>
      </c>
      <c r="CM379" t="str">
        <f>""</f>
        <v/>
      </c>
      <c r="CN379" t="str">
        <f>""</f>
        <v/>
      </c>
      <c r="CO379" t="str">
        <f>""</f>
        <v/>
      </c>
      <c r="CP379" t="str">
        <f>""</f>
        <v/>
      </c>
      <c r="CQ379" t="str">
        <f>""</f>
        <v/>
      </c>
      <c r="CR379" t="str">
        <f>""</f>
        <v/>
      </c>
      <c r="CS379" t="str">
        <f>""</f>
        <v/>
      </c>
      <c r="CT379" t="str">
        <f>""</f>
        <v/>
      </c>
      <c r="CU379" t="str">
        <f>""</f>
        <v/>
      </c>
      <c r="CV379" t="str">
        <f>""</f>
        <v/>
      </c>
      <c r="CW379" t="str">
        <f>""</f>
        <v/>
      </c>
      <c r="CX379" t="str">
        <f>""</f>
        <v/>
      </c>
      <c r="CY379" t="str">
        <f>""</f>
        <v/>
      </c>
      <c r="CZ379" t="str">
        <f>""</f>
        <v/>
      </c>
      <c r="DA379" t="str">
        <f>""</f>
        <v/>
      </c>
      <c r="DB379" t="str">
        <f>""</f>
        <v/>
      </c>
      <c r="DC379" t="str">
        <f>""</f>
        <v/>
      </c>
      <c r="DD379" t="str">
        <f>""</f>
        <v/>
      </c>
      <c r="DE379" t="str">
        <f>""</f>
        <v/>
      </c>
      <c r="DF379" t="str">
        <f>""</f>
        <v/>
      </c>
      <c r="DG379" t="str">
        <f>""</f>
        <v/>
      </c>
      <c r="DH379" t="str">
        <f>""</f>
        <v/>
      </c>
      <c r="DI379" t="str">
        <f>""</f>
        <v/>
      </c>
      <c r="DJ379" t="str">
        <f>""</f>
        <v/>
      </c>
      <c r="DK379" t="str">
        <f>""</f>
        <v/>
      </c>
      <c r="DL379" t="str">
        <f>""</f>
        <v/>
      </c>
      <c r="DM379" t="str">
        <f>""</f>
        <v/>
      </c>
      <c r="DN379" t="str">
        <f>""</f>
        <v/>
      </c>
      <c r="DO379" t="str">
        <f>""</f>
        <v/>
      </c>
      <c r="DP379" t="str">
        <f>""</f>
        <v/>
      </c>
      <c r="DQ379" t="str">
        <f>""</f>
        <v/>
      </c>
      <c r="DR379" t="str">
        <f>""</f>
        <v/>
      </c>
      <c r="DS379" t="str">
        <f>""</f>
        <v/>
      </c>
      <c r="DT379" t="str">
        <f>""</f>
        <v/>
      </c>
      <c r="DU379" t="str">
        <f>""</f>
        <v/>
      </c>
    </row>
    <row r="380" spans="1:125">
      <c r="A380" t="str">
        <f>$A$134</f>
        <v xml:space="preserve">    Welltower Inc</v>
      </c>
      <c r="B380" t="str">
        <f>$B$134</f>
        <v>HCN US Equity</v>
      </c>
      <c r="C380" t="str">
        <f>$C$134</f>
        <v>RR551</v>
      </c>
      <c r="D380" t="str">
        <f>$D$134</f>
        <v>NOI_GROWTH</v>
      </c>
      <c r="E380" t="str">
        <f>$E$134</f>
        <v>动态</v>
      </c>
      <c r="F380" t="str">
        <f ca="1">BDH($B$134,$C$134,$B$256,$B$257,CONCATENATE("Per=",$B$254),"Dts=H","Dir=H",CONCATENATE("Points=",$B$255),"Sort=R","Days=A","Fill=B",CONCATENATE("FX=", $B$253) )</f>
        <v>#N/A Authorization</v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  <c r="CI380" t="str">
        <f>""</f>
        <v/>
      </c>
      <c r="CJ380" t="str">
        <f>""</f>
        <v/>
      </c>
      <c r="CK380" t="str">
        <f>""</f>
        <v/>
      </c>
      <c r="CL380" t="str">
        <f>""</f>
        <v/>
      </c>
      <c r="CM380" t="str">
        <f>""</f>
        <v/>
      </c>
      <c r="CN380" t="str">
        <f>""</f>
        <v/>
      </c>
      <c r="CO380" t="str">
        <f>""</f>
        <v/>
      </c>
      <c r="CP380" t="str">
        <f>""</f>
        <v/>
      </c>
      <c r="CQ380" t="str">
        <f>""</f>
        <v/>
      </c>
      <c r="CR380" t="str">
        <f>""</f>
        <v/>
      </c>
      <c r="CS380" t="str">
        <f>""</f>
        <v/>
      </c>
      <c r="CT380" t="str">
        <f>""</f>
        <v/>
      </c>
      <c r="CU380" t="str">
        <f>""</f>
        <v/>
      </c>
      <c r="CV380" t="str">
        <f>""</f>
        <v/>
      </c>
      <c r="CW380" t="str">
        <f>""</f>
        <v/>
      </c>
      <c r="CX380" t="str">
        <f>""</f>
        <v/>
      </c>
      <c r="CY380" t="str">
        <f>""</f>
        <v/>
      </c>
      <c r="CZ380" t="str">
        <f>""</f>
        <v/>
      </c>
      <c r="DA380" t="str">
        <f>""</f>
        <v/>
      </c>
      <c r="DB380" t="str">
        <f>""</f>
        <v/>
      </c>
      <c r="DC380" t="str">
        <f>""</f>
        <v/>
      </c>
      <c r="DD380" t="str">
        <f>""</f>
        <v/>
      </c>
      <c r="DE380" t="str">
        <f>""</f>
        <v/>
      </c>
      <c r="DF380" t="str">
        <f>""</f>
        <v/>
      </c>
      <c r="DG380" t="str">
        <f>""</f>
        <v/>
      </c>
      <c r="DH380" t="str">
        <f>""</f>
        <v/>
      </c>
      <c r="DI380" t="str">
        <f>""</f>
        <v/>
      </c>
      <c r="DJ380" t="str">
        <f>""</f>
        <v/>
      </c>
      <c r="DK380" t="str">
        <f>""</f>
        <v/>
      </c>
      <c r="DL380" t="str">
        <f>""</f>
        <v/>
      </c>
      <c r="DM380" t="str">
        <f>""</f>
        <v/>
      </c>
      <c r="DN380" t="str">
        <f>""</f>
        <v/>
      </c>
      <c r="DO380" t="str">
        <f>""</f>
        <v/>
      </c>
      <c r="DP380" t="str">
        <f>""</f>
        <v/>
      </c>
      <c r="DQ380" t="str">
        <f>""</f>
        <v/>
      </c>
      <c r="DR380" t="str">
        <f>""</f>
        <v/>
      </c>
      <c r="DS380" t="str">
        <f>""</f>
        <v/>
      </c>
      <c r="DT380" t="str">
        <f>""</f>
        <v/>
      </c>
      <c r="DU380" t="str">
        <f>""</f>
        <v/>
      </c>
    </row>
    <row r="381" spans="1:125">
      <c r="A381" t="str">
        <f>$A$136</f>
        <v xml:space="preserve">    Alexandria Real Estate Equitie</v>
      </c>
      <c r="B381" t="str">
        <f>$B$136</f>
        <v>ARE US Equity</v>
      </c>
      <c r="C381" t="str">
        <f>$C$136</f>
        <v>BE592</v>
      </c>
      <c r="D381" t="str">
        <f>$D$136</f>
        <v>BEST_FFOPS_YOY_GTH</v>
      </c>
      <c r="E381" t="str">
        <f>$E$136</f>
        <v>动态</v>
      </c>
      <c r="F381" t="str">
        <f ca="1">BDH($B$136,$C$136,$B$256,$B$257,CONCATENATE("Per=",$B$254),"Dts=H","Dir=H",CONCATENATE("Points=",$B$255),"Sort=R","Days=A","Fill=B","BE997=1GY",CONCATENATE("FX=", $B$253) )</f>
        <v>#N/A Authorization</v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  <c r="CI381" t="str">
        <f>""</f>
        <v/>
      </c>
      <c r="CJ381" t="str">
        <f>""</f>
        <v/>
      </c>
      <c r="CK381" t="str">
        <f>""</f>
        <v/>
      </c>
      <c r="CL381" t="str">
        <f>""</f>
        <v/>
      </c>
      <c r="CM381" t="str">
        <f>""</f>
        <v/>
      </c>
      <c r="CN381" t="str">
        <f>""</f>
        <v/>
      </c>
      <c r="CO381" t="str">
        <f>""</f>
        <v/>
      </c>
      <c r="CP381" t="str">
        <f>""</f>
        <v/>
      </c>
      <c r="CQ381" t="str">
        <f>""</f>
        <v/>
      </c>
      <c r="CR381" t="str">
        <f>""</f>
        <v/>
      </c>
      <c r="CS381" t="str">
        <f>""</f>
        <v/>
      </c>
      <c r="CT381" t="str">
        <f>""</f>
        <v/>
      </c>
      <c r="CU381" t="str">
        <f>""</f>
        <v/>
      </c>
      <c r="CV381" t="str">
        <f>""</f>
        <v/>
      </c>
      <c r="CW381" t="str">
        <f>""</f>
        <v/>
      </c>
      <c r="CX381" t="str">
        <f>""</f>
        <v/>
      </c>
      <c r="CY381" t="str">
        <f>""</f>
        <v/>
      </c>
      <c r="CZ381" t="str">
        <f>""</f>
        <v/>
      </c>
      <c r="DA381" t="str">
        <f>""</f>
        <v/>
      </c>
      <c r="DB381" t="str">
        <f>""</f>
        <v/>
      </c>
      <c r="DC381" t="str">
        <f>""</f>
        <v/>
      </c>
      <c r="DD381" t="str">
        <f>""</f>
        <v/>
      </c>
      <c r="DE381" t="str">
        <f>""</f>
        <v/>
      </c>
      <c r="DF381" t="str">
        <f>""</f>
        <v/>
      </c>
      <c r="DG381" t="str">
        <f>""</f>
        <v/>
      </c>
      <c r="DH381" t="str">
        <f>""</f>
        <v/>
      </c>
      <c r="DI381" t="str">
        <f>""</f>
        <v/>
      </c>
      <c r="DJ381" t="str">
        <f>""</f>
        <v/>
      </c>
      <c r="DK381" t="str">
        <f>""</f>
        <v/>
      </c>
      <c r="DL381" t="str">
        <f>""</f>
        <v/>
      </c>
      <c r="DM381" t="str">
        <f>""</f>
        <v/>
      </c>
      <c r="DN381" t="str">
        <f>""</f>
        <v/>
      </c>
      <c r="DO381" t="str">
        <f>""</f>
        <v/>
      </c>
      <c r="DP381" t="str">
        <f>""</f>
        <v/>
      </c>
      <c r="DQ381" t="str">
        <f>""</f>
        <v/>
      </c>
      <c r="DR381" t="str">
        <f>""</f>
        <v/>
      </c>
      <c r="DS381" t="str">
        <f>""</f>
        <v/>
      </c>
      <c r="DT381" t="str">
        <f>""</f>
        <v/>
      </c>
      <c r="DU381" t="str">
        <f>""</f>
        <v/>
      </c>
    </row>
    <row r="382" spans="1:125">
      <c r="A382" t="str">
        <f>$A$137</f>
        <v xml:space="preserve">    Care Capital Properties Inc</v>
      </c>
      <c r="B382" t="str">
        <f>$B$137</f>
        <v>CCP US Equity</v>
      </c>
      <c r="C382" t="str">
        <f>$C$137</f>
        <v>BE592</v>
      </c>
      <c r="D382" t="str">
        <f>$D$137</f>
        <v>BEST_FFOPS_YOY_GTH</v>
      </c>
      <c r="E382" t="str">
        <f>$E$137</f>
        <v>动态</v>
      </c>
      <c r="F382" t="str">
        <f ca="1">BDH($B$137,$C$137,$B$256,$B$257,CONCATENATE("Per=",$B$254),"Dts=H","Dir=H",CONCATENATE("Points=",$B$255),"Sort=R","Days=A","Fill=B","BE997=1GY",CONCATENATE("FX=", $B$253) )</f>
        <v>#N/A Authorization</v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  <c r="CI382" t="str">
        <f>""</f>
        <v/>
      </c>
      <c r="CJ382" t="str">
        <f>""</f>
        <v/>
      </c>
      <c r="CK382" t="str">
        <f>""</f>
        <v/>
      </c>
      <c r="CL382" t="str">
        <f>""</f>
        <v/>
      </c>
      <c r="CM382" t="str">
        <f>""</f>
        <v/>
      </c>
      <c r="CN382" t="str">
        <f>""</f>
        <v/>
      </c>
      <c r="CO382" t="str">
        <f>""</f>
        <v/>
      </c>
      <c r="CP382" t="str">
        <f>""</f>
        <v/>
      </c>
      <c r="CQ382" t="str">
        <f>""</f>
        <v/>
      </c>
      <c r="CR382" t="str">
        <f>""</f>
        <v/>
      </c>
      <c r="CS382" t="str">
        <f>""</f>
        <v/>
      </c>
      <c r="CT382" t="str">
        <f>""</f>
        <v/>
      </c>
      <c r="CU382" t="str">
        <f>""</f>
        <v/>
      </c>
      <c r="CV382" t="str">
        <f>""</f>
        <v/>
      </c>
      <c r="CW382" t="str">
        <f>""</f>
        <v/>
      </c>
      <c r="CX382" t="str">
        <f>""</f>
        <v/>
      </c>
      <c r="CY382" t="str">
        <f>""</f>
        <v/>
      </c>
      <c r="CZ382" t="str">
        <f>""</f>
        <v/>
      </c>
      <c r="DA382" t="str">
        <f>""</f>
        <v/>
      </c>
      <c r="DB382" t="str">
        <f>""</f>
        <v/>
      </c>
      <c r="DC382" t="str">
        <f>""</f>
        <v/>
      </c>
      <c r="DD382" t="str">
        <f>""</f>
        <v/>
      </c>
      <c r="DE382" t="str">
        <f>""</f>
        <v/>
      </c>
      <c r="DF382" t="str">
        <f>""</f>
        <v/>
      </c>
      <c r="DG382" t="str">
        <f>""</f>
        <v/>
      </c>
      <c r="DH382" t="str">
        <f>""</f>
        <v/>
      </c>
      <c r="DI382" t="str">
        <f>""</f>
        <v/>
      </c>
      <c r="DJ382" t="str">
        <f>""</f>
        <v/>
      </c>
      <c r="DK382" t="str">
        <f>""</f>
        <v/>
      </c>
      <c r="DL382" t="str">
        <f>""</f>
        <v/>
      </c>
      <c r="DM382" t="str">
        <f>""</f>
        <v/>
      </c>
      <c r="DN382" t="str">
        <f>""</f>
        <v/>
      </c>
      <c r="DO382" t="str">
        <f>""</f>
        <v/>
      </c>
      <c r="DP382" t="str">
        <f>""</f>
        <v/>
      </c>
      <c r="DQ382" t="str">
        <f>""</f>
        <v/>
      </c>
      <c r="DR382" t="str">
        <f>""</f>
        <v/>
      </c>
      <c r="DS382" t="str">
        <f>""</f>
        <v/>
      </c>
      <c r="DT382" t="str">
        <f>""</f>
        <v/>
      </c>
      <c r="DU382" t="str">
        <f>""</f>
        <v/>
      </c>
    </row>
    <row r="383" spans="1:125">
      <c r="A383" t="str">
        <f>$A$138</f>
        <v xml:space="preserve">    HCP Inc</v>
      </c>
      <c r="B383" t="str">
        <f>$B$138</f>
        <v>HCP US Equity</v>
      </c>
      <c r="C383" t="str">
        <f>$C$138</f>
        <v>BE592</v>
      </c>
      <c r="D383" t="str">
        <f>$D$138</f>
        <v>BEST_FFOPS_YOY_GTH</v>
      </c>
      <c r="E383" t="str">
        <f>$E$138</f>
        <v>动态</v>
      </c>
      <c r="F383" t="str">
        <f ca="1">BDH($B$138,$C$138,$B$256,$B$257,CONCATENATE("Per=",$B$254),"Dts=H","Dir=H",CONCATENATE("Points=",$B$255),"Sort=R","Days=A","Fill=B","BE997=1GY",CONCATENATE("FX=", $B$253) )</f>
        <v>#N/A Authorization</v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  <c r="CI383" t="str">
        <f>""</f>
        <v/>
      </c>
      <c r="CJ383" t="str">
        <f>""</f>
        <v/>
      </c>
      <c r="CK383" t="str">
        <f>""</f>
        <v/>
      </c>
      <c r="CL383" t="str">
        <f>""</f>
        <v/>
      </c>
      <c r="CM383" t="str">
        <f>""</f>
        <v/>
      </c>
      <c r="CN383" t="str">
        <f>""</f>
        <v/>
      </c>
      <c r="CO383" t="str">
        <f>""</f>
        <v/>
      </c>
      <c r="CP383" t="str">
        <f>""</f>
        <v/>
      </c>
      <c r="CQ383" t="str">
        <f>""</f>
        <v/>
      </c>
      <c r="CR383" t="str">
        <f>""</f>
        <v/>
      </c>
      <c r="CS383" t="str">
        <f>""</f>
        <v/>
      </c>
      <c r="CT383" t="str">
        <f>""</f>
        <v/>
      </c>
      <c r="CU383" t="str">
        <f>""</f>
        <v/>
      </c>
      <c r="CV383" t="str">
        <f>""</f>
        <v/>
      </c>
      <c r="CW383" t="str">
        <f>""</f>
        <v/>
      </c>
      <c r="CX383" t="str">
        <f>""</f>
        <v/>
      </c>
      <c r="CY383" t="str">
        <f>""</f>
        <v/>
      </c>
      <c r="CZ383" t="str">
        <f>""</f>
        <v/>
      </c>
      <c r="DA383" t="str">
        <f>""</f>
        <v/>
      </c>
      <c r="DB383" t="str">
        <f>""</f>
        <v/>
      </c>
      <c r="DC383" t="str">
        <f>""</f>
        <v/>
      </c>
      <c r="DD383" t="str">
        <f>""</f>
        <v/>
      </c>
      <c r="DE383" t="str">
        <f>""</f>
        <v/>
      </c>
      <c r="DF383" t="str">
        <f>""</f>
        <v/>
      </c>
      <c r="DG383" t="str">
        <f>""</f>
        <v/>
      </c>
      <c r="DH383" t="str">
        <f>""</f>
        <v/>
      </c>
      <c r="DI383" t="str">
        <f>""</f>
        <v/>
      </c>
      <c r="DJ383" t="str">
        <f>""</f>
        <v/>
      </c>
      <c r="DK383" t="str">
        <f>""</f>
        <v/>
      </c>
      <c r="DL383" t="str">
        <f>""</f>
        <v/>
      </c>
      <c r="DM383" t="str">
        <f>""</f>
        <v/>
      </c>
      <c r="DN383" t="str">
        <f>""</f>
        <v/>
      </c>
      <c r="DO383" t="str">
        <f>""</f>
        <v/>
      </c>
      <c r="DP383" t="str">
        <f>""</f>
        <v/>
      </c>
      <c r="DQ383" t="str">
        <f>""</f>
        <v/>
      </c>
      <c r="DR383" t="str">
        <f>""</f>
        <v/>
      </c>
      <c r="DS383" t="str">
        <f>""</f>
        <v/>
      </c>
      <c r="DT383" t="str">
        <f>""</f>
        <v/>
      </c>
      <c r="DU383" t="str">
        <f>""</f>
        <v/>
      </c>
    </row>
    <row r="384" spans="1:125">
      <c r="A384" t="str">
        <f>$A$139</f>
        <v xml:space="preserve">    Healthcare Realty Trust Inc</v>
      </c>
      <c r="B384" t="str">
        <f>$B$139</f>
        <v>HR US Equity</v>
      </c>
      <c r="C384" t="str">
        <f>$C$139</f>
        <v>BE592</v>
      </c>
      <c r="D384" t="str">
        <f>$D$139</f>
        <v>BEST_FFOPS_YOY_GTH</v>
      </c>
      <c r="E384" t="str">
        <f>$E$139</f>
        <v>动态</v>
      </c>
      <c r="F384" t="str">
        <f ca="1">BDH($B$139,$C$139,$B$256,$B$257,CONCATENATE("Per=",$B$254),"Dts=H","Dir=H",CONCATENATE("Points=",$B$255),"Sort=R","Days=A","Fill=B","BE997=1GY",CONCATENATE("FX=", $B$253) )</f>
        <v>#N/A Authorization</v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""</f>
        <v/>
      </c>
      <c r="CI384" t="str">
        <f>""</f>
        <v/>
      </c>
      <c r="CJ384" t="str">
        <f>""</f>
        <v/>
      </c>
      <c r="CK384" t="str">
        <f>""</f>
        <v/>
      </c>
      <c r="CL384" t="str">
        <f>""</f>
        <v/>
      </c>
      <c r="CM384" t="str">
        <f>""</f>
        <v/>
      </c>
      <c r="CN384" t="str">
        <f>""</f>
        <v/>
      </c>
      <c r="CO384" t="str">
        <f>""</f>
        <v/>
      </c>
      <c r="CP384" t="str">
        <f>""</f>
        <v/>
      </c>
      <c r="CQ384" t="str">
        <f>""</f>
        <v/>
      </c>
      <c r="CR384" t="str">
        <f>""</f>
        <v/>
      </c>
      <c r="CS384" t="str">
        <f>""</f>
        <v/>
      </c>
      <c r="CT384" t="str">
        <f>""</f>
        <v/>
      </c>
      <c r="CU384" t="str">
        <f>""</f>
        <v/>
      </c>
      <c r="CV384" t="str">
        <f>""</f>
        <v/>
      </c>
      <c r="CW384" t="str">
        <f>""</f>
        <v/>
      </c>
      <c r="CX384" t="str">
        <f>""</f>
        <v/>
      </c>
      <c r="CY384" t="str">
        <f>""</f>
        <v/>
      </c>
      <c r="CZ384" t="str">
        <f>""</f>
        <v/>
      </c>
      <c r="DA384" t="str">
        <f>""</f>
        <v/>
      </c>
      <c r="DB384" t="str">
        <f>""</f>
        <v/>
      </c>
      <c r="DC384" t="str">
        <f>""</f>
        <v/>
      </c>
      <c r="DD384" t="str">
        <f>""</f>
        <v/>
      </c>
      <c r="DE384" t="str">
        <f>""</f>
        <v/>
      </c>
      <c r="DF384" t="str">
        <f>""</f>
        <v/>
      </c>
      <c r="DG384" t="str">
        <f>""</f>
        <v/>
      </c>
      <c r="DH384" t="str">
        <f>""</f>
        <v/>
      </c>
      <c r="DI384" t="str">
        <f>""</f>
        <v/>
      </c>
      <c r="DJ384" t="str">
        <f>""</f>
        <v/>
      </c>
      <c r="DK384" t="str">
        <f>""</f>
        <v/>
      </c>
      <c r="DL384" t="str">
        <f>""</f>
        <v/>
      </c>
      <c r="DM384" t="str">
        <f>""</f>
        <v/>
      </c>
      <c r="DN384" t="str">
        <f>""</f>
        <v/>
      </c>
      <c r="DO384" t="str">
        <f>""</f>
        <v/>
      </c>
      <c r="DP384" t="str">
        <f>""</f>
        <v/>
      </c>
      <c r="DQ384" t="str">
        <f>""</f>
        <v/>
      </c>
      <c r="DR384" t="str">
        <f>""</f>
        <v/>
      </c>
      <c r="DS384" t="str">
        <f>""</f>
        <v/>
      </c>
      <c r="DT384" t="str">
        <f>""</f>
        <v/>
      </c>
      <c r="DU384" t="str">
        <f>""</f>
        <v/>
      </c>
    </row>
    <row r="385" spans="1:125">
      <c r="A385" t="str">
        <f>$A$140</f>
        <v xml:space="preserve">    Healthcare Trust of America In</v>
      </c>
      <c r="B385" t="str">
        <f>$B$140</f>
        <v>HTA US Equity</v>
      </c>
      <c r="C385" t="str">
        <f>$C$140</f>
        <v>BE592</v>
      </c>
      <c r="D385" t="str">
        <f>$D$140</f>
        <v>BEST_FFOPS_YOY_GTH</v>
      </c>
      <c r="E385" t="str">
        <f>$E$140</f>
        <v>动态</v>
      </c>
      <c r="F385" t="str">
        <f ca="1">BDH($B$140,$C$140,$B$256,$B$257,CONCATENATE("Per=",$B$254),"Dts=H","Dir=H",CONCATENATE("Points=",$B$255),"Sort=R","Days=A","Fill=B","BE997=1GY",CONCATENATE("FX=", $B$253) )</f>
        <v>#N/A Authorization</v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  <c r="CI385" t="str">
        <f>""</f>
        <v/>
      </c>
      <c r="CJ385" t="str">
        <f>""</f>
        <v/>
      </c>
      <c r="CK385" t="str">
        <f>""</f>
        <v/>
      </c>
      <c r="CL385" t="str">
        <f>""</f>
        <v/>
      </c>
      <c r="CM385" t="str">
        <f>""</f>
        <v/>
      </c>
      <c r="CN385" t="str">
        <f>""</f>
        <v/>
      </c>
      <c r="CO385" t="str">
        <f>""</f>
        <v/>
      </c>
      <c r="CP385" t="str">
        <f>""</f>
        <v/>
      </c>
      <c r="CQ385" t="str">
        <f>""</f>
        <v/>
      </c>
      <c r="CR385" t="str">
        <f>""</f>
        <v/>
      </c>
      <c r="CS385" t="str">
        <f>""</f>
        <v/>
      </c>
      <c r="CT385" t="str">
        <f>""</f>
        <v/>
      </c>
      <c r="CU385" t="str">
        <f>""</f>
        <v/>
      </c>
      <c r="CV385" t="str">
        <f>""</f>
        <v/>
      </c>
      <c r="CW385" t="str">
        <f>""</f>
        <v/>
      </c>
      <c r="CX385" t="str">
        <f>""</f>
        <v/>
      </c>
      <c r="CY385" t="str">
        <f>""</f>
        <v/>
      </c>
      <c r="CZ385" t="str">
        <f>""</f>
        <v/>
      </c>
      <c r="DA385" t="str">
        <f>""</f>
        <v/>
      </c>
      <c r="DB385" t="str">
        <f>""</f>
        <v/>
      </c>
      <c r="DC385" t="str">
        <f>""</f>
        <v/>
      </c>
      <c r="DD385" t="str">
        <f>""</f>
        <v/>
      </c>
      <c r="DE385" t="str">
        <f>""</f>
        <v/>
      </c>
      <c r="DF385" t="str">
        <f>""</f>
        <v/>
      </c>
      <c r="DG385" t="str">
        <f>""</f>
        <v/>
      </c>
      <c r="DH385" t="str">
        <f>""</f>
        <v/>
      </c>
      <c r="DI385" t="str">
        <f>""</f>
        <v/>
      </c>
      <c r="DJ385" t="str">
        <f>""</f>
        <v/>
      </c>
      <c r="DK385" t="str">
        <f>""</f>
        <v/>
      </c>
      <c r="DL385" t="str">
        <f>""</f>
        <v/>
      </c>
      <c r="DM385" t="str">
        <f>""</f>
        <v/>
      </c>
      <c r="DN385" t="str">
        <f>""</f>
        <v/>
      </c>
      <c r="DO385" t="str">
        <f>""</f>
        <v/>
      </c>
      <c r="DP385" t="str">
        <f>""</f>
        <v/>
      </c>
      <c r="DQ385" t="str">
        <f>""</f>
        <v/>
      </c>
      <c r="DR385" t="str">
        <f>""</f>
        <v/>
      </c>
      <c r="DS385" t="str">
        <f>""</f>
        <v/>
      </c>
      <c r="DT385" t="str">
        <f>""</f>
        <v/>
      </c>
      <c r="DU385" t="str">
        <f>""</f>
        <v/>
      </c>
    </row>
    <row r="386" spans="1:125">
      <c r="A386" t="str">
        <f>$A$141</f>
        <v xml:space="preserve">    Medical Properties Trust Inc</v>
      </c>
      <c r="B386" t="str">
        <f>$B$141</f>
        <v>MPW US Equity</v>
      </c>
      <c r="C386" t="str">
        <f>$C$141</f>
        <v>BE592</v>
      </c>
      <c r="D386" t="str">
        <f>$D$141</f>
        <v>BEST_FFOPS_YOY_GTH</v>
      </c>
      <c r="E386" t="str">
        <f>$E$141</f>
        <v>动态</v>
      </c>
      <c r="F386" t="str">
        <f ca="1">BDH($B$141,$C$141,$B$256,$B$257,CONCATENATE("Per=",$B$254),"Dts=H","Dir=H",CONCATENATE("Points=",$B$255),"Sort=R","Days=A","Fill=B","BE997=1GY",CONCATENATE("FX=", $B$253) )</f>
        <v>#N/A Authorization</v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  <c r="CI386" t="str">
        <f>""</f>
        <v/>
      </c>
      <c r="CJ386" t="str">
        <f>""</f>
        <v/>
      </c>
      <c r="CK386" t="str">
        <f>""</f>
        <v/>
      </c>
      <c r="CL386" t="str">
        <f>""</f>
        <v/>
      </c>
      <c r="CM386" t="str">
        <f>""</f>
        <v/>
      </c>
      <c r="CN386" t="str">
        <f>""</f>
        <v/>
      </c>
      <c r="CO386" t="str">
        <f>""</f>
        <v/>
      </c>
      <c r="CP386" t="str">
        <f>""</f>
        <v/>
      </c>
      <c r="CQ386" t="str">
        <f>""</f>
        <v/>
      </c>
      <c r="CR386" t="str">
        <f>""</f>
        <v/>
      </c>
      <c r="CS386" t="str">
        <f>""</f>
        <v/>
      </c>
      <c r="CT386" t="str">
        <f>""</f>
        <v/>
      </c>
      <c r="CU386" t="str">
        <f>""</f>
        <v/>
      </c>
      <c r="CV386" t="str">
        <f>""</f>
        <v/>
      </c>
      <c r="CW386" t="str">
        <f>""</f>
        <v/>
      </c>
      <c r="CX386" t="str">
        <f>""</f>
        <v/>
      </c>
      <c r="CY386" t="str">
        <f>""</f>
        <v/>
      </c>
      <c r="CZ386" t="str">
        <f>""</f>
        <v/>
      </c>
      <c r="DA386" t="str">
        <f>""</f>
        <v/>
      </c>
      <c r="DB386" t="str">
        <f>""</f>
        <v/>
      </c>
      <c r="DC386" t="str">
        <f>""</f>
        <v/>
      </c>
      <c r="DD386" t="str">
        <f>""</f>
        <v/>
      </c>
      <c r="DE386" t="str">
        <f>""</f>
        <v/>
      </c>
      <c r="DF386" t="str">
        <f>""</f>
        <v/>
      </c>
      <c r="DG386" t="str">
        <f>""</f>
        <v/>
      </c>
      <c r="DH386" t="str">
        <f>""</f>
        <v/>
      </c>
      <c r="DI386" t="str">
        <f>""</f>
        <v/>
      </c>
      <c r="DJ386" t="str">
        <f>""</f>
        <v/>
      </c>
      <c r="DK386" t="str">
        <f>""</f>
        <v/>
      </c>
      <c r="DL386" t="str">
        <f>""</f>
        <v/>
      </c>
      <c r="DM386" t="str">
        <f>""</f>
        <v/>
      </c>
      <c r="DN386" t="str">
        <f>""</f>
        <v/>
      </c>
      <c r="DO386" t="str">
        <f>""</f>
        <v/>
      </c>
      <c r="DP386" t="str">
        <f>""</f>
        <v/>
      </c>
      <c r="DQ386" t="str">
        <f>""</f>
        <v/>
      </c>
      <c r="DR386" t="str">
        <f>""</f>
        <v/>
      </c>
      <c r="DS386" t="str">
        <f>""</f>
        <v/>
      </c>
      <c r="DT386" t="str">
        <f>""</f>
        <v/>
      </c>
      <c r="DU386" t="str">
        <f>""</f>
        <v/>
      </c>
    </row>
    <row r="387" spans="1:125">
      <c r="A387" t="str">
        <f>$A$142</f>
        <v xml:space="preserve">    Omega Healthcare Investors Inc</v>
      </c>
      <c r="B387" t="str">
        <f>$B$142</f>
        <v>OHI US Equity</v>
      </c>
      <c r="C387" t="str">
        <f>$C$142</f>
        <v>BE592</v>
      </c>
      <c r="D387" t="str">
        <f>$D$142</f>
        <v>BEST_FFOPS_YOY_GTH</v>
      </c>
      <c r="E387" t="str">
        <f>$E$142</f>
        <v>动态</v>
      </c>
      <c r="F387" t="str">
        <f ca="1">BDH($B$142,$C$142,$B$256,$B$257,CONCATENATE("Per=",$B$254),"Dts=H","Dir=H",CONCATENATE("Points=",$B$255),"Sort=R","Days=A","Fill=B","BE997=1GY",CONCATENATE("FX=", $B$253) )</f>
        <v>#N/A Authorization</v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  <c r="CI387" t="str">
        <f>""</f>
        <v/>
      </c>
      <c r="CJ387" t="str">
        <f>""</f>
        <v/>
      </c>
      <c r="CK387" t="str">
        <f>""</f>
        <v/>
      </c>
      <c r="CL387" t="str">
        <f>""</f>
        <v/>
      </c>
      <c r="CM387" t="str">
        <f>""</f>
        <v/>
      </c>
      <c r="CN387" t="str">
        <f>""</f>
        <v/>
      </c>
      <c r="CO387" t="str">
        <f>""</f>
        <v/>
      </c>
      <c r="CP387" t="str">
        <f>""</f>
        <v/>
      </c>
      <c r="CQ387" t="str">
        <f>""</f>
        <v/>
      </c>
      <c r="CR387" t="str">
        <f>""</f>
        <v/>
      </c>
      <c r="CS387" t="str">
        <f>""</f>
        <v/>
      </c>
      <c r="CT387" t="str">
        <f>""</f>
        <v/>
      </c>
      <c r="CU387" t="str">
        <f>""</f>
        <v/>
      </c>
      <c r="CV387" t="str">
        <f>""</f>
        <v/>
      </c>
      <c r="CW387" t="str">
        <f>""</f>
        <v/>
      </c>
      <c r="CX387" t="str">
        <f>""</f>
        <v/>
      </c>
      <c r="CY387" t="str">
        <f>""</f>
        <v/>
      </c>
      <c r="CZ387" t="str">
        <f>""</f>
        <v/>
      </c>
      <c r="DA387" t="str">
        <f>""</f>
        <v/>
      </c>
      <c r="DB387" t="str">
        <f>""</f>
        <v/>
      </c>
      <c r="DC387" t="str">
        <f>""</f>
        <v/>
      </c>
      <c r="DD387" t="str">
        <f>""</f>
        <v/>
      </c>
      <c r="DE387" t="str">
        <f>""</f>
        <v/>
      </c>
      <c r="DF387" t="str">
        <f>""</f>
        <v/>
      </c>
      <c r="DG387" t="str">
        <f>""</f>
        <v/>
      </c>
      <c r="DH387" t="str">
        <f>""</f>
        <v/>
      </c>
      <c r="DI387" t="str">
        <f>""</f>
        <v/>
      </c>
      <c r="DJ387" t="str">
        <f>""</f>
        <v/>
      </c>
      <c r="DK387" t="str">
        <f>""</f>
        <v/>
      </c>
      <c r="DL387" t="str">
        <f>""</f>
        <v/>
      </c>
      <c r="DM387" t="str">
        <f>""</f>
        <v/>
      </c>
      <c r="DN387" t="str">
        <f>""</f>
        <v/>
      </c>
      <c r="DO387" t="str">
        <f>""</f>
        <v/>
      </c>
      <c r="DP387" t="str">
        <f>""</f>
        <v/>
      </c>
      <c r="DQ387" t="str">
        <f>""</f>
        <v/>
      </c>
      <c r="DR387" t="str">
        <f>""</f>
        <v/>
      </c>
      <c r="DS387" t="str">
        <f>""</f>
        <v/>
      </c>
      <c r="DT387" t="str">
        <f>""</f>
        <v/>
      </c>
      <c r="DU387" t="str">
        <f>""</f>
        <v/>
      </c>
    </row>
    <row r="388" spans="1:125">
      <c r="A388" t="str">
        <f>$A$143</f>
        <v xml:space="preserve">    Sabra Health Care REIT Inc</v>
      </c>
      <c r="B388" t="str">
        <f>$B$143</f>
        <v>SBRA US Equity</v>
      </c>
      <c r="C388" t="str">
        <f>$C$143</f>
        <v>BE592</v>
      </c>
      <c r="D388" t="str">
        <f>$D$143</f>
        <v>BEST_FFOPS_YOY_GTH</v>
      </c>
      <c r="E388" t="str">
        <f>$E$143</f>
        <v>动态</v>
      </c>
      <c r="F388" t="str">
        <f ca="1">BDH($B$143,$C$143,$B$256,$B$257,CONCATENATE("Per=",$B$254),"Dts=H","Dir=H",CONCATENATE("Points=",$B$255),"Sort=R","Days=A","Fill=B","BE997=1GY",CONCATENATE("FX=", $B$253) )</f>
        <v>#N/A Authorization</v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  <c r="CI388" t="str">
        <f>""</f>
        <v/>
      </c>
      <c r="CJ388" t="str">
        <f>""</f>
        <v/>
      </c>
      <c r="CK388" t="str">
        <f>""</f>
        <v/>
      </c>
      <c r="CL388" t="str">
        <f>""</f>
        <v/>
      </c>
      <c r="CM388" t="str">
        <f>""</f>
        <v/>
      </c>
      <c r="CN388" t="str">
        <f>""</f>
        <v/>
      </c>
      <c r="CO388" t="str">
        <f>""</f>
        <v/>
      </c>
      <c r="CP388" t="str">
        <f>""</f>
        <v/>
      </c>
      <c r="CQ388" t="str">
        <f>""</f>
        <v/>
      </c>
      <c r="CR388" t="str">
        <f>""</f>
        <v/>
      </c>
      <c r="CS388" t="str">
        <f>""</f>
        <v/>
      </c>
      <c r="CT388" t="str">
        <f>""</f>
        <v/>
      </c>
      <c r="CU388" t="str">
        <f>""</f>
        <v/>
      </c>
      <c r="CV388" t="str">
        <f>""</f>
        <v/>
      </c>
      <c r="CW388" t="str">
        <f>""</f>
        <v/>
      </c>
      <c r="CX388" t="str">
        <f>""</f>
        <v/>
      </c>
      <c r="CY388" t="str">
        <f>""</f>
        <v/>
      </c>
      <c r="CZ388" t="str">
        <f>""</f>
        <v/>
      </c>
      <c r="DA388" t="str">
        <f>""</f>
        <v/>
      </c>
      <c r="DB388" t="str">
        <f>""</f>
        <v/>
      </c>
      <c r="DC388" t="str">
        <f>""</f>
        <v/>
      </c>
      <c r="DD388" t="str">
        <f>""</f>
        <v/>
      </c>
      <c r="DE388" t="str">
        <f>""</f>
        <v/>
      </c>
      <c r="DF388" t="str">
        <f>""</f>
        <v/>
      </c>
      <c r="DG388" t="str">
        <f>""</f>
        <v/>
      </c>
      <c r="DH388" t="str">
        <f>""</f>
        <v/>
      </c>
      <c r="DI388" t="str">
        <f>""</f>
        <v/>
      </c>
      <c r="DJ388" t="str">
        <f>""</f>
        <v/>
      </c>
      <c r="DK388" t="str">
        <f>""</f>
        <v/>
      </c>
      <c r="DL388" t="str">
        <f>""</f>
        <v/>
      </c>
      <c r="DM388" t="str">
        <f>""</f>
        <v/>
      </c>
      <c r="DN388" t="str">
        <f>""</f>
        <v/>
      </c>
      <c r="DO388" t="str">
        <f>""</f>
        <v/>
      </c>
      <c r="DP388" t="str">
        <f>""</f>
        <v/>
      </c>
      <c r="DQ388" t="str">
        <f>""</f>
        <v/>
      </c>
      <c r="DR388" t="str">
        <f>""</f>
        <v/>
      </c>
      <c r="DS388" t="str">
        <f>""</f>
        <v/>
      </c>
      <c r="DT388" t="str">
        <f>""</f>
        <v/>
      </c>
      <c r="DU388" t="str">
        <f>""</f>
        <v/>
      </c>
    </row>
    <row r="389" spans="1:125">
      <c r="A389" t="str">
        <f>$A$144</f>
        <v xml:space="preserve">    Senior Housing Properties Trus</v>
      </c>
      <c r="B389" t="str">
        <f>$B$144</f>
        <v>SNH US Equity</v>
      </c>
      <c r="C389" t="str">
        <f>$C$144</f>
        <v>BE592</v>
      </c>
      <c r="D389" t="str">
        <f>$D$144</f>
        <v>BEST_FFOPS_YOY_GTH</v>
      </c>
      <c r="E389" t="str">
        <f>$E$144</f>
        <v>动态</v>
      </c>
      <c r="F389" t="str">
        <f ca="1">BDH($B$144,$C$144,$B$256,$B$257,CONCATENATE("Per=",$B$254),"Dts=H","Dir=H",CONCATENATE("Points=",$B$255),"Sort=R","Days=A","Fill=B","BE997=1GY",CONCATENATE("FX=", $B$253) )</f>
        <v>#N/A Authorization</v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  <c r="CI389" t="str">
        <f>""</f>
        <v/>
      </c>
      <c r="CJ389" t="str">
        <f>""</f>
        <v/>
      </c>
      <c r="CK389" t="str">
        <f>""</f>
        <v/>
      </c>
      <c r="CL389" t="str">
        <f>""</f>
        <v/>
      </c>
      <c r="CM389" t="str">
        <f>""</f>
        <v/>
      </c>
      <c r="CN389" t="str">
        <f>""</f>
        <v/>
      </c>
      <c r="CO389" t="str">
        <f>""</f>
        <v/>
      </c>
      <c r="CP389" t="str">
        <f>""</f>
        <v/>
      </c>
      <c r="CQ389" t="str">
        <f>""</f>
        <v/>
      </c>
      <c r="CR389" t="str">
        <f>""</f>
        <v/>
      </c>
      <c r="CS389" t="str">
        <f>""</f>
        <v/>
      </c>
      <c r="CT389" t="str">
        <f>""</f>
        <v/>
      </c>
      <c r="CU389" t="str">
        <f>""</f>
        <v/>
      </c>
      <c r="CV389" t="str">
        <f>""</f>
        <v/>
      </c>
      <c r="CW389" t="str">
        <f>""</f>
        <v/>
      </c>
      <c r="CX389" t="str">
        <f>""</f>
        <v/>
      </c>
      <c r="CY389" t="str">
        <f>""</f>
        <v/>
      </c>
      <c r="CZ389" t="str">
        <f>""</f>
        <v/>
      </c>
      <c r="DA389" t="str">
        <f>""</f>
        <v/>
      </c>
      <c r="DB389" t="str">
        <f>""</f>
        <v/>
      </c>
      <c r="DC389" t="str">
        <f>""</f>
        <v/>
      </c>
      <c r="DD389" t="str">
        <f>""</f>
        <v/>
      </c>
      <c r="DE389" t="str">
        <f>""</f>
        <v/>
      </c>
      <c r="DF389" t="str">
        <f>""</f>
        <v/>
      </c>
      <c r="DG389" t="str">
        <f>""</f>
        <v/>
      </c>
      <c r="DH389" t="str">
        <f>""</f>
        <v/>
      </c>
      <c r="DI389" t="str">
        <f>""</f>
        <v/>
      </c>
      <c r="DJ389" t="str">
        <f>""</f>
        <v/>
      </c>
      <c r="DK389" t="str">
        <f>""</f>
        <v/>
      </c>
      <c r="DL389" t="str">
        <f>""</f>
        <v/>
      </c>
      <c r="DM389" t="str">
        <f>""</f>
        <v/>
      </c>
      <c r="DN389" t="str">
        <f>""</f>
        <v/>
      </c>
      <c r="DO389" t="str">
        <f>""</f>
        <v/>
      </c>
      <c r="DP389" t="str">
        <f>""</f>
        <v/>
      </c>
      <c r="DQ389" t="str">
        <f>""</f>
        <v/>
      </c>
      <c r="DR389" t="str">
        <f>""</f>
        <v/>
      </c>
      <c r="DS389" t="str">
        <f>""</f>
        <v/>
      </c>
      <c r="DT389" t="str">
        <f>""</f>
        <v/>
      </c>
      <c r="DU389" t="str">
        <f>""</f>
        <v/>
      </c>
    </row>
    <row r="390" spans="1:125">
      <c r="A390" t="str">
        <f>$A$145</f>
        <v xml:space="preserve">    Ventas Inc</v>
      </c>
      <c r="B390" t="str">
        <f>$B$145</f>
        <v>VTR US Equity</v>
      </c>
      <c r="C390" t="str">
        <f>$C$145</f>
        <v>BE592</v>
      </c>
      <c r="D390" t="str">
        <f>$D$145</f>
        <v>BEST_FFOPS_YOY_GTH</v>
      </c>
      <c r="E390" t="str">
        <f>$E$145</f>
        <v>动态</v>
      </c>
      <c r="F390" t="str">
        <f ca="1">BDH($B$145,$C$145,$B$256,$B$257,CONCATENATE("Per=",$B$254),"Dts=H","Dir=H",CONCATENATE("Points=",$B$255),"Sort=R","Days=A","Fill=B","BE997=1GY",CONCATENATE("FX=", $B$253) )</f>
        <v>#N/A Authorization</v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  <c r="CH390" t="str">
        <f>""</f>
        <v/>
      </c>
      <c r="CI390" t="str">
        <f>""</f>
        <v/>
      </c>
      <c r="CJ390" t="str">
        <f>""</f>
        <v/>
      </c>
      <c r="CK390" t="str">
        <f>""</f>
        <v/>
      </c>
      <c r="CL390" t="str">
        <f>""</f>
        <v/>
      </c>
      <c r="CM390" t="str">
        <f>""</f>
        <v/>
      </c>
      <c r="CN390" t="str">
        <f>""</f>
        <v/>
      </c>
      <c r="CO390" t="str">
        <f>""</f>
        <v/>
      </c>
      <c r="CP390" t="str">
        <f>""</f>
        <v/>
      </c>
      <c r="CQ390" t="str">
        <f>""</f>
        <v/>
      </c>
      <c r="CR390" t="str">
        <f>""</f>
        <v/>
      </c>
      <c r="CS390" t="str">
        <f>""</f>
        <v/>
      </c>
      <c r="CT390" t="str">
        <f>""</f>
        <v/>
      </c>
      <c r="CU390" t="str">
        <f>""</f>
        <v/>
      </c>
      <c r="CV390" t="str">
        <f>""</f>
        <v/>
      </c>
      <c r="CW390" t="str">
        <f>""</f>
        <v/>
      </c>
      <c r="CX390" t="str">
        <f>""</f>
        <v/>
      </c>
      <c r="CY390" t="str">
        <f>""</f>
        <v/>
      </c>
      <c r="CZ390" t="str">
        <f>""</f>
        <v/>
      </c>
      <c r="DA390" t="str">
        <f>""</f>
        <v/>
      </c>
      <c r="DB390" t="str">
        <f>""</f>
        <v/>
      </c>
      <c r="DC390" t="str">
        <f>""</f>
        <v/>
      </c>
      <c r="DD390" t="str">
        <f>""</f>
        <v/>
      </c>
      <c r="DE390" t="str">
        <f>""</f>
        <v/>
      </c>
      <c r="DF390" t="str">
        <f>""</f>
        <v/>
      </c>
      <c r="DG390" t="str">
        <f>""</f>
        <v/>
      </c>
      <c r="DH390" t="str">
        <f>""</f>
        <v/>
      </c>
      <c r="DI390" t="str">
        <f>""</f>
        <v/>
      </c>
      <c r="DJ390" t="str">
        <f>""</f>
        <v/>
      </c>
      <c r="DK390" t="str">
        <f>""</f>
        <v/>
      </c>
      <c r="DL390" t="str">
        <f>""</f>
        <v/>
      </c>
      <c r="DM390" t="str">
        <f>""</f>
        <v/>
      </c>
      <c r="DN390" t="str">
        <f>""</f>
        <v/>
      </c>
      <c r="DO390" t="str">
        <f>""</f>
        <v/>
      </c>
      <c r="DP390" t="str">
        <f>""</f>
        <v/>
      </c>
      <c r="DQ390" t="str">
        <f>""</f>
        <v/>
      </c>
      <c r="DR390" t="str">
        <f>""</f>
        <v/>
      </c>
      <c r="DS390" t="str">
        <f>""</f>
        <v/>
      </c>
      <c r="DT390" t="str">
        <f>""</f>
        <v/>
      </c>
      <c r="DU390" t="str">
        <f>""</f>
        <v/>
      </c>
    </row>
    <row r="391" spans="1:125">
      <c r="A391" t="str">
        <f>$A$146</f>
        <v xml:space="preserve">    Welltower Inc</v>
      </c>
      <c r="B391" t="str">
        <f>$B$146</f>
        <v>HCN US Equity</v>
      </c>
      <c r="C391" t="str">
        <f>$C$146</f>
        <v>BE592</v>
      </c>
      <c r="D391" t="str">
        <f>$D$146</f>
        <v>BEST_FFOPS_YOY_GTH</v>
      </c>
      <c r="E391" t="str">
        <f>$E$146</f>
        <v>动态</v>
      </c>
      <c r="F391" t="str">
        <f ca="1">BDH($B$146,$C$146,$B$256,$B$257,CONCATENATE("Per=",$B$254),"Dts=H","Dir=H",CONCATENATE("Points=",$B$255),"Sort=R","Days=A","Fill=B","BE997=1GY",CONCATENATE("FX=", $B$253) )</f>
        <v>#N/A Authorization</v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  <c r="CI391" t="str">
        <f>""</f>
        <v/>
      </c>
      <c r="CJ391" t="str">
        <f>""</f>
        <v/>
      </c>
      <c r="CK391" t="str">
        <f>""</f>
        <v/>
      </c>
      <c r="CL391" t="str">
        <f>""</f>
        <v/>
      </c>
      <c r="CM391" t="str">
        <f>""</f>
        <v/>
      </c>
      <c r="CN391" t="str">
        <f>""</f>
        <v/>
      </c>
      <c r="CO391" t="str">
        <f>""</f>
        <v/>
      </c>
      <c r="CP391" t="str">
        <f>""</f>
        <v/>
      </c>
      <c r="CQ391" t="str">
        <f>""</f>
        <v/>
      </c>
      <c r="CR391" t="str">
        <f>""</f>
        <v/>
      </c>
      <c r="CS391" t="str">
        <f>""</f>
        <v/>
      </c>
      <c r="CT391" t="str">
        <f>""</f>
        <v/>
      </c>
      <c r="CU391" t="str">
        <f>""</f>
        <v/>
      </c>
      <c r="CV391" t="str">
        <f>""</f>
        <v/>
      </c>
      <c r="CW391" t="str">
        <f>""</f>
        <v/>
      </c>
      <c r="CX391" t="str">
        <f>""</f>
        <v/>
      </c>
      <c r="CY391" t="str">
        <f>""</f>
        <v/>
      </c>
      <c r="CZ391" t="str">
        <f>""</f>
        <v/>
      </c>
      <c r="DA391" t="str">
        <f>""</f>
        <v/>
      </c>
      <c r="DB391" t="str">
        <f>""</f>
        <v/>
      </c>
      <c r="DC391" t="str">
        <f>""</f>
        <v/>
      </c>
      <c r="DD391" t="str">
        <f>""</f>
        <v/>
      </c>
      <c r="DE391" t="str">
        <f>""</f>
        <v/>
      </c>
      <c r="DF391" t="str">
        <f>""</f>
        <v/>
      </c>
      <c r="DG391" t="str">
        <f>""</f>
        <v/>
      </c>
      <c r="DH391" t="str">
        <f>""</f>
        <v/>
      </c>
      <c r="DI391" t="str">
        <f>""</f>
        <v/>
      </c>
      <c r="DJ391" t="str">
        <f>""</f>
        <v/>
      </c>
      <c r="DK391" t="str">
        <f>""</f>
        <v/>
      </c>
      <c r="DL391" t="str">
        <f>""</f>
        <v/>
      </c>
      <c r="DM391" t="str">
        <f>""</f>
        <v/>
      </c>
      <c r="DN391" t="str">
        <f>""</f>
        <v/>
      </c>
      <c r="DO391" t="str">
        <f>""</f>
        <v/>
      </c>
      <c r="DP391" t="str">
        <f>""</f>
        <v/>
      </c>
      <c r="DQ391" t="str">
        <f>""</f>
        <v/>
      </c>
      <c r="DR391" t="str">
        <f>""</f>
        <v/>
      </c>
      <c r="DS391" t="str">
        <f>""</f>
        <v/>
      </c>
      <c r="DT391" t="str">
        <f>""</f>
        <v/>
      </c>
      <c r="DU391" t="str">
        <f>""</f>
        <v/>
      </c>
    </row>
    <row r="392" spans="1:125">
      <c r="A392" t="str">
        <f>$A$148</f>
        <v xml:space="preserve">    Alexandria Real Estate Equitie</v>
      </c>
      <c r="B392" t="str">
        <f>$B$148</f>
        <v>ARE US Equity</v>
      </c>
      <c r="C392" t="str">
        <f>$C$148</f>
        <v>RX225</v>
      </c>
      <c r="D392" t="str">
        <f>$D$148</f>
        <v>EBITDA_TO_REVENUE</v>
      </c>
      <c r="E392" t="str">
        <f>$E$148</f>
        <v>动态</v>
      </c>
      <c r="F392" t="str">
        <f ca="1">BDH($B$148,$C$148,$B$256,$B$257,CONCATENATE("Per=",$B$254),"Dts=H","Dir=H",CONCATENATE("Points=",$B$255),"Sort=R","Days=A","Fill=B",CONCATENATE("FX=", $B$253) )</f>
        <v>#N/A Authorization</v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  <c r="CI392" t="str">
        <f>""</f>
        <v/>
      </c>
      <c r="CJ392" t="str">
        <f>""</f>
        <v/>
      </c>
      <c r="CK392" t="str">
        <f>""</f>
        <v/>
      </c>
      <c r="CL392" t="str">
        <f>""</f>
        <v/>
      </c>
      <c r="CM392" t="str">
        <f>""</f>
        <v/>
      </c>
      <c r="CN392" t="str">
        <f>""</f>
        <v/>
      </c>
      <c r="CO392" t="str">
        <f>""</f>
        <v/>
      </c>
      <c r="CP392" t="str">
        <f>""</f>
        <v/>
      </c>
      <c r="CQ392" t="str">
        <f>""</f>
        <v/>
      </c>
      <c r="CR392" t="str">
        <f>""</f>
        <v/>
      </c>
      <c r="CS392" t="str">
        <f>""</f>
        <v/>
      </c>
      <c r="CT392" t="str">
        <f>""</f>
        <v/>
      </c>
      <c r="CU392" t="str">
        <f>""</f>
        <v/>
      </c>
      <c r="CV392" t="str">
        <f>""</f>
        <v/>
      </c>
      <c r="CW392" t="str">
        <f>""</f>
        <v/>
      </c>
      <c r="CX392" t="str">
        <f>""</f>
        <v/>
      </c>
      <c r="CY392" t="str">
        <f>""</f>
        <v/>
      </c>
      <c r="CZ392" t="str">
        <f>""</f>
        <v/>
      </c>
      <c r="DA392" t="str">
        <f>""</f>
        <v/>
      </c>
      <c r="DB392" t="str">
        <f>""</f>
        <v/>
      </c>
      <c r="DC392" t="str">
        <f>""</f>
        <v/>
      </c>
      <c r="DD392" t="str">
        <f>""</f>
        <v/>
      </c>
      <c r="DE392" t="str">
        <f>""</f>
        <v/>
      </c>
      <c r="DF392" t="str">
        <f>""</f>
        <v/>
      </c>
      <c r="DG392" t="str">
        <f>""</f>
        <v/>
      </c>
      <c r="DH392" t="str">
        <f>""</f>
        <v/>
      </c>
      <c r="DI392" t="str">
        <f>""</f>
        <v/>
      </c>
      <c r="DJ392" t="str">
        <f>""</f>
        <v/>
      </c>
      <c r="DK392" t="str">
        <f>""</f>
        <v/>
      </c>
      <c r="DL392" t="str">
        <f>""</f>
        <v/>
      </c>
      <c r="DM392" t="str">
        <f>""</f>
        <v/>
      </c>
      <c r="DN392" t="str">
        <f>""</f>
        <v/>
      </c>
      <c r="DO392" t="str">
        <f>""</f>
        <v/>
      </c>
      <c r="DP392" t="str">
        <f>""</f>
        <v/>
      </c>
      <c r="DQ392" t="str">
        <f>""</f>
        <v/>
      </c>
      <c r="DR392" t="str">
        <f>""</f>
        <v/>
      </c>
      <c r="DS392" t="str">
        <f>""</f>
        <v/>
      </c>
      <c r="DT392" t="str">
        <f>""</f>
        <v/>
      </c>
      <c r="DU392" t="str">
        <f>""</f>
        <v/>
      </c>
    </row>
    <row r="393" spans="1:125">
      <c r="A393" t="str">
        <f>$A$149</f>
        <v xml:space="preserve">    Care Capital Properties Inc</v>
      </c>
      <c r="B393" t="str">
        <f>$B$149</f>
        <v>CCP US Equity</v>
      </c>
      <c r="C393" t="str">
        <f>$C$149</f>
        <v>RX225</v>
      </c>
      <c r="D393" t="str">
        <f>$D$149</f>
        <v>EBITDA_TO_REVENUE</v>
      </c>
      <c r="E393" t="str">
        <f>$E$149</f>
        <v>动态</v>
      </c>
      <c r="F393" t="str">
        <f ca="1">BDH($B$149,$C$149,$B$256,$B$257,CONCATENATE("Per=",$B$254),"Dts=H","Dir=H",CONCATENATE("Points=",$B$255),"Sort=R","Days=A","Fill=B",CONCATENATE("FX=", $B$253) )</f>
        <v>#N/A Authorization</v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  <c r="CH393" t="str">
        <f>""</f>
        <v/>
      </c>
      <c r="CI393" t="str">
        <f>""</f>
        <v/>
      </c>
      <c r="CJ393" t="str">
        <f>""</f>
        <v/>
      </c>
      <c r="CK393" t="str">
        <f>""</f>
        <v/>
      </c>
      <c r="CL393" t="str">
        <f>""</f>
        <v/>
      </c>
      <c r="CM393" t="str">
        <f>""</f>
        <v/>
      </c>
      <c r="CN393" t="str">
        <f>""</f>
        <v/>
      </c>
      <c r="CO393" t="str">
        <f>""</f>
        <v/>
      </c>
      <c r="CP393" t="str">
        <f>""</f>
        <v/>
      </c>
      <c r="CQ393" t="str">
        <f>""</f>
        <v/>
      </c>
      <c r="CR393" t="str">
        <f>""</f>
        <v/>
      </c>
      <c r="CS393" t="str">
        <f>""</f>
        <v/>
      </c>
      <c r="CT393" t="str">
        <f>""</f>
        <v/>
      </c>
      <c r="CU393" t="str">
        <f>""</f>
        <v/>
      </c>
      <c r="CV393" t="str">
        <f>""</f>
        <v/>
      </c>
      <c r="CW393" t="str">
        <f>""</f>
        <v/>
      </c>
      <c r="CX393" t="str">
        <f>""</f>
        <v/>
      </c>
      <c r="CY393" t="str">
        <f>""</f>
        <v/>
      </c>
      <c r="CZ393" t="str">
        <f>""</f>
        <v/>
      </c>
      <c r="DA393" t="str">
        <f>""</f>
        <v/>
      </c>
      <c r="DB393" t="str">
        <f>""</f>
        <v/>
      </c>
      <c r="DC393" t="str">
        <f>""</f>
        <v/>
      </c>
      <c r="DD393" t="str">
        <f>""</f>
        <v/>
      </c>
      <c r="DE393" t="str">
        <f>""</f>
        <v/>
      </c>
      <c r="DF393" t="str">
        <f>""</f>
        <v/>
      </c>
      <c r="DG393" t="str">
        <f>""</f>
        <v/>
      </c>
      <c r="DH393" t="str">
        <f>""</f>
        <v/>
      </c>
      <c r="DI393" t="str">
        <f>""</f>
        <v/>
      </c>
      <c r="DJ393" t="str">
        <f>""</f>
        <v/>
      </c>
      <c r="DK393" t="str">
        <f>""</f>
        <v/>
      </c>
      <c r="DL393" t="str">
        <f>""</f>
        <v/>
      </c>
      <c r="DM393" t="str">
        <f>""</f>
        <v/>
      </c>
      <c r="DN393" t="str">
        <f>""</f>
        <v/>
      </c>
      <c r="DO393" t="str">
        <f>""</f>
        <v/>
      </c>
      <c r="DP393" t="str">
        <f>""</f>
        <v/>
      </c>
      <c r="DQ393" t="str">
        <f>""</f>
        <v/>
      </c>
      <c r="DR393" t="str">
        <f>""</f>
        <v/>
      </c>
      <c r="DS393" t="str">
        <f>""</f>
        <v/>
      </c>
      <c r="DT393" t="str">
        <f>""</f>
        <v/>
      </c>
      <c r="DU393" t="str">
        <f>""</f>
        <v/>
      </c>
    </row>
    <row r="394" spans="1:125">
      <c r="A394" t="str">
        <f>$A$150</f>
        <v xml:space="preserve">    HCP Inc</v>
      </c>
      <c r="B394" t="str">
        <f>$B$150</f>
        <v>HCP US Equity</v>
      </c>
      <c r="C394" t="str">
        <f>$C$150</f>
        <v>RX225</v>
      </c>
      <c r="D394" t="str">
        <f>$D$150</f>
        <v>EBITDA_TO_REVENUE</v>
      </c>
      <c r="E394" t="str">
        <f>$E$150</f>
        <v>动态</v>
      </c>
      <c r="F394" t="str">
        <f ca="1">BDH($B$150,$C$150,$B$256,$B$257,CONCATENATE("Per=",$B$254),"Dts=H","Dir=H",CONCATENATE("Points=",$B$255),"Sort=R","Days=A","Fill=B",CONCATENATE("FX=", $B$253) )</f>
        <v>#N/A Authorization</v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  <c r="BT394" t="str">
        <f>""</f>
        <v/>
      </c>
      <c r="BU394" t="str">
        <f>""</f>
        <v/>
      </c>
      <c r="BV394" t="str">
        <f>""</f>
        <v/>
      </c>
      <c r="BW394" t="str">
        <f>""</f>
        <v/>
      </c>
      <c r="BX394" t="str">
        <f>""</f>
        <v/>
      </c>
      <c r="BY394" t="str">
        <f>""</f>
        <v/>
      </c>
      <c r="BZ394" t="str">
        <f>""</f>
        <v/>
      </c>
      <c r="CA394" t="str">
        <f>""</f>
        <v/>
      </c>
      <c r="CB394" t="str">
        <f>""</f>
        <v/>
      </c>
      <c r="CC394" t="str">
        <f>""</f>
        <v/>
      </c>
      <c r="CD394" t="str">
        <f>""</f>
        <v/>
      </c>
      <c r="CE394" t="str">
        <f>""</f>
        <v/>
      </c>
      <c r="CF394" t="str">
        <f>""</f>
        <v/>
      </c>
      <c r="CG394" t="str">
        <f>""</f>
        <v/>
      </c>
      <c r="CH394" t="str">
        <f>""</f>
        <v/>
      </c>
      <c r="CI394" t="str">
        <f>""</f>
        <v/>
      </c>
      <c r="CJ394" t="str">
        <f>""</f>
        <v/>
      </c>
      <c r="CK394" t="str">
        <f>""</f>
        <v/>
      </c>
      <c r="CL394" t="str">
        <f>""</f>
        <v/>
      </c>
      <c r="CM394" t="str">
        <f>""</f>
        <v/>
      </c>
      <c r="CN394" t="str">
        <f>""</f>
        <v/>
      </c>
      <c r="CO394" t="str">
        <f>""</f>
        <v/>
      </c>
      <c r="CP394" t="str">
        <f>""</f>
        <v/>
      </c>
      <c r="CQ394" t="str">
        <f>""</f>
        <v/>
      </c>
      <c r="CR394" t="str">
        <f>""</f>
        <v/>
      </c>
      <c r="CS394" t="str">
        <f>""</f>
        <v/>
      </c>
      <c r="CT394" t="str">
        <f>""</f>
        <v/>
      </c>
      <c r="CU394" t="str">
        <f>""</f>
        <v/>
      </c>
      <c r="CV394" t="str">
        <f>""</f>
        <v/>
      </c>
      <c r="CW394" t="str">
        <f>""</f>
        <v/>
      </c>
      <c r="CX394" t="str">
        <f>""</f>
        <v/>
      </c>
      <c r="CY394" t="str">
        <f>""</f>
        <v/>
      </c>
      <c r="CZ394" t="str">
        <f>""</f>
        <v/>
      </c>
      <c r="DA394" t="str">
        <f>""</f>
        <v/>
      </c>
      <c r="DB394" t="str">
        <f>""</f>
        <v/>
      </c>
      <c r="DC394" t="str">
        <f>""</f>
        <v/>
      </c>
      <c r="DD394" t="str">
        <f>""</f>
        <v/>
      </c>
      <c r="DE394" t="str">
        <f>""</f>
        <v/>
      </c>
      <c r="DF394" t="str">
        <f>""</f>
        <v/>
      </c>
      <c r="DG394" t="str">
        <f>""</f>
        <v/>
      </c>
      <c r="DH394" t="str">
        <f>""</f>
        <v/>
      </c>
      <c r="DI394" t="str">
        <f>""</f>
        <v/>
      </c>
      <c r="DJ394" t="str">
        <f>""</f>
        <v/>
      </c>
      <c r="DK394" t="str">
        <f>""</f>
        <v/>
      </c>
      <c r="DL394" t="str">
        <f>""</f>
        <v/>
      </c>
      <c r="DM394" t="str">
        <f>""</f>
        <v/>
      </c>
      <c r="DN394" t="str">
        <f>""</f>
        <v/>
      </c>
      <c r="DO394" t="str">
        <f>""</f>
        <v/>
      </c>
      <c r="DP394" t="str">
        <f>""</f>
        <v/>
      </c>
      <c r="DQ394" t="str">
        <f>""</f>
        <v/>
      </c>
      <c r="DR394" t="str">
        <f>""</f>
        <v/>
      </c>
      <c r="DS394" t="str">
        <f>""</f>
        <v/>
      </c>
      <c r="DT394" t="str">
        <f>""</f>
        <v/>
      </c>
      <c r="DU394" t="str">
        <f>""</f>
        <v/>
      </c>
    </row>
    <row r="395" spans="1:125">
      <c r="A395" t="str">
        <f>$A$151</f>
        <v xml:space="preserve">    Healthcare Realty Trust Inc</v>
      </c>
      <c r="B395" t="str">
        <f>$B$151</f>
        <v>HR US Equity</v>
      </c>
      <c r="C395" t="str">
        <f>$C$151</f>
        <v>RX225</v>
      </c>
      <c r="D395" t="str">
        <f>$D$151</f>
        <v>EBITDA_TO_REVENUE</v>
      </c>
      <c r="E395" t="str">
        <f>$E$151</f>
        <v>动态</v>
      </c>
      <c r="F395" t="str">
        <f ca="1">BDH($B$151,$C$151,$B$256,$B$257,CONCATENATE("Per=",$B$254),"Dts=H","Dir=H",CONCATENATE("Points=",$B$255),"Sort=R","Days=A","Fill=B",CONCATENATE("FX=", $B$253) )</f>
        <v>#N/A Authorization</v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  <c r="BT395" t="str">
        <f>""</f>
        <v/>
      </c>
      <c r="BU395" t="str">
        <f>""</f>
        <v/>
      </c>
      <c r="BV395" t="str">
        <f>""</f>
        <v/>
      </c>
      <c r="BW395" t="str">
        <f>""</f>
        <v/>
      </c>
      <c r="BX395" t="str">
        <f>""</f>
        <v/>
      </c>
      <c r="BY395" t="str">
        <f>""</f>
        <v/>
      </c>
      <c r="BZ395" t="str">
        <f>""</f>
        <v/>
      </c>
      <c r="CA395" t="str">
        <f>""</f>
        <v/>
      </c>
      <c r="CB395" t="str">
        <f>""</f>
        <v/>
      </c>
      <c r="CC395" t="str">
        <f>""</f>
        <v/>
      </c>
      <c r="CD395" t="str">
        <f>""</f>
        <v/>
      </c>
      <c r="CE395" t="str">
        <f>""</f>
        <v/>
      </c>
      <c r="CF395" t="str">
        <f>""</f>
        <v/>
      </c>
      <c r="CG395" t="str">
        <f>""</f>
        <v/>
      </c>
      <c r="CH395" t="str">
        <f>""</f>
        <v/>
      </c>
      <c r="CI395" t="str">
        <f>""</f>
        <v/>
      </c>
      <c r="CJ395" t="str">
        <f>""</f>
        <v/>
      </c>
      <c r="CK395" t="str">
        <f>""</f>
        <v/>
      </c>
      <c r="CL395" t="str">
        <f>""</f>
        <v/>
      </c>
      <c r="CM395" t="str">
        <f>""</f>
        <v/>
      </c>
      <c r="CN395" t="str">
        <f>""</f>
        <v/>
      </c>
      <c r="CO395" t="str">
        <f>""</f>
        <v/>
      </c>
      <c r="CP395" t="str">
        <f>""</f>
        <v/>
      </c>
      <c r="CQ395" t="str">
        <f>""</f>
        <v/>
      </c>
      <c r="CR395" t="str">
        <f>""</f>
        <v/>
      </c>
      <c r="CS395" t="str">
        <f>""</f>
        <v/>
      </c>
      <c r="CT395" t="str">
        <f>""</f>
        <v/>
      </c>
      <c r="CU395" t="str">
        <f>""</f>
        <v/>
      </c>
      <c r="CV395" t="str">
        <f>""</f>
        <v/>
      </c>
      <c r="CW395" t="str">
        <f>""</f>
        <v/>
      </c>
      <c r="CX395" t="str">
        <f>""</f>
        <v/>
      </c>
      <c r="CY395" t="str">
        <f>""</f>
        <v/>
      </c>
      <c r="CZ395" t="str">
        <f>""</f>
        <v/>
      </c>
      <c r="DA395" t="str">
        <f>""</f>
        <v/>
      </c>
      <c r="DB395" t="str">
        <f>""</f>
        <v/>
      </c>
      <c r="DC395" t="str">
        <f>""</f>
        <v/>
      </c>
      <c r="DD395" t="str">
        <f>""</f>
        <v/>
      </c>
      <c r="DE395" t="str">
        <f>""</f>
        <v/>
      </c>
      <c r="DF395" t="str">
        <f>""</f>
        <v/>
      </c>
      <c r="DG395" t="str">
        <f>""</f>
        <v/>
      </c>
      <c r="DH395" t="str">
        <f>""</f>
        <v/>
      </c>
      <c r="DI395" t="str">
        <f>""</f>
        <v/>
      </c>
      <c r="DJ395" t="str">
        <f>""</f>
        <v/>
      </c>
      <c r="DK395" t="str">
        <f>""</f>
        <v/>
      </c>
      <c r="DL395" t="str">
        <f>""</f>
        <v/>
      </c>
      <c r="DM395" t="str">
        <f>""</f>
        <v/>
      </c>
      <c r="DN395" t="str">
        <f>""</f>
        <v/>
      </c>
      <c r="DO395" t="str">
        <f>""</f>
        <v/>
      </c>
      <c r="DP395" t="str">
        <f>""</f>
        <v/>
      </c>
      <c r="DQ395" t="str">
        <f>""</f>
        <v/>
      </c>
      <c r="DR395" t="str">
        <f>""</f>
        <v/>
      </c>
      <c r="DS395" t="str">
        <f>""</f>
        <v/>
      </c>
      <c r="DT395" t="str">
        <f>""</f>
        <v/>
      </c>
      <c r="DU395" t="str">
        <f>""</f>
        <v/>
      </c>
    </row>
    <row r="396" spans="1:125">
      <c r="A396" t="str">
        <f>$A$152</f>
        <v xml:space="preserve">    Healthcare Trust of America In</v>
      </c>
      <c r="B396" t="str">
        <f>$B$152</f>
        <v>HTA US Equity</v>
      </c>
      <c r="C396" t="str">
        <f>$C$152</f>
        <v>RX225</v>
      </c>
      <c r="D396" t="str">
        <f>$D$152</f>
        <v>EBITDA_TO_REVENUE</v>
      </c>
      <c r="E396" t="str">
        <f>$E$152</f>
        <v>动态</v>
      </c>
      <c r="F396" t="str">
        <f ca="1">BDH($B$152,$C$152,$B$256,$B$257,CONCATENATE("Per=",$B$254),"Dts=H","Dir=H",CONCATENATE("Points=",$B$255),"Sort=R","Days=A","Fill=B",CONCATENATE("FX=", $B$253) )</f>
        <v>#N/A Authorization</v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  <c r="BT396" t="str">
        <f>""</f>
        <v/>
      </c>
      <c r="BU396" t="str">
        <f>""</f>
        <v/>
      </c>
      <c r="BV396" t="str">
        <f>""</f>
        <v/>
      </c>
      <c r="BW396" t="str">
        <f>""</f>
        <v/>
      </c>
      <c r="BX396" t="str">
        <f>""</f>
        <v/>
      </c>
      <c r="BY396" t="str">
        <f>""</f>
        <v/>
      </c>
      <c r="BZ396" t="str">
        <f>""</f>
        <v/>
      </c>
      <c r="CA396" t="str">
        <f>""</f>
        <v/>
      </c>
      <c r="CB396" t="str">
        <f>""</f>
        <v/>
      </c>
      <c r="CC396" t="str">
        <f>""</f>
        <v/>
      </c>
      <c r="CD396" t="str">
        <f>""</f>
        <v/>
      </c>
      <c r="CE396" t="str">
        <f>""</f>
        <v/>
      </c>
      <c r="CF396" t="str">
        <f>""</f>
        <v/>
      </c>
      <c r="CG396" t="str">
        <f>""</f>
        <v/>
      </c>
      <c r="CH396" t="str">
        <f>""</f>
        <v/>
      </c>
      <c r="CI396" t="str">
        <f>""</f>
        <v/>
      </c>
      <c r="CJ396" t="str">
        <f>""</f>
        <v/>
      </c>
      <c r="CK396" t="str">
        <f>""</f>
        <v/>
      </c>
      <c r="CL396" t="str">
        <f>""</f>
        <v/>
      </c>
      <c r="CM396" t="str">
        <f>""</f>
        <v/>
      </c>
      <c r="CN396" t="str">
        <f>""</f>
        <v/>
      </c>
      <c r="CO396" t="str">
        <f>""</f>
        <v/>
      </c>
      <c r="CP396" t="str">
        <f>""</f>
        <v/>
      </c>
      <c r="CQ396" t="str">
        <f>""</f>
        <v/>
      </c>
      <c r="CR396" t="str">
        <f>""</f>
        <v/>
      </c>
      <c r="CS396" t="str">
        <f>""</f>
        <v/>
      </c>
      <c r="CT396" t="str">
        <f>""</f>
        <v/>
      </c>
      <c r="CU396" t="str">
        <f>""</f>
        <v/>
      </c>
      <c r="CV396" t="str">
        <f>""</f>
        <v/>
      </c>
      <c r="CW396" t="str">
        <f>""</f>
        <v/>
      </c>
      <c r="CX396" t="str">
        <f>""</f>
        <v/>
      </c>
      <c r="CY396" t="str">
        <f>""</f>
        <v/>
      </c>
      <c r="CZ396" t="str">
        <f>""</f>
        <v/>
      </c>
      <c r="DA396" t="str">
        <f>""</f>
        <v/>
      </c>
      <c r="DB396" t="str">
        <f>""</f>
        <v/>
      </c>
      <c r="DC396" t="str">
        <f>""</f>
        <v/>
      </c>
      <c r="DD396" t="str">
        <f>""</f>
        <v/>
      </c>
      <c r="DE396" t="str">
        <f>""</f>
        <v/>
      </c>
      <c r="DF396" t="str">
        <f>""</f>
        <v/>
      </c>
      <c r="DG396" t="str">
        <f>""</f>
        <v/>
      </c>
      <c r="DH396" t="str">
        <f>""</f>
        <v/>
      </c>
      <c r="DI396" t="str">
        <f>""</f>
        <v/>
      </c>
      <c r="DJ396" t="str">
        <f>""</f>
        <v/>
      </c>
      <c r="DK396" t="str">
        <f>""</f>
        <v/>
      </c>
      <c r="DL396" t="str">
        <f>""</f>
        <v/>
      </c>
      <c r="DM396" t="str">
        <f>""</f>
        <v/>
      </c>
      <c r="DN396" t="str">
        <f>""</f>
        <v/>
      </c>
      <c r="DO396" t="str">
        <f>""</f>
        <v/>
      </c>
      <c r="DP396" t="str">
        <f>""</f>
        <v/>
      </c>
      <c r="DQ396" t="str">
        <f>""</f>
        <v/>
      </c>
      <c r="DR396" t="str">
        <f>""</f>
        <v/>
      </c>
      <c r="DS396" t="str">
        <f>""</f>
        <v/>
      </c>
      <c r="DT396" t="str">
        <f>""</f>
        <v/>
      </c>
      <c r="DU396" t="str">
        <f>""</f>
        <v/>
      </c>
    </row>
    <row r="397" spans="1:125">
      <c r="A397" t="str">
        <f>$A$153</f>
        <v xml:space="preserve">    Medical Properties Trust Inc</v>
      </c>
      <c r="B397" t="str">
        <f>$B$153</f>
        <v>MPW US Equity</v>
      </c>
      <c r="C397" t="str">
        <f>$C$153</f>
        <v>RX225</v>
      </c>
      <c r="D397" t="str">
        <f>$D$153</f>
        <v>EBITDA_TO_REVENUE</v>
      </c>
      <c r="E397" t="str">
        <f>$E$153</f>
        <v>动态</v>
      </c>
      <c r="F397" t="str">
        <f ca="1">BDH($B$153,$C$153,$B$256,$B$257,CONCATENATE("Per=",$B$254),"Dts=H","Dir=H",CONCATENATE("Points=",$B$255),"Sort=R","Days=A","Fill=B",CONCATENATE("FX=", $B$253) )</f>
        <v>#N/A Authorization</v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  <c r="BT397" t="str">
        <f>""</f>
        <v/>
      </c>
      <c r="BU397" t="str">
        <f>""</f>
        <v/>
      </c>
      <c r="BV397" t="str">
        <f>""</f>
        <v/>
      </c>
      <c r="BW397" t="str">
        <f>""</f>
        <v/>
      </c>
      <c r="BX397" t="str">
        <f>""</f>
        <v/>
      </c>
      <c r="BY397" t="str">
        <f>""</f>
        <v/>
      </c>
      <c r="BZ397" t="str">
        <f>""</f>
        <v/>
      </c>
      <c r="CA397" t="str">
        <f>""</f>
        <v/>
      </c>
      <c r="CB397" t="str">
        <f>""</f>
        <v/>
      </c>
      <c r="CC397" t="str">
        <f>""</f>
        <v/>
      </c>
      <c r="CD397" t="str">
        <f>""</f>
        <v/>
      </c>
      <c r="CE397" t="str">
        <f>""</f>
        <v/>
      </c>
      <c r="CF397" t="str">
        <f>""</f>
        <v/>
      </c>
      <c r="CG397" t="str">
        <f>""</f>
        <v/>
      </c>
      <c r="CH397" t="str">
        <f>""</f>
        <v/>
      </c>
      <c r="CI397" t="str">
        <f>""</f>
        <v/>
      </c>
      <c r="CJ397" t="str">
        <f>""</f>
        <v/>
      </c>
      <c r="CK397" t="str">
        <f>""</f>
        <v/>
      </c>
      <c r="CL397" t="str">
        <f>""</f>
        <v/>
      </c>
      <c r="CM397" t="str">
        <f>""</f>
        <v/>
      </c>
      <c r="CN397" t="str">
        <f>""</f>
        <v/>
      </c>
      <c r="CO397" t="str">
        <f>""</f>
        <v/>
      </c>
      <c r="CP397" t="str">
        <f>""</f>
        <v/>
      </c>
      <c r="CQ397" t="str">
        <f>""</f>
        <v/>
      </c>
      <c r="CR397" t="str">
        <f>""</f>
        <v/>
      </c>
      <c r="CS397" t="str">
        <f>""</f>
        <v/>
      </c>
      <c r="CT397" t="str">
        <f>""</f>
        <v/>
      </c>
      <c r="CU397" t="str">
        <f>""</f>
        <v/>
      </c>
      <c r="CV397" t="str">
        <f>""</f>
        <v/>
      </c>
      <c r="CW397" t="str">
        <f>""</f>
        <v/>
      </c>
      <c r="CX397" t="str">
        <f>""</f>
        <v/>
      </c>
      <c r="CY397" t="str">
        <f>""</f>
        <v/>
      </c>
      <c r="CZ397" t="str">
        <f>""</f>
        <v/>
      </c>
      <c r="DA397" t="str">
        <f>""</f>
        <v/>
      </c>
      <c r="DB397" t="str">
        <f>""</f>
        <v/>
      </c>
      <c r="DC397" t="str">
        <f>""</f>
        <v/>
      </c>
      <c r="DD397" t="str">
        <f>""</f>
        <v/>
      </c>
      <c r="DE397" t="str">
        <f>""</f>
        <v/>
      </c>
      <c r="DF397" t="str">
        <f>""</f>
        <v/>
      </c>
      <c r="DG397" t="str">
        <f>""</f>
        <v/>
      </c>
      <c r="DH397" t="str">
        <f>""</f>
        <v/>
      </c>
      <c r="DI397" t="str">
        <f>""</f>
        <v/>
      </c>
      <c r="DJ397" t="str">
        <f>""</f>
        <v/>
      </c>
      <c r="DK397" t="str">
        <f>""</f>
        <v/>
      </c>
      <c r="DL397" t="str">
        <f>""</f>
        <v/>
      </c>
      <c r="DM397" t="str">
        <f>""</f>
        <v/>
      </c>
      <c r="DN397" t="str">
        <f>""</f>
        <v/>
      </c>
      <c r="DO397" t="str">
        <f>""</f>
        <v/>
      </c>
      <c r="DP397" t="str">
        <f>""</f>
        <v/>
      </c>
      <c r="DQ397" t="str">
        <f>""</f>
        <v/>
      </c>
      <c r="DR397" t="str">
        <f>""</f>
        <v/>
      </c>
      <c r="DS397" t="str">
        <f>""</f>
        <v/>
      </c>
      <c r="DT397" t="str">
        <f>""</f>
        <v/>
      </c>
      <c r="DU397" t="str">
        <f>""</f>
        <v/>
      </c>
    </row>
    <row r="398" spans="1:125">
      <c r="A398" t="str">
        <f>$A$154</f>
        <v xml:space="preserve">    Omega Healthcare Investors Inc</v>
      </c>
      <c r="B398" t="str">
        <f>$B$154</f>
        <v>OHI US Equity</v>
      </c>
      <c r="C398" t="str">
        <f>$C$154</f>
        <v>RX225</v>
      </c>
      <c r="D398" t="str">
        <f>$D$154</f>
        <v>EBITDA_TO_REVENUE</v>
      </c>
      <c r="E398" t="str">
        <f>$E$154</f>
        <v>动态</v>
      </c>
      <c r="F398" t="str">
        <f ca="1">BDH($B$154,$C$154,$B$256,$B$257,CONCATENATE("Per=",$B$254),"Dts=H","Dir=H",CONCATENATE("Points=",$B$255),"Sort=R","Days=A","Fill=B",CONCATENATE("FX=", $B$253) )</f>
        <v>#N/A Authorization</v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  <c r="BT398" t="str">
        <f>""</f>
        <v/>
      </c>
      <c r="BU398" t="str">
        <f>""</f>
        <v/>
      </c>
      <c r="BV398" t="str">
        <f>""</f>
        <v/>
      </c>
      <c r="BW398" t="str">
        <f>""</f>
        <v/>
      </c>
      <c r="BX398" t="str">
        <f>""</f>
        <v/>
      </c>
      <c r="BY398" t="str">
        <f>""</f>
        <v/>
      </c>
      <c r="BZ398" t="str">
        <f>""</f>
        <v/>
      </c>
      <c r="CA398" t="str">
        <f>""</f>
        <v/>
      </c>
      <c r="CB398" t="str">
        <f>""</f>
        <v/>
      </c>
      <c r="CC398" t="str">
        <f>""</f>
        <v/>
      </c>
      <c r="CD398" t="str">
        <f>""</f>
        <v/>
      </c>
      <c r="CE398" t="str">
        <f>""</f>
        <v/>
      </c>
      <c r="CF398" t="str">
        <f>""</f>
        <v/>
      </c>
      <c r="CG398" t="str">
        <f>""</f>
        <v/>
      </c>
      <c r="CH398" t="str">
        <f>""</f>
        <v/>
      </c>
      <c r="CI398" t="str">
        <f>""</f>
        <v/>
      </c>
      <c r="CJ398" t="str">
        <f>""</f>
        <v/>
      </c>
      <c r="CK398" t="str">
        <f>""</f>
        <v/>
      </c>
      <c r="CL398" t="str">
        <f>""</f>
        <v/>
      </c>
      <c r="CM398" t="str">
        <f>""</f>
        <v/>
      </c>
      <c r="CN398" t="str">
        <f>""</f>
        <v/>
      </c>
      <c r="CO398" t="str">
        <f>""</f>
        <v/>
      </c>
      <c r="CP398" t="str">
        <f>""</f>
        <v/>
      </c>
      <c r="CQ398" t="str">
        <f>""</f>
        <v/>
      </c>
      <c r="CR398" t="str">
        <f>""</f>
        <v/>
      </c>
      <c r="CS398" t="str">
        <f>""</f>
        <v/>
      </c>
      <c r="CT398" t="str">
        <f>""</f>
        <v/>
      </c>
      <c r="CU398" t="str">
        <f>""</f>
        <v/>
      </c>
      <c r="CV398" t="str">
        <f>""</f>
        <v/>
      </c>
      <c r="CW398" t="str">
        <f>""</f>
        <v/>
      </c>
      <c r="CX398" t="str">
        <f>""</f>
        <v/>
      </c>
      <c r="CY398" t="str">
        <f>""</f>
        <v/>
      </c>
      <c r="CZ398" t="str">
        <f>""</f>
        <v/>
      </c>
      <c r="DA398" t="str">
        <f>""</f>
        <v/>
      </c>
      <c r="DB398" t="str">
        <f>""</f>
        <v/>
      </c>
      <c r="DC398" t="str">
        <f>""</f>
        <v/>
      </c>
      <c r="DD398" t="str">
        <f>""</f>
        <v/>
      </c>
      <c r="DE398" t="str">
        <f>""</f>
        <v/>
      </c>
      <c r="DF398" t="str">
        <f>""</f>
        <v/>
      </c>
      <c r="DG398" t="str">
        <f>""</f>
        <v/>
      </c>
      <c r="DH398" t="str">
        <f>""</f>
        <v/>
      </c>
      <c r="DI398" t="str">
        <f>""</f>
        <v/>
      </c>
      <c r="DJ398" t="str">
        <f>""</f>
        <v/>
      </c>
      <c r="DK398" t="str">
        <f>""</f>
        <v/>
      </c>
      <c r="DL398" t="str">
        <f>""</f>
        <v/>
      </c>
      <c r="DM398" t="str">
        <f>""</f>
        <v/>
      </c>
      <c r="DN398" t="str">
        <f>""</f>
        <v/>
      </c>
      <c r="DO398" t="str">
        <f>""</f>
        <v/>
      </c>
      <c r="DP398" t="str">
        <f>""</f>
        <v/>
      </c>
      <c r="DQ398" t="str">
        <f>""</f>
        <v/>
      </c>
      <c r="DR398" t="str">
        <f>""</f>
        <v/>
      </c>
      <c r="DS398" t="str">
        <f>""</f>
        <v/>
      </c>
      <c r="DT398" t="str">
        <f>""</f>
        <v/>
      </c>
      <c r="DU398" t="str">
        <f>""</f>
        <v/>
      </c>
    </row>
    <row r="399" spans="1:125">
      <c r="A399" t="str">
        <f>$A$155</f>
        <v xml:space="preserve">    Sabra Health Care REIT Inc</v>
      </c>
      <c r="B399" t="str">
        <f>$B$155</f>
        <v>SBRA US Equity</v>
      </c>
      <c r="C399" t="str">
        <f>$C$155</f>
        <v>RX225</v>
      </c>
      <c r="D399" t="str">
        <f>$D$155</f>
        <v>EBITDA_TO_REVENUE</v>
      </c>
      <c r="E399" t="str">
        <f>$E$155</f>
        <v>动态</v>
      </c>
      <c r="F399" t="str">
        <f ca="1">BDH($B$155,$C$155,$B$256,$B$257,CONCATENATE("Per=",$B$254),"Dts=H","Dir=H",CONCATENATE("Points=",$B$255),"Sort=R","Days=A","Fill=B",CONCATENATE("FX=", $B$253) )</f>
        <v>#N/A Authorization</v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  <c r="BT399" t="str">
        <f>""</f>
        <v/>
      </c>
      <c r="BU399" t="str">
        <f>""</f>
        <v/>
      </c>
      <c r="BV399" t="str">
        <f>""</f>
        <v/>
      </c>
      <c r="BW399" t="str">
        <f>""</f>
        <v/>
      </c>
      <c r="BX399" t="str">
        <f>""</f>
        <v/>
      </c>
      <c r="BY399" t="str">
        <f>""</f>
        <v/>
      </c>
      <c r="BZ399" t="str">
        <f>""</f>
        <v/>
      </c>
      <c r="CA399" t="str">
        <f>""</f>
        <v/>
      </c>
      <c r="CB399" t="str">
        <f>""</f>
        <v/>
      </c>
      <c r="CC399" t="str">
        <f>""</f>
        <v/>
      </c>
      <c r="CD399" t="str">
        <f>""</f>
        <v/>
      </c>
      <c r="CE399" t="str">
        <f>""</f>
        <v/>
      </c>
      <c r="CF399" t="str">
        <f>""</f>
        <v/>
      </c>
      <c r="CG399" t="str">
        <f>""</f>
        <v/>
      </c>
      <c r="CH399" t="str">
        <f>""</f>
        <v/>
      </c>
      <c r="CI399" t="str">
        <f>""</f>
        <v/>
      </c>
      <c r="CJ399" t="str">
        <f>""</f>
        <v/>
      </c>
      <c r="CK399" t="str">
        <f>""</f>
        <v/>
      </c>
      <c r="CL399" t="str">
        <f>""</f>
        <v/>
      </c>
      <c r="CM399" t="str">
        <f>""</f>
        <v/>
      </c>
      <c r="CN399" t="str">
        <f>""</f>
        <v/>
      </c>
      <c r="CO399" t="str">
        <f>""</f>
        <v/>
      </c>
      <c r="CP399" t="str">
        <f>""</f>
        <v/>
      </c>
      <c r="CQ399" t="str">
        <f>""</f>
        <v/>
      </c>
      <c r="CR399" t="str">
        <f>""</f>
        <v/>
      </c>
      <c r="CS399" t="str">
        <f>""</f>
        <v/>
      </c>
      <c r="CT399" t="str">
        <f>""</f>
        <v/>
      </c>
      <c r="CU399" t="str">
        <f>""</f>
        <v/>
      </c>
      <c r="CV399" t="str">
        <f>""</f>
        <v/>
      </c>
      <c r="CW399" t="str">
        <f>""</f>
        <v/>
      </c>
      <c r="CX399" t="str">
        <f>""</f>
        <v/>
      </c>
      <c r="CY399" t="str">
        <f>""</f>
        <v/>
      </c>
      <c r="CZ399" t="str">
        <f>""</f>
        <v/>
      </c>
      <c r="DA399" t="str">
        <f>""</f>
        <v/>
      </c>
      <c r="DB399" t="str">
        <f>""</f>
        <v/>
      </c>
      <c r="DC399" t="str">
        <f>""</f>
        <v/>
      </c>
      <c r="DD399" t="str">
        <f>""</f>
        <v/>
      </c>
      <c r="DE399" t="str">
        <f>""</f>
        <v/>
      </c>
      <c r="DF399" t="str">
        <f>""</f>
        <v/>
      </c>
      <c r="DG399" t="str">
        <f>""</f>
        <v/>
      </c>
      <c r="DH399" t="str">
        <f>""</f>
        <v/>
      </c>
      <c r="DI399" t="str">
        <f>""</f>
        <v/>
      </c>
      <c r="DJ399" t="str">
        <f>""</f>
        <v/>
      </c>
      <c r="DK399" t="str">
        <f>""</f>
        <v/>
      </c>
      <c r="DL399" t="str">
        <f>""</f>
        <v/>
      </c>
      <c r="DM399" t="str">
        <f>""</f>
        <v/>
      </c>
      <c r="DN399" t="str">
        <f>""</f>
        <v/>
      </c>
      <c r="DO399" t="str">
        <f>""</f>
        <v/>
      </c>
      <c r="DP399" t="str">
        <f>""</f>
        <v/>
      </c>
      <c r="DQ399" t="str">
        <f>""</f>
        <v/>
      </c>
      <c r="DR399" t="str">
        <f>""</f>
        <v/>
      </c>
      <c r="DS399" t="str">
        <f>""</f>
        <v/>
      </c>
      <c r="DT399" t="str">
        <f>""</f>
        <v/>
      </c>
      <c r="DU399" t="str">
        <f>""</f>
        <v/>
      </c>
    </row>
    <row r="400" spans="1:125">
      <c r="A400" t="str">
        <f>$A$156</f>
        <v xml:space="preserve">    Senior Housing Properties Trus</v>
      </c>
      <c r="B400" t="str">
        <f>$B$156</f>
        <v>SNH US Equity</v>
      </c>
      <c r="C400" t="str">
        <f>$C$156</f>
        <v>RX225</v>
      </c>
      <c r="D400" t="str">
        <f>$D$156</f>
        <v>EBITDA_TO_REVENUE</v>
      </c>
      <c r="E400" t="str">
        <f>$E$156</f>
        <v>动态</v>
      </c>
      <c r="F400" t="str">
        <f ca="1">BDH($B$156,$C$156,$B$256,$B$257,CONCATENATE("Per=",$B$254),"Dts=H","Dir=H",CONCATENATE("Points=",$B$255),"Sort=R","Days=A","Fill=B",CONCATENATE("FX=", $B$253) )</f>
        <v>#N/A Authorization</v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  <c r="BT400" t="str">
        <f>""</f>
        <v/>
      </c>
      <c r="BU400" t="str">
        <f>""</f>
        <v/>
      </c>
      <c r="BV400" t="str">
        <f>""</f>
        <v/>
      </c>
      <c r="BW400" t="str">
        <f>""</f>
        <v/>
      </c>
      <c r="BX400" t="str">
        <f>""</f>
        <v/>
      </c>
      <c r="BY400" t="str">
        <f>""</f>
        <v/>
      </c>
      <c r="BZ400" t="str">
        <f>""</f>
        <v/>
      </c>
      <c r="CA400" t="str">
        <f>""</f>
        <v/>
      </c>
      <c r="CB400" t="str">
        <f>""</f>
        <v/>
      </c>
      <c r="CC400" t="str">
        <f>""</f>
        <v/>
      </c>
      <c r="CD400" t="str">
        <f>""</f>
        <v/>
      </c>
      <c r="CE400" t="str">
        <f>""</f>
        <v/>
      </c>
      <c r="CF400" t="str">
        <f>""</f>
        <v/>
      </c>
      <c r="CG400" t="str">
        <f>""</f>
        <v/>
      </c>
      <c r="CH400" t="str">
        <f>""</f>
        <v/>
      </c>
      <c r="CI400" t="str">
        <f>""</f>
        <v/>
      </c>
      <c r="CJ400" t="str">
        <f>""</f>
        <v/>
      </c>
      <c r="CK400" t="str">
        <f>""</f>
        <v/>
      </c>
      <c r="CL400" t="str">
        <f>""</f>
        <v/>
      </c>
      <c r="CM400" t="str">
        <f>""</f>
        <v/>
      </c>
      <c r="CN400" t="str">
        <f>""</f>
        <v/>
      </c>
      <c r="CO400" t="str">
        <f>""</f>
        <v/>
      </c>
      <c r="CP400" t="str">
        <f>""</f>
        <v/>
      </c>
      <c r="CQ400" t="str">
        <f>""</f>
        <v/>
      </c>
      <c r="CR400" t="str">
        <f>""</f>
        <v/>
      </c>
      <c r="CS400" t="str">
        <f>""</f>
        <v/>
      </c>
      <c r="CT400" t="str">
        <f>""</f>
        <v/>
      </c>
      <c r="CU400" t="str">
        <f>""</f>
        <v/>
      </c>
      <c r="CV400" t="str">
        <f>""</f>
        <v/>
      </c>
      <c r="CW400" t="str">
        <f>""</f>
        <v/>
      </c>
      <c r="CX400" t="str">
        <f>""</f>
        <v/>
      </c>
      <c r="CY400" t="str">
        <f>""</f>
        <v/>
      </c>
      <c r="CZ400" t="str">
        <f>""</f>
        <v/>
      </c>
      <c r="DA400" t="str">
        <f>""</f>
        <v/>
      </c>
      <c r="DB400" t="str">
        <f>""</f>
        <v/>
      </c>
      <c r="DC400" t="str">
        <f>""</f>
        <v/>
      </c>
      <c r="DD400" t="str">
        <f>""</f>
        <v/>
      </c>
      <c r="DE400" t="str">
        <f>""</f>
        <v/>
      </c>
      <c r="DF400" t="str">
        <f>""</f>
        <v/>
      </c>
      <c r="DG400" t="str">
        <f>""</f>
        <v/>
      </c>
      <c r="DH400" t="str">
        <f>""</f>
        <v/>
      </c>
      <c r="DI400" t="str">
        <f>""</f>
        <v/>
      </c>
      <c r="DJ400" t="str">
        <f>""</f>
        <v/>
      </c>
      <c r="DK400" t="str">
        <f>""</f>
        <v/>
      </c>
      <c r="DL400" t="str">
        <f>""</f>
        <v/>
      </c>
      <c r="DM400" t="str">
        <f>""</f>
        <v/>
      </c>
      <c r="DN400" t="str">
        <f>""</f>
        <v/>
      </c>
      <c r="DO400" t="str">
        <f>""</f>
        <v/>
      </c>
      <c r="DP400" t="str">
        <f>""</f>
        <v/>
      </c>
      <c r="DQ400" t="str">
        <f>""</f>
        <v/>
      </c>
      <c r="DR400" t="str">
        <f>""</f>
        <v/>
      </c>
      <c r="DS400" t="str">
        <f>""</f>
        <v/>
      </c>
      <c r="DT400" t="str">
        <f>""</f>
        <v/>
      </c>
      <c r="DU400" t="str">
        <f>""</f>
        <v/>
      </c>
    </row>
    <row r="401" spans="1:125">
      <c r="A401" t="str">
        <f>$A$157</f>
        <v xml:space="preserve">    Ventas Inc</v>
      </c>
      <c r="B401" t="str">
        <f>$B$157</f>
        <v>VTR US Equity</v>
      </c>
      <c r="C401" t="str">
        <f>$C$157</f>
        <v>RX225</v>
      </c>
      <c r="D401" t="str">
        <f>$D$157</f>
        <v>EBITDA_TO_REVENUE</v>
      </c>
      <c r="E401" t="str">
        <f>$E$157</f>
        <v>动态</v>
      </c>
      <c r="F401" t="str">
        <f ca="1">BDH($B$157,$C$157,$B$256,$B$257,CONCATENATE("Per=",$B$254),"Dts=H","Dir=H",CONCATENATE("Points=",$B$255),"Sort=R","Days=A","Fill=B",CONCATENATE("FX=", $B$253) )</f>
        <v>#N/A Authorization</v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  <c r="BT401" t="str">
        <f>""</f>
        <v/>
      </c>
      <c r="BU401" t="str">
        <f>""</f>
        <v/>
      </c>
      <c r="BV401" t="str">
        <f>""</f>
        <v/>
      </c>
      <c r="BW401" t="str">
        <f>""</f>
        <v/>
      </c>
      <c r="BX401" t="str">
        <f>""</f>
        <v/>
      </c>
      <c r="BY401" t="str">
        <f>""</f>
        <v/>
      </c>
      <c r="BZ401" t="str">
        <f>""</f>
        <v/>
      </c>
      <c r="CA401" t="str">
        <f>""</f>
        <v/>
      </c>
      <c r="CB401" t="str">
        <f>""</f>
        <v/>
      </c>
      <c r="CC401" t="str">
        <f>""</f>
        <v/>
      </c>
      <c r="CD401" t="str">
        <f>""</f>
        <v/>
      </c>
      <c r="CE401" t="str">
        <f>""</f>
        <v/>
      </c>
      <c r="CF401" t="str">
        <f>""</f>
        <v/>
      </c>
      <c r="CG401" t="str">
        <f>""</f>
        <v/>
      </c>
      <c r="CH401" t="str">
        <f>""</f>
        <v/>
      </c>
      <c r="CI401" t="str">
        <f>""</f>
        <v/>
      </c>
      <c r="CJ401" t="str">
        <f>""</f>
        <v/>
      </c>
      <c r="CK401" t="str">
        <f>""</f>
        <v/>
      </c>
      <c r="CL401" t="str">
        <f>""</f>
        <v/>
      </c>
      <c r="CM401" t="str">
        <f>""</f>
        <v/>
      </c>
      <c r="CN401" t="str">
        <f>""</f>
        <v/>
      </c>
      <c r="CO401" t="str">
        <f>""</f>
        <v/>
      </c>
      <c r="CP401" t="str">
        <f>""</f>
        <v/>
      </c>
      <c r="CQ401" t="str">
        <f>""</f>
        <v/>
      </c>
      <c r="CR401" t="str">
        <f>""</f>
        <v/>
      </c>
      <c r="CS401" t="str">
        <f>""</f>
        <v/>
      </c>
      <c r="CT401" t="str">
        <f>""</f>
        <v/>
      </c>
      <c r="CU401" t="str">
        <f>""</f>
        <v/>
      </c>
      <c r="CV401" t="str">
        <f>""</f>
        <v/>
      </c>
      <c r="CW401" t="str">
        <f>""</f>
        <v/>
      </c>
      <c r="CX401" t="str">
        <f>""</f>
        <v/>
      </c>
      <c r="CY401" t="str">
        <f>""</f>
        <v/>
      </c>
      <c r="CZ401" t="str">
        <f>""</f>
        <v/>
      </c>
      <c r="DA401" t="str">
        <f>""</f>
        <v/>
      </c>
      <c r="DB401" t="str">
        <f>""</f>
        <v/>
      </c>
      <c r="DC401" t="str">
        <f>""</f>
        <v/>
      </c>
      <c r="DD401" t="str">
        <f>""</f>
        <v/>
      </c>
      <c r="DE401" t="str">
        <f>""</f>
        <v/>
      </c>
      <c r="DF401" t="str">
        <f>""</f>
        <v/>
      </c>
      <c r="DG401" t="str">
        <f>""</f>
        <v/>
      </c>
      <c r="DH401" t="str">
        <f>""</f>
        <v/>
      </c>
      <c r="DI401" t="str">
        <f>""</f>
        <v/>
      </c>
      <c r="DJ401" t="str">
        <f>""</f>
        <v/>
      </c>
      <c r="DK401" t="str">
        <f>""</f>
        <v/>
      </c>
      <c r="DL401" t="str">
        <f>""</f>
        <v/>
      </c>
      <c r="DM401" t="str">
        <f>""</f>
        <v/>
      </c>
      <c r="DN401" t="str">
        <f>""</f>
        <v/>
      </c>
      <c r="DO401" t="str">
        <f>""</f>
        <v/>
      </c>
      <c r="DP401" t="str">
        <f>""</f>
        <v/>
      </c>
      <c r="DQ401" t="str">
        <f>""</f>
        <v/>
      </c>
      <c r="DR401" t="str">
        <f>""</f>
        <v/>
      </c>
      <c r="DS401" t="str">
        <f>""</f>
        <v/>
      </c>
      <c r="DT401" t="str">
        <f>""</f>
        <v/>
      </c>
      <c r="DU401" t="str">
        <f>""</f>
        <v/>
      </c>
    </row>
    <row r="402" spans="1:125">
      <c r="A402" t="str">
        <f>$A$158</f>
        <v xml:space="preserve">    Welltower Inc</v>
      </c>
      <c r="B402" t="str">
        <f>$B$158</f>
        <v>HCN US Equity</v>
      </c>
      <c r="C402" t="str">
        <f>$C$158</f>
        <v>RX225</v>
      </c>
      <c r="D402" t="str">
        <f>$D$158</f>
        <v>EBITDA_TO_REVENUE</v>
      </c>
      <c r="E402" t="str">
        <f>$E$158</f>
        <v>动态</v>
      </c>
      <c r="F402" t="str">
        <f ca="1">BDH($B$158,$C$158,$B$256,$B$257,CONCATENATE("Per=",$B$254),"Dts=H","Dir=H",CONCATENATE("Points=",$B$255),"Sort=R","Days=A","Fill=B",CONCATENATE("FX=", $B$253) )</f>
        <v>#N/A Authorization</v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  <c r="BT402" t="str">
        <f>""</f>
        <v/>
      </c>
      <c r="BU402" t="str">
        <f>""</f>
        <v/>
      </c>
      <c r="BV402" t="str">
        <f>""</f>
        <v/>
      </c>
      <c r="BW402" t="str">
        <f>""</f>
        <v/>
      </c>
      <c r="BX402" t="str">
        <f>""</f>
        <v/>
      </c>
      <c r="BY402" t="str">
        <f>""</f>
        <v/>
      </c>
      <c r="BZ402" t="str">
        <f>""</f>
        <v/>
      </c>
      <c r="CA402" t="str">
        <f>""</f>
        <v/>
      </c>
      <c r="CB402" t="str">
        <f>""</f>
        <v/>
      </c>
      <c r="CC402" t="str">
        <f>""</f>
        <v/>
      </c>
      <c r="CD402" t="str">
        <f>""</f>
        <v/>
      </c>
      <c r="CE402" t="str">
        <f>""</f>
        <v/>
      </c>
      <c r="CF402" t="str">
        <f>""</f>
        <v/>
      </c>
      <c r="CG402" t="str">
        <f>""</f>
        <v/>
      </c>
      <c r="CH402" t="str">
        <f>""</f>
        <v/>
      </c>
      <c r="CI402" t="str">
        <f>""</f>
        <v/>
      </c>
      <c r="CJ402" t="str">
        <f>""</f>
        <v/>
      </c>
      <c r="CK402" t="str">
        <f>""</f>
        <v/>
      </c>
      <c r="CL402" t="str">
        <f>""</f>
        <v/>
      </c>
      <c r="CM402" t="str">
        <f>""</f>
        <v/>
      </c>
      <c r="CN402" t="str">
        <f>""</f>
        <v/>
      </c>
      <c r="CO402" t="str">
        <f>""</f>
        <v/>
      </c>
      <c r="CP402" t="str">
        <f>""</f>
        <v/>
      </c>
      <c r="CQ402" t="str">
        <f>""</f>
        <v/>
      </c>
      <c r="CR402" t="str">
        <f>""</f>
        <v/>
      </c>
      <c r="CS402" t="str">
        <f>""</f>
        <v/>
      </c>
      <c r="CT402" t="str">
        <f>""</f>
        <v/>
      </c>
      <c r="CU402" t="str">
        <f>""</f>
        <v/>
      </c>
      <c r="CV402" t="str">
        <f>""</f>
        <v/>
      </c>
      <c r="CW402" t="str">
        <f>""</f>
        <v/>
      </c>
      <c r="CX402" t="str">
        <f>""</f>
        <v/>
      </c>
      <c r="CY402" t="str">
        <f>""</f>
        <v/>
      </c>
      <c r="CZ402" t="str">
        <f>""</f>
        <v/>
      </c>
      <c r="DA402" t="str">
        <f>""</f>
        <v/>
      </c>
      <c r="DB402" t="str">
        <f>""</f>
        <v/>
      </c>
      <c r="DC402" t="str">
        <f>""</f>
        <v/>
      </c>
      <c r="DD402" t="str">
        <f>""</f>
        <v/>
      </c>
      <c r="DE402" t="str">
        <f>""</f>
        <v/>
      </c>
      <c r="DF402" t="str">
        <f>""</f>
        <v/>
      </c>
      <c r="DG402" t="str">
        <f>""</f>
        <v/>
      </c>
      <c r="DH402" t="str">
        <f>""</f>
        <v/>
      </c>
      <c r="DI402" t="str">
        <f>""</f>
        <v/>
      </c>
      <c r="DJ402" t="str">
        <f>""</f>
        <v/>
      </c>
      <c r="DK402" t="str">
        <f>""</f>
        <v/>
      </c>
      <c r="DL402" t="str">
        <f>""</f>
        <v/>
      </c>
      <c r="DM402" t="str">
        <f>""</f>
        <v/>
      </c>
      <c r="DN402" t="str">
        <f>""</f>
        <v/>
      </c>
      <c r="DO402" t="str">
        <f>""</f>
        <v/>
      </c>
      <c r="DP402" t="str">
        <f>""</f>
        <v/>
      </c>
      <c r="DQ402" t="str">
        <f>""</f>
        <v/>
      </c>
      <c r="DR402" t="str">
        <f>""</f>
        <v/>
      </c>
      <c r="DS402" t="str">
        <f>""</f>
        <v/>
      </c>
      <c r="DT402" t="str">
        <f>""</f>
        <v/>
      </c>
      <c r="DU402" t="str">
        <f>""</f>
        <v/>
      </c>
    </row>
    <row r="403" spans="1:125">
      <c r="A403" t="str">
        <f>$A$160</f>
        <v xml:space="preserve">    Alexandria Real Estate Equitie</v>
      </c>
      <c r="B403" t="str">
        <f>$B$160</f>
        <v>ARE US Equity</v>
      </c>
      <c r="C403" t="str">
        <f>$C$160</f>
        <v>RX902</v>
      </c>
      <c r="D403" t="str">
        <f>$D$160</f>
        <v>ANN_NOI_GR_AST_NET_RTL_DEV_CTD_%</v>
      </c>
      <c r="E403" t="str">
        <f>$E$160</f>
        <v>动态</v>
      </c>
      <c r="F403" t="str">
        <f ca="1">BDH($B$160,$C$160,$B$256,$B$257,CONCATENATE("Per=",$B$254),"Dts=H","Dir=H",CONCATENATE("Points=",$B$255),"Sort=R","Days=A","Fill=B",CONCATENATE("FX=", $B$253) )</f>
        <v>#N/A Authorization</v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  <c r="BT403" t="str">
        <f>""</f>
        <v/>
      </c>
      <c r="BU403" t="str">
        <f>""</f>
        <v/>
      </c>
      <c r="BV403" t="str">
        <f>""</f>
        <v/>
      </c>
      <c r="BW403" t="str">
        <f>""</f>
        <v/>
      </c>
      <c r="BX403" t="str">
        <f>""</f>
        <v/>
      </c>
      <c r="BY403" t="str">
        <f>""</f>
        <v/>
      </c>
      <c r="BZ403" t="str">
        <f>""</f>
        <v/>
      </c>
      <c r="CA403" t="str">
        <f>""</f>
        <v/>
      </c>
      <c r="CB403" t="str">
        <f>""</f>
        <v/>
      </c>
      <c r="CC403" t="str">
        <f>""</f>
        <v/>
      </c>
      <c r="CD403" t="str">
        <f>""</f>
        <v/>
      </c>
      <c r="CE403" t="str">
        <f>""</f>
        <v/>
      </c>
      <c r="CF403" t="str">
        <f>""</f>
        <v/>
      </c>
      <c r="CG403" t="str">
        <f>""</f>
        <v/>
      </c>
      <c r="CH403" t="str">
        <f>""</f>
        <v/>
      </c>
      <c r="CI403" t="str">
        <f>""</f>
        <v/>
      </c>
      <c r="CJ403" t="str">
        <f>""</f>
        <v/>
      </c>
      <c r="CK403" t="str">
        <f>""</f>
        <v/>
      </c>
      <c r="CL403" t="str">
        <f>""</f>
        <v/>
      </c>
      <c r="CM403" t="str">
        <f>""</f>
        <v/>
      </c>
      <c r="CN403" t="str">
        <f>""</f>
        <v/>
      </c>
      <c r="CO403" t="str">
        <f>""</f>
        <v/>
      </c>
      <c r="CP403" t="str">
        <f>""</f>
        <v/>
      </c>
      <c r="CQ403" t="str">
        <f>""</f>
        <v/>
      </c>
      <c r="CR403" t="str">
        <f>""</f>
        <v/>
      </c>
      <c r="CS403" t="str">
        <f>""</f>
        <v/>
      </c>
      <c r="CT403" t="str">
        <f>""</f>
        <v/>
      </c>
      <c r="CU403" t="str">
        <f>""</f>
        <v/>
      </c>
      <c r="CV403" t="str">
        <f>""</f>
        <v/>
      </c>
      <c r="CW403" t="str">
        <f>""</f>
        <v/>
      </c>
      <c r="CX403" t="str">
        <f>""</f>
        <v/>
      </c>
      <c r="CY403" t="str">
        <f>""</f>
        <v/>
      </c>
      <c r="CZ403" t="str">
        <f>""</f>
        <v/>
      </c>
      <c r="DA403" t="str">
        <f>""</f>
        <v/>
      </c>
      <c r="DB403" t="str">
        <f>""</f>
        <v/>
      </c>
      <c r="DC403" t="str">
        <f>""</f>
        <v/>
      </c>
      <c r="DD403" t="str">
        <f>""</f>
        <v/>
      </c>
      <c r="DE403" t="str">
        <f>""</f>
        <v/>
      </c>
      <c r="DF403" t="str">
        <f>""</f>
        <v/>
      </c>
      <c r="DG403" t="str">
        <f>""</f>
        <v/>
      </c>
      <c r="DH403" t="str">
        <f>""</f>
        <v/>
      </c>
      <c r="DI403" t="str">
        <f>""</f>
        <v/>
      </c>
      <c r="DJ403" t="str">
        <f>""</f>
        <v/>
      </c>
      <c r="DK403" t="str">
        <f>""</f>
        <v/>
      </c>
      <c r="DL403" t="str">
        <f>""</f>
        <v/>
      </c>
      <c r="DM403" t="str">
        <f>""</f>
        <v/>
      </c>
      <c r="DN403" t="str">
        <f>""</f>
        <v/>
      </c>
      <c r="DO403" t="str">
        <f>""</f>
        <v/>
      </c>
      <c r="DP403" t="str">
        <f>""</f>
        <v/>
      </c>
      <c r="DQ403" t="str">
        <f>""</f>
        <v/>
      </c>
      <c r="DR403" t="str">
        <f>""</f>
        <v/>
      </c>
      <c r="DS403" t="str">
        <f>""</f>
        <v/>
      </c>
      <c r="DT403" t="str">
        <f>""</f>
        <v/>
      </c>
      <c r="DU403" t="str">
        <f>""</f>
        <v/>
      </c>
    </row>
    <row r="404" spans="1:125">
      <c r="A404" t="str">
        <f>$A$161</f>
        <v xml:space="preserve">    Care Capital Properties Inc</v>
      </c>
      <c r="B404" t="str">
        <f>$B$161</f>
        <v>CCP US Equity</v>
      </c>
      <c r="C404" t="str">
        <f>$C$161</f>
        <v>RX902</v>
      </c>
      <c r="D404" t="str">
        <f>$D$161</f>
        <v>ANN_NOI_GR_AST_NET_RTL_DEV_CTD_%</v>
      </c>
      <c r="E404" t="str">
        <f>$E$161</f>
        <v>动态</v>
      </c>
      <c r="F404" t="str">
        <f ca="1">BDH($B$161,$C$161,$B$256,$B$257,CONCATENATE("Per=",$B$254),"Dts=H","Dir=H",CONCATENATE("Points=",$B$255),"Sort=R","Days=A","Fill=B",CONCATENATE("FX=", $B$253) )</f>
        <v>#N/A Authorization</v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  <c r="BT404" t="str">
        <f>""</f>
        <v/>
      </c>
      <c r="BU404" t="str">
        <f>""</f>
        <v/>
      </c>
      <c r="BV404" t="str">
        <f>""</f>
        <v/>
      </c>
      <c r="BW404" t="str">
        <f>""</f>
        <v/>
      </c>
      <c r="BX404" t="str">
        <f>""</f>
        <v/>
      </c>
      <c r="BY404" t="str">
        <f>""</f>
        <v/>
      </c>
      <c r="BZ404" t="str">
        <f>""</f>
        <v/>
      </c>
      <c r="CA404" t="str">
        <f>""</f>
        <v/>
      </c>
      <c r="CB404" t="str">
        <f>""</f>
        <v/>
      </c>
      <c r="CC404" t="str">
        <f>""</f>
        <v/>
      </c>
      <c r="CD404" t="str">
        <f>""</f>
        <v/>
      </c>
      <c r="CE404" t="str">
        <f>""</f>
        <v/>
      </c>
      <c r="CF404" t="str">
        <f>""</f>
        <v/>
      </c>
      <c r="CG404" t="str">
        <f>""</f>
        <v/>
      </c>
      <c r="CH404" t="str">
        <f>""</f>
        <v/>
      </c>
      <c r="CI404" t="str">
        <f>""</f>
        <v/>
      </c>
      <c r="CJ404" t="str">
        <f>""</f>
        <v/>
      </c>
      <c r="CK404" t="str">
        <f>""</f>
        <v/>
      </c>
      <c r="CL404" t="str">
        <f>""</f>
        <v/>
      </c>
      <c r="CM404" t="str">
        <f>""</f>
        <v/>
      </c>
      <c r="CN404" t="str">
        <f>""</f>
        <v/>
      </c>
      <c r="CO404" t="str">
        <f>""</f>
        <v/>
      </c>
      <c r="CP404" t="str">
        <f>""</f>
        <v/>
      </c>
      <c r="CQ404" t="str">
        <f>""</f>
        <v/>
      </c>
      <c r="CR404" t="str">
        <f>""</f>
        <v/>
      </c>
      <c r="CS404" t="str">
        <f>""</f>
        <v/>
      </c>
      <c r="CT404" t="str">
        <f>""</f>
        <v/>
      </c>
      <c r="CU404" t="str">
        <f>""</f>
        <v/>
      </c>
      <c r="CV404" t="str">
        <f>""</f>
        <v/>
      </c>
      <c r="CW404" t="str">
        <f>""</f>
        <v/>
      </c>
      <c r="CX404" t="str">
        <f>""</f>
        <v/>
      </c>
      <c r="CY404" t="str">
        <f>""</f>
        <v/>
      </c>
      <c r="CZ404" t="str">
        <f>""</f>
        <v/>
      </c>
      <c r="DA404" t="str">
        <f>""</f>
        <v/>
      </c>
      <c r="DB404" t="str">
        <f>""</f>
        <v/>
      </c>
      <c r="DC404" t="str">
        <f>""</f>
        <v/>
      </c>
      <c r="DD404" t="str">
        <f>""</f>
        <v/>
      </c>
      <c r="DE404" t="str">
        <f>""</f>
        <v/>
      </c>
      <c r="DF404" t="str">
        <f>""</f>
        <v/>
      </c>
      <c r="DG404" t="str">
        <f>""</f>
        <v/>
      </c>
      <c r="DH404" t="str">
        <f>""</f>
        <v/>
      </c>
      <c r="DI404" t="str">
        <f>""</f>
        <v/>
      </c>
      <c r="DJ404" t="str">
        <f>""</f>
        <v/>
      </c>
      <c r="DK404" t="str">
        <f>""</f>
        <v/>
      </c>
      <c r="DL404" t="str">
        <f>""</f>
        <v/>
      </c>
      <c r="DM404" t="str">
        <f>""</f>
        <v/>
      </c>
      <c r="DN404" t="str">
        <f>""</f>
        <v/>
      </c>
      <c r="DO404" t="str">
        <f>""</f>
        <v/>
      </c>
      <c r="DP404" t="str">
        <f>""</f>
        <v/>
      </c>
      <c r="DQ404" t="str">
        <f>""</f>
        <v/>
      </c>
      <c r="DR404" t="str">
        <f>""</f>
        <v/>
      </c>
      <c r="DS404" t="str">
        <f>""</f>
        <v/>
      </c>
      <c r="DT404" t="str">
        <f>""</f>
        <v/>
      </c>
      <c r="DU404" t="str">
        <f>""</f>
        <v/>
      </c>
    </row>
    <row r="405" spans="1:125">
      <c r="A405" t="str">
        <f>$A$162</f>
        <v xml:space="preserve">    HCP Inc</v>
      </c>
      <c r="B405" t="str">
        <f>$B$162</f>
        <v>HCP US Equity</v>
      </c>
      <c r="C405" t="str">
        <f>$C$162</f>
        <v>RX902</v>
      </c>
      <c r="D405" t="str">
        <f>$D$162</f>
        <v>ANN_NOI_GR_AST_NET_RTL_DEV_CTD_%</v>
      </c>
      <c r="E405" t="str">
        <f>$E$162</f>
        <v>动态</v>
      </c>
      <c r="F405" t="str">
        <f ca="1">BDH($B$162,$C$162,$B$256,$B$257,CONCATENATE("Per=",$B$254),"Dts=H","Dir=H",CONCATENATE("Points=",$B$255),"Sort=R","Days=A","Fill=B",CONCATENATE("FX=", $B$253) )</f>
        <v>#N/A Authorization</v>
      </c>
      <c r="BN405" t="str">
        <f>""</f>
        <v/>
      </c>
      <c r="BO405" t="str">
        <f>""</f>
        <v/>
      </c>
      <c r="BP405" t="str">
        <f>""</f>
        <v/>
      </c>
      <c r="BQ405" t="str">
        <f>""</f>
        <v/>
      </c>
      <c r="BR405" t="str">
        <f>""</f>
        <v/>
      </c>
      <c r="BS405" t="str">
        <f>""</f>
        <v/>
      </c>
      <c r="BT405" t="str">
        <f>""</f>
        <v/>
      </c>
      <c r="BU405" t="str">
        <f>""</f>
        <v/>
      </c>
      <c r="BV405" t="str">
        <f>""</f>
        <v/>
      </c>
      <c r="BW405" t="str">
        <f>""</f>
        <v/>
      </c>
      <c r="BX405" t="str">
        <f>""</f>
        <v/>
      </c>
      <c r="BY405" t="str">
        <f>""</f>
        <v/>
      </c>
      <c r="BZ405" t="str">
        <f>""</f>
        <v/>
      </c>
      <c r="CA405" t="str">
        <f>""</f>
        <v/>
      </c>
      <c r="CB405" t="str">
        <f>""</f>
        <v/>
      </c>
      <c r="CC405" t="str">
        <f>""</f>
        <v/>
      </c>
      <c r="CD405" t="str">
        <f>""</f>
        <v/>
      </c>
      <c r="CE405" t="str">
        <f>""</f>
        <v/>
      </c>
      <c r="CF405" t="str">
        <f>""</f>
        <v/>
      </c>
      <c r="CG405" t="str">
        <f>""</f>
        <v/>
      </c>
      <c r="CH405" t="str">
        <f>""</f>
        <v/>
      </c>
      <c r="CI405" t="str">
        <f>""</f>
        <v/>
      </c>
      <c r="CJ405" t="str">
        <f>""</f>
        <v/>
      </c>
      <c r="CK405" t="str">
        <f>""</f>
        <v/>
      </c>
      <c r="CL405" t="str">
        <f>""</f>
        <v/>
      </c>
      <c r="CM405" t="str">
        <f>""</f>
        <v/>
      </c>
      <c r="CN405" t="str">
        <f>""</f>
        <v/>
      </c>
      <c r="CO405" t="str">
        <f>""</f>
        <v/>
      </c>
      <c r="CP405" t="str">
        <f>""</f>
        <v/>
      </c>
      <c r="CQ405" t="str">
        <f>""</f>
        <v/>
      </c>
      <c r="CR405" t="str">
        <f>""</f>
        <v/>
      </c>
      <c r="CS405" t="str">
        <f>""</f>
        <v/>
      </c>
      <c r="CT405" t="str">
        <f>""</f>
        <v/>
      </c>
      <c r="CU405" t="str">
        <f>""</f>
        <v/>
      </c>
      <c r="CV405" t="str">
        <f>""</f>
        <v/>
      </c>
      <c r="CW405" t="str">
        <f>""</f>
        <v/>
      </c>
      <c r="CX405" t="str">
        <f>""</f>
        <v/>
      </c>
      <c r="CY405" t="str">
        <f>""</f>
        <v/>
      </c>
      <c r="CZ405" t="str">
        <f>""</f>
        <v/>
      </c>
      <c r="DA405" t="str">
        <f>""</f>
        <v/>
      </c>
      <c r="DB405" t="str">
        <f>""</f>
        <v/>
      </c>
      <c r="DC405" t="str">
        <f>""</f>
        <v/>
      </c>
      <c r="DD405" t="str">
        <f>""</f>
        <v/>
      </c>
      <c r="DE405" t="str">
        <f>""</f>
        <v/>
      </c>
      <c r="DF405" t="str">
        <f>""</f>
        <v/>
      </c>
      <c r="DG405" t="str">
        <f>""</f>
        <v/>
      </c>
      <c r="DH405" t="str">
        <f>""</f>
        <v/>
      </c>
      <c r="DI405" t="str">
        <f>""</f>
        <v/>
      </c>
      <c r="DJ405" t="str">
        <f>""</f>
        <v/>
      </c>
      <c r="DK405" t="str">
        <f>""</f>
        <v/>
      </c>
      <c r="DL405" t="str">
        <f>""</f>
        <v/>
      </c>
      <c r="DM405" t="str">
        <f>""</f>
        <v/>
      </c>
      <c r="DN405" t="str">
        <f>""</f>
        <v/>
      </c>
      <c r="DO405" t="str">
        <f>""</f>
        <v/>
      </c>
      <c r="DP405" t="str">
        <f>""</f>
        <v/>
      </c>
      <c r="DQ405" t="str">
        <f>""</f>
        <v/>
      </c>
      <c r="DR405" t="str">
        <f>""</f>
        <v/>
      </c>
      <c r="DS405" t="str">
        <f>""</f>
        <v/>
      </c>
      <c r="DT405" t="str">
        <f>""</f>
        <v/>
      </c>
      <c r="DU405" t="str">
        <f>""</f>
        <v/>
      </c>
    </row>
    <row r="406" spans="1:125">
      <c r="A406" t="str">
        <f>$A$163</f>
        <v xml:space="preserve">    Healthcare Realty Trust Inc</v>
      </c>
      <c r="B406" t="str">
        <f>$B$163</f>
        <v>HR US Equity</v>
      </c>
      <c r="C406" t="str">
        <f>$C$163</f>
        <v>RX902</v>
      </c>
      <c r="D406" t="str">
        <f>$D$163</f>
        <v>ANN_NOI_GR_AST_NET_RTL_DEV_CTD_%</v>
      </c>
      <c r="E406" t="str">
        <f>$E$163</f>
        <v>动态</v>
      </c>
      <c r="F406" t="str">
        <f ca="1">BDH($B$163,$C$163,$B$256,$B$257,CONCATENATE("Per=",$B$254),"Dts=H","Dir=H",CONCATENATE("Points=",$B$255),"Sort=R","Days=A","Fill=B",CONCATENATE("FX=", $B$253) )</f>
        <v>#N/A Authorization</v>
      </c>
      <c r="BN406" t="str">
        <f>""</f>
        <v/>
      </c>
      <c r="BO406" t="str">
        <f>""</f>
        <v/>
      </c>
      <c r="BP406" t="str">
        <f>""</f>
        <v/>
      </c>
      <c r="BQ406" t="str">
        <f>""</f>
        <v/>
      </c>
      <c r="BR406" t="str">
        <f>""</f>
        <v/>
      </c>
      <c r="BS406" t="str">
        <f>""</f>
        <v/>
      </c>
      <c r="BT406" t="str">
        <f>""</f>
        <v/>
      </c>
      <c r="BU406" t="str">
        <f>""</f>
        <v/>
      </c>
      <c r="BV406" t="str">
        <f>""</f>
        <v/>
      </c>
      <c r="BW406" t="str">
        <f>""</f>
        <v/>
      </c>
      <c r="BX406" t="str">
        <f>""</f>
        <v/>
      </c>
      <c r="BY406" t="str">
        <f>""</f>
        <v/>
      </c>
      <c r="BZ406" t="str">
        <f>""</f>
        <v/>
      </c>
      <c r="CA406" t="str">
        <f>""</f>
        <v/>
      </c>
      <c r="CB406" t="str">
        <f>""</f>
        <v/>
      </c>
      <c r="CC406" t="str">
        <f>""</f>
        <v/>
      </c>
      <c r="CD406" t="str">
        <f>""</f>
        <v/>
      </c>
      <c r="CE406" t="str">
        <f>""</f>
        <v/>
      </c>
      <c r="CF406" t="str">
        <f>""</f>
        <v/>
      </c>
      <c r="CG406" t="str">
        <f>""</f>
        <v/>
      </c>
      <c r="CH406" t="str">
        <f>""</f>
        <v/>
      </c>
      <c r="CI406" t="str">
        <f>""</f>
        <v/>
      </c>
      <c r="CJ406" t="str">
        <f>""</f>
        <v/>
      </c>
      <c r="CK406" t="str">
        <f>""</f>
        <v/>
      </c>
      <c r="CL406" t="str">
        <f>""</f>
        <v/>
      </c>
      <c r="CM406" t="str">
        <f>""</f>
        <v/>
      </c>
      <c r="CN406" t="str">
        <f>""</f>
        <v/>
      </c>
      <c r="CO406" t="str">
        <f>""</f>
        <v/>
      </c>
      <c r="CP406" t="str">
        <f>""</f>
        <v/>
      </c>
      <c r="CQ406" t="str">
        <f>""</f>
        <v/>
      </c>
      <c r="CR406" t="str">
        <f>""</f>
        <v/>
      </c>
      <c r="CS406" t="str">
        <f>""</f>
        <v/>
      </c>
      <c r="CT406" t="str">
        <f>""</f>
        <v/>
      </c>
      <c r="CU406" t="str">
        <f>""</f>
        <v/>
      </c>
      <c r="CV406" t="str">
        <f>""</f>
        <v/>
      </c>
      <c r="CW406" t="str">
        <f>""</f>
        <v/>
      </c>
      <c r="CX406" t="str">
        <f>""</f>
        <v/>
      </c>
      <c r="CY406" t="str">
        <f>""</f>
        <v/>
      </c>
      <c r="CZ406" t="str">
        <f>""</f>
        <v/>
      </c>
      <c r="DA406" t="str">
        <f>""</f>
        <v/>
      </c>
      <c r="DB406" t="str">
        <f>""</f>
        <v/>
      </c>
      <c r="DC406" t="str">
        <f>""</f>
        <v/>
      </c>
      <c r="DD406" t="str">
        <f>""</f>
        <v/>
      </c>
      <c r="DE406" t="str">
        <f>""</f>
        <v/>
      </c>
      <c r="DF406" t="str">
        <f>""</f>
        <v/>
      </c>
      <c r="DG406" t="str">
        <f>""</f>
        <v/>
      </c>
      <c r="DH406" t="str">
        <f>""</f>
        <v/>
      </c>
      <c r="DI406" t="str">
        <f>""</f>
        <v/>
      </c>
      <c r="DJ406" t="str">
        <f>""</f>
        <v/>
      </c>
      <c r="DK406" t="str">
        <f>""</f>
        <v/>
      </c>
      <c r="DL406" t="str">
        <f>""</f>
        <v/>
      </c>
      <c r="DM406" t="str">
        <f>""</f>
        <v/>
      </c>
      <c r="DN406" t="str">
        <f>""</f>
        <v/>
      </c>
      <c r="DO406" t="str">
        <f>""</f>
        <v/>
      </c>
      <c r="DP406" t="str">
        <f>""</f>
        <v/>
      </c>
      <c r="DQ406" t="str">
        <f>""</f>
        <v/>
      </c>
      <c r="DR406" t="str">
        <f>""</f>
        <v/>
      </c>
      <c r="DS406" t="str">
        <f>""</f>
        <v/>
      </c>
      <c r="DT406" t="str">
        <f>""</f>
        <v/>
      </c>
      <c r="DU406" t="str">
        <f>""</f>
        <v/>
      </c>
    </row>
    <row r="407" spans="1:125">
      <c r="A407" t="str">
        <f>$A$164</f>
        <v xml:space="preserve">    Healthcare Trust of America In</v>
      </c>
      <c r="B407" t="str">
        <f>$B$164</f>
        <v>HTA US Equity</v>
      </c>
      <c r="C407" t="str">
        <f>$C$164</f>
        <v>RX902</v>
      </c>
      <c r="D407" t="str">
        <f>$D$164</f>
        <v>ANN_NOI_GR_AST_NET_RTL_DEV_CTD_%</v>
      </c>
      <c r="E407" t="str">
        <f>$E$164</f>
        <v>动态</v>
      </c>
      <c r="F407" t="str">
        <f ca="1">BDH($B$164,$C$164,$B$256,$B$257,CONCATENATE("Per=",$B$254),"Dts=H","Dir=H",CONCATENATE("Points=",$B$255),"Sort=R","Days=A","Fill=B",CONCATENATE("FX=", $B$253) )</f>
        <v>#N/A Authorization</v>
      </c>
      <c r="BN407" t="str">
        <f>""</f>
        <v/>
      </c>
      <c r="BO407" t="str">
        <f>""</f>
        <v/>
      </c>
      <c r="BP407" t="str">
        <f>""</f>
        <v/>
      </c>
      <c r="BQ407" t="str">
        <f>""</f>
        <v/>
      </c>
      <c r="BR407" t="str">
        <f>""</f>
        <v/>
      </c>
      <c r="BS407" t="str">
        <f>""</f>
        <v/>
      </c>
      <c r="BT407" t="str">
        <f>""</f>
        <v/>
      </c>
      <c r="BU407" t="str">
        <f>""</f>
        <v/>
      </c>
      <c r="BV407" t="str">
        <f>""</f>
        <v/>
      </c>
      <c r="BW407" t="str">
        <f>""</f>
        <v/>
      </c>
      <c r="BX407" t="str">
        <f>""</f>
        <v/>
      </c>
      <c r="BY407" t="str">
        <f>""</f>
        <v/>
      </c>
      <c r="BZ407" t="str">
        <f>""</f>
        <v/>
      </c>
      <c r="CA407" t="str">
        <f>""</f>
        <v/>
      </c>
      <c r="CB407" t="str">
        <f>""</f>
        <v/>
      </c>
      <c r="CC407" t="str">
        <f>""</f>
        <v/>
      </c>
      <c r="CD407" t="str">
        <f>""</f>
        <v/>
      </c>
      <c r="CE407" t="str">
        <f>""</f>
        <v/>
      </c>
      <c r="CF407" t="str">
        <f>""</f>
        <v/>
      </c>
      <c r="CG407" t="str">
        <f>""</f>
        <v/>
      </c>
      <c r="CH407" t="str">
        <f>""</f>
        <v/>
      </c>
      <c r="CI407" t="str">
        <f>""</f>
        <v/>
      </c>
      <c r="CJ407" t="str">
        <f>""</f>
        <v/>
      </c>
      <c r="CK407" t="str">
        <f>""</f>
        <v/>
      </c>
      <c r="CL407" t="str">
        <f>""</f>
        <v/>
      </c>
      <c r="CM407" t="str">
        <f>""</f>
        <v/>
      </c>
      <c r="CN407" t="str">
        <f>""</f>
        <v/>
      </c>
      <c r="CO407" t="str">
        <f>""</f>
        <v/>
      </c>
      <c r="CP407" t="str">
        <f>""</f>
        <v/>
      </c>
      <c r="CQ407" t="str">
        <f>""</f>
        <v/>
      </c>
      <c r="CR407" t="str">
        <f>""</f>
        <v/>
      </c>
      <c r="CS407" t="str">
        <f>""</f>
        <v/>
      </c>
      <c r="CT407" t="str">
        <f>""</f>
        <v/>
      </c>
      <c r="CU407" t="str">
        <f>""</f>
        <v/>
      </c>
      <c r="CV407" t="str">
        <f>""</f>
        <v/>
      </c>
      <c r="CW407" t="str">
        <f>""</f>
        <v/>
      </c>
      <c r="CX407" t="str">
        <f>""</f>
        <v/>
      </c>
      <c r="CY407" t="str">
        <f>""</f>
        <v/>
      </c>
      <c r="CZ407" t="str">
        <f>""</f>
        <v/>
      </c>
      <c r="DA407" t="str">
        <f>""</f>
        <v/>
      </c>
      <c r="DB407" t="str">
        <f>""</f>
        <v/>
      </c>
      <c r="DC407" t="str">
        <f>""</f>
        <v/>
      </c>
      <c r="DD407" t="str">
        <f>""</f>
        <v/>
      </c>
      <c r="DE407" t="str">
        <f>""</f>
        <v/>
      </c>
      <c r="DF407" t="str">
        <f>""</f>
        <v/>
      </c>
      <c r="DG407" t="str">
        <f>""</f>
        <v/>
      </c>
      <c r="DH407" t="str">
        <f>""</f>
        <v/>
      </c>
      <c r="DI407" t="str">
        <f>""</f>
        <v/>
      </c>
      <c r="DJ407" t="str">
        <f>""</f>
        <v/>
      </c>
      <c r="DK407" t="str">
        <f>""</f>
        <v/>
      </c>
      <c r="DL407" t="str">
        <f>""</f>
        <v/>
      </c>
      <c r="DM407" t="str">
        <f>""</f>
        <v/>
      </c>
      <c r="DN407" t="str">
        <f>""</f>
        <v/>
      </c>
      <c r="DO407" t="str">
        <f>""</f>
        <v/>
      </c>
      <c r="DP407" t="str">
        <f>""</f>
        <v/>
      </c>
      <c r="DQ407" t="str">
        <f>""</f>
        <v/>
      </c>
      <c r="DR407" t="str">
        <f>""</f>
        <v/>
      </c>
      <c r="DS407" t="str">
        <f>""</f>
        <v/>
      </c>
      <c r="DT407" t="str">
        <f>""</f>
        <v/>
      </c>
      <c r="DU407" t="str">
        <f>""</f>
        <v/>
      </c>
    </row>
    <row r="408" spans="1:125">
      <c r="A408" t="str">
        <f>$A$165</f>
        <v xml:space="preserve">    Medical Properties Trust Inc</v>
      </c>
      <c r="B408" t="str">
        <f>$B$165</f>
        <v>MPW US Equity</v>
      </c>
      <c r="C408" t="str">
        <f>$C$165</f>
        <v>RX902</v>
      </c>
      <c r="D408" t="str">
        <f>$D$165</f>
        <v>ANN_NOI_GR_AST_NET_RTL_DEV_CTD_%</v>
      </c>
      <c r="E408" t="str">
        <f>$E$165</f>
        <v>动态</v>
      </c>
      <c r="F408" t="str">
        <f ca="1">BDH($B$165,$C$165,$B$256,$B$257,CONCATENATE("Per=",$B$254),"Dts=H","Dir=H",CONCATENATE("Points=",$B$255),"Sort=R","Days=A","Fill=B",CONCATENATE("FX=", $B$253) )</f>
        <v>#N/A Authorization</v>
      </c>
      <c r="BN408" t="str">
        <f>""</f>
        <v/>
      </c>
      <c r="BO408" t="str">
        <f>""</f>
        <v/>
      </c>
      <c r="BP408" t="str">
        <f>""</f>
        <v/>
      </c>
      <c r="BQ408" t="str">
        <f>""</f>
        <v/>
      </c>
      <c r="BR408" t="str">
        <f>""</f>
        <v/>
      </c>
      <c r="BS408" t="str">
        <f>""</f>
        <v/>
      </c>
      <c r="BT408" t="str">
        <f>""</f>
        <v/>
      </c>
      <c r="BU408" t="str">
        <f>""</f>
        <v/>
      </c>
      <c r="BV408" t="str">
        <f>""</f>
        <v/>
      </c>
      <c r="BW408" t="str">
        <f>""</f>
        <v/>
      </c>
      <c r="BX408" t="str">
        <f>""</f>
        <v/>
      </c>
      <c r="BY408" t="str">
        <f>""</f>
        <v/>
      </c>
      <c r="BZ408" t="str">
        <f>""</f>
        <v/>
      </c>
      <c r="CA408" t="str">
        <f>""</f>
        <v/>
      </c>
      <c r="CB408" t="str">
        <f>""</f>
        <v/>
      </c>
      <c r="CC408" t="str">
        <f>""</f>
        <v/>
      </c>
      <c r="CD408" t="str">
        <f>""</f>
        <v/>
      </c>
      <c r="CE408" t="str">
        <f>""</f>
        <v/>
      </c>
      <c r="CF408" t="str">
        <f>""</f>
        <v/>
      </c>
      <c r="CG408" t="str">
        <f>""</f>
        <v/>
      </c>
      <c r="CH408" t="str">
        <f>""</f>
        <v/>
      </c>
      <c r="CI408" t="str">
        <f>""</f>
        <v/>
      </c>
      <c r="CJ408" t="str">
        <f>""</f>
        <v/>
      </c>
      <c r="CK408" t="str">
        <f>""</f>
        <v/>
      </c>
      <c r="CL408" t="str">
        <f>""</f>
        <v/>
      </c>
      <c r="CM408" t="str">
        <f>""</f>
        <v/>
      </c>
      <c r="CN408" t="str">
        <f>""</f>
        <v/>
      </c>
      <c r="CO408" t="str">
        <f>""</f>
        <v/>
      </c>
      <c r="CP408" t="str">
        <f>""</f>
        <v/>
      </c>
      <c r="CQ408" t="str">
        <f>""</f>
        <v/>
      </c>
      <c r="CR408" t="str">
        <f>""</f>
        <v/>
      </c>
      <c r="CS408" t="str">
        <f>""</f>
        <v/>
      </c>
      <c r="CT408" t="str">
        <f>""</f>
        <v/>
      </c>
      <c r="CU408" t="str">
        <f>""</f>
        <v/>
      </c>
      <c r="CV408" t="str">
        <f>""</f>
        <v/>
      </c>
      <c r="CW408" t="str">
        <f>""</f>
        <v/>
      </c>
      <c r="CX408" t="str">
        <f>""</f>
        <v/>
      </c>
      <c r="CY408" t="str">
        <f>""</f>
        <v/>
      </c>
      <c r="CZ408" t="str">
        <f>""</f>
        <v/>
      </c>
      <c r="DA408" t="str">
        <f>""</f>
        <v/>
      </c>
      <c r="DB408" t="str">
        <f>""</f>
        <v/>
      </c>
      <c r="DC408" t="str">
        <f>""</f>
        <v/>
      </c>
      <c r="DD408" t="str">
        <f>""</f>
        <v/>
      </c>
      <c r="DE408" t="str">
        <f>""</f>
        <v/>
      </c>
      <c r="DF408" t="str">
        <f>""</f>
        <v/>
      </c>
      <c r="DG408" t="str">
        <f>""</f>
        <v/>
      </c>
      <c r="DH408" t="str">
        <f>""</f>
        <v/>
      </c>
      <c r="DI408" t="str">
        <f>""</f>
        <v/>
      </c>
      <c r="DJ408" t="str">
        <f>""</f>
        <v/>
      </c>
      <c r="DK408" t="str">
        <f>""</f>
        <v/>
      </c>
      <c r="DL408" t="str">
        <f>""</f>
        <v/>
      </c>
      <c r="DM408" t="str">
        <f>""</f>
        <v/>
      </c>
      <c r="DN408" t="str">
        <f>""</f>
        <v/>
      </c>
      <c r="DO408" t="str">
        <f>""</f>
        <v/>
      </c>
      <c r="DP408" t="str">
        <f>""</f>
        <v/>
      </c>
      <c r="DQ408" t="str">
        <f>""</f>
        <v/>
      </c>
      <c r="DR408" t="str">
        <f>""</f>
        <v/>
      </c>
      <c r="DS408" t="str">
        <f>""</f>
        <v/>
      </c>
      <c r="DT408" t="str">
        <f>""</f>
        <v/>
      </c>
      <c r="DU408" t="str">
        <f>""</f>
        <v/>
      </c>
    </row>
    <row r="409" spans="1:125">
      <c r="A409" t="str">
        <f>$A$166</f>
        <v xml:space="preserve">    Omega Healthcare Investors Inc</v>
      </c>
      <c r="B409" t="str">
        <f>$B$166</f>
        <v>OHI US Equity</v>
      </c>
      <c r="C409" t="str">
        <f>$C$166</f>
        <v>RX902</v>
      </c>
      <c r="D409" t="str">
        <f>$D$166</f>
        <v>ANN_NOI_GR_AST_NET_RTL_DEV_CTD_%</v>
      </c>
      <c r="E409" t="str">
        <f>$E$166</f>
        <v>动态</v>
      </c>
      <c r="F409" t="str">
        <f ca="1">BDH($B$166,$C$166,$B$256,$B$257,CONCATENATE("Per=",$B$254),"Dts=H","Dir=H",CONCATENATE("Points=",$B$255),"Sort=R","Days=A","Fill=B",CONCATENATE("FX=", $B$253) )</f>
        <v>#N/A Authorization</v>
      </c>
      <c r="BN409" t="str">
        <f>""</f>
        <v/>
      </c>
      <c r="BO409" t="str">
        <f>""</f>
        <v/>
      </c>
      <c r="BP409" t="str">
        <f>""</f>
        <v/>
      </c>
      <c r="BQ409" t="str">
        <f>""</f>
        <v/>
      </c>
      <c r="BR409" t="str">
        <f>""</f>
        <v/>
      </c>
      <c r="BS409" t="str">
        <f>""</f>
        <v/>
      </c>
      <c r="BT409" t="str">
        <f>""</f>
        <v/>
      </c>
      <c r="BU409" t="str">
        <f>""</f>
        <v/>
      </c>
      <c r="BV409" t="str">
        <f>""</f>
        <v/>
      </c>
      <c r="BW409" t="str">
        <f>""</f>
        <v/>
      </c>
      <c r="BX409" t="str">
        <f>""</f>
        <v/>
      </c>
      <c r="BY409" t="str">
        <f>""</f>
        <v/>
      </c>
      <c r="BZ409" t="str">
        <f>""</f>
        <v/>
      </c>
      <c r="CA409" t="str">
        <f>""</f>
        <v/>
      </c>
      <c r="CB409" t="str">
        <f>""</f>
        <v/>
      </c>
      <c r="CC409" t="str">
        <f>""</f>
        <v/>
      </c>
      <c r="CD409" t="str">
        <f>""</f>
        <v/>
      </c>
      <c r="CE409" t="str">
        <f>""</f>
        <v/>
      </c>
      <c r="CF409" t="str">
        <f>""</f>
        <v/>
      </c>
      <c r="CG409" t="str">
        <f>""</f>
        <v/>
      </c>
      <c r="CH409" t="str">
        <f>""</f>
        <v/>
      </c>
      <c r="CI409" t="str">
        <f>""</f>
        <v/>
      </c>
      <c r="CJ409" t="str">
        <f>""</f>
        <v/>
      </c>
      <c r="CK409" t="str">
        <f>""</f>
        <v/>
      </c>
      <c r="CL409" t="str">
        <f>""</f>
        <v/>
      </c>
      <c r="CM409" t="str">
        <f>""</f>
        <v/>
      </c>
      <c r="CN409" t="str">
        <f>""</f>
        <v/>
      </c>
      <c r="CO409" t="str">
        <f>""</f>
        <v/>
      </c>
      <c r="CP409" t="str">
        <f>""</f>
        <v/>
      </c>
      <c r="CQ409" t="str">
        <f>""</f>
        <v/>
      </c>
      <c r="CR409" t="str">
        <f>""</f>
        <v/>
      </c>
      <c r="CS409" t="str">
        <f>""</f>
        <v/>
      </c>
      <c r="CT409" t="str">
        <f>""</f>
        <v/>
      </c>
      <c r="CU409" t="str">
        <f>""</f>
        <v/>
      </c>
      <c r="CV409" t="str">
        <f>""</f>
        <v/>
      </c>
      <c r="CW409" t="str">
        <f>""</f>
        <v/>
      </c>
      <c r="CX409" t="str">
        <f>""</f>
        <v/>
      </c>
      <c r="CY409" t="str">
        <f>""</f>
        <v/>
      </c>
      <c r="CZ409" t="str">
        <f>""</f>
        <v/>
      </c>
      <c r="DA409" t="str">
        <f>""</f>
        <v/>
      </c>
      <c r="DB409" t="str">
        <f>""</f>
        <v/>
      </c>
      <c r="DC409" t="str">
        <f>""</f>
        <v/>
      </c>
      <c r="DD409" t="str">
        <f>""</f>
        <v/>
      </c>
      <c r="DE409" t="str">
        <f>""</f>
        <v/>
      </c>
      <c r="DF409" t="str">
        <f>""</f>
        <v/>
      </c>
      <c r="DG409" t="str">
        <f>""</f>
        <v/>
      </c>
      <c r="DH409" t="str">
        <f>""</f>
        <v/>
      </c>
      <c r="DI409" t="str">
        <f>""</f>
        <v/>
      </c>
      <c r="DJ409" t="str">
        <f>""</f>
        <v/>
      </c>
      <c r="DK409" t="str">
        <f>""</f>
        <v/>
      </c>
      <c r="DL409" t="str">
        <f>""</f>
        <v/>
      </c>
      <c r="DM409" t="str">
        <f>""</f>
        <v/>
      </c>
      <c r="DN409" t="str">
        <f>""</f>
        <v/>
      </c>
      <c r="DO409" t="str">
        <f>""</f>
        <v/>
      </c>
      <c r="DP409" t="str">
        <f>""</f>
        <v/>
      </c>
      <c r="DQ409" t="str">
        <f>""</f>
        <v/>
      </c>
      <c r="DR409" t="str">
        <f>""</f>
        <v/>
      </c>
      <c r="DS409" t="str">
        <f>""</f>
        <v/>
      </c>
      <c r="DT409" t="str">
        <f>""</f>
        <v/>
      </c>
      <c r="DU409" t="str">
        <f>""</f>
        <v/>
      </c>
    </row>
    <row r="410" spans="1:125">
      <c r="A410" t="str">
        <f>$A$167</f>
        <v xml:space="preserve">    Sabra Health Care REIT Inc</v>
      </c>
      <c r="B410" t="str">
        <f>$B$167</f>
        <v>SBRA US Equity</v>
      </c>
      <c r="C410" t="str">
        <f>$C$167</f>
        <v>RX902</v>
      </c>
      <c r="D410" t="str">
        <f>$D$167</f>
        <v>ANN_NOI_GR_AST_NET_RTL_DEV_CTD_%</v>
      </c>
      <c r="E410" t="str">
        <f>$E$167</f>
        <v>动态</v>
      </c>
      <c r="F410" t="str">
        <f ca="1">BDH($B$167,$C$167,$B$256,$B$257,CONCATENATE("Per=",$B$254),"Dts=H","Dir=H",CONCATENATE("Points=",$B$255),"Sort=R","Days=A","Fill=B",CONCATENATE("FX=", $B$253) )</f>
        <v>#N/A Authorization</v>
      </c>
      <c r="BN410" t="str">
        <f>""</f>
        <v/>
      </c>
      <c r="BO410" t="str">
        <f>""</f>
        <v/>
      </c>
      <c r="BP410" t="str">
        <f>""</f>
        <v/>
      </c>
      <c r="BQ410" t="str">
        <f>""</f>
        <v/>
      </c>
      <c r="BR410" t="str">
        <f>""</f>
        <v/>
      </c>
      <c r="BS410" t="str">
        <f>""</f>
        <v/>
      </c>
      <c r="BT410" t="str">
        <f>""</f>
        <v/>
      </c>
      <c r="BU410" t="str">
        <f>""</f>
        <v/>
      </c>
      <c r="BV410" t="str">
        <f>""</f>
        <v/>
      </c>
      <c r="BW410" t="str">
        <f>""</f>
        <v/>
      </c>
      <c r="BX410" t="str">
        <f>""</f>
        <v/>
      </c>
      <c r="BY410" t="str">
        <f>""</f>
        <v/>
      </c>
      <c r="BZ410" t="str">
        <f>""</f>
        <v/>
      </c>
      <c r="CA410" t="str">
        <f>""</f>
        <v/>
      </c>
      <c r="CB410" t="str">
        <f>""</f>
        <v/>
      </c>
      <c r="CC410" t="str">
        <f>""</f>
        <v/>
      </c>
      <c r="CD410" t="str">
        <f>""</f>
        <v/>
      </c>
      <c r="CE410" t="str">
        <f>""</f>
        <v/>
      </c>
      <c r="CF410" t="str">
        <f>""</f>
        <v/>
      </c>
      <c r="CG410" t="str">
        <f>""</f>
        <v/>
      </c>
      <c r="CH410" t="str">
        <f>""</f>
        <v/>
      </c>
      <c r="CI410" t="str">
        <f>""</f>
        <v/>
      </c>
      <c r="CJ410" t="str">
        <f>""</f>
        <v/>
      </c>
      <c r="CK410" t="str">
        <f>""</f>
        <v/>
      </c>
      <c r="CL410" t="str">
        <f>""</f>
        <v/>
      </c>
      <c r="CM410" t="str">
        <f>""</f>
        <v/>
      </c>
      <c r="CN410" t="str">
        <f>""</f>
        <v/>
      </c>
      <c r="CO410" t="str">
        <f>""</f>
        <v/>
      </c>
      <c r="CP410" t="str">
        <f>""</f>
        <v/>
      </c>
      <c r="CQ410" t="str">
        <f>""</f>
        <v/>
      </c>
      <c r="CR410" t="str">
        <f>""</f>
        <v/>
      </c>
      <c r="CS410" t="str">
        <f>""</f>
        <v/>
      </c>
      <c r="CT410" t="str">
        <f>""</f>
        <v/>
      </c>
      <c r="CU410" t="str">
        <f>""</f>
        <v/>
      </c>
      <c r="CV410" t="str">
        <f>""</f>
        <v/>
      </c>
      <c r="CW410" t="str">
        <f>""</f>
        <v/>
      </c>
      <c r="CX410" t="str">
        <f>""</f>
        <v/>
      </c>
      <c r="CY410" t="str">
        <f>""</f>
        <v/>
      </c>
      <c r="CZ410" t="str">
        <f>""</f>
        <v/>
      </c>
      <c r="DA410" t="str">
        <f>""</f>
        <v/>
      </c>
      <c r="DB410" t="str">
        <f>""</f>
        <v/>
      </c>
      <c r="DC410" t="str">
        <f>""</f>
        <v/>
      </c>
      <c r="DD410" t="str">
        <f>""</f>
        <v/>
      </c>
      <c r="DE410" t="str">
        <f>""</f>
        <v/>
      </c>
      <c r="DF410" t="str">
        <f>""</f>
        <v/>
      </c>
      <c r="DG410" t="str">
        <f>""</f>
        <v/>
      </c>
      <c r="DH410" t="str">
        <f>""</f>
        <v/>
      </c>
      <c r="DI410" t="str">
        <f>""</f>
        <v/>
      </c>
      <c r="DJ410" t="str">
        <f>""</f>
        <v/>
      </c>
      <c r="DK410" t="str">
        <f>""</f>
        <v/>
      </c>
      <c r="DL410" t="str">
        <f>""</f>
        <v/>
      </c>
      <c r="DM410" t="str">
        <f>""</f>
        <v/>
      </c>
      <c r="DN410" t="str">
        <f>""</f>
        <v/>
      </c>
      <c r="DO410" t="str">
        <f>""</f>
        <v/>
      </c>
      <c r="DP410" t="str">
        <f>""</f>
        <v/>
      </c>
      <c r="DQ410" t="str">
        <f>""</f>
        <v/>
      </c>
      <c r="DR410" t="str">
        <f>""</f>
        <v/>
      </c>
      <c r="DS410" t="str">
        <f>""</f>
        <v/>
      </c>
      <c r="DT410" t="str">
        <f>""</f>
        <v/>
      </c>
      <c r="DU410" t="str">
        <f>""</f>
        <v/>
      </c>
    </row>
    <row r="411" spans="1:125">
      <c r="A411" t="str">
        <f>$A$168</f>
        <v xml:space="preserve">    Senior Housing Properties Trus</v>
      </c>
      <c r="B411" t="str">
        <f>$B$168</f>
        <v>SNH US Equity</v>
      </c>
      <c r="C411" t="str">
        <f>$C$168</f>
        <v>RX902</v>
      </c>
      <c r="D411" t="str">
        <f>$D$168</f>
        <v>ANN_NOI_GR_AST_NET_RTL_DEV_CTD_%</v>
      </c>
      <c r="E411" t="str">
        <f>$E$168</f>
        <v>动态</v>
      </c>
      <c r="F411" t="str">
        <f ca="1">BDH($B$168,$C$168,$B$256,$B$257,CONCATENATE("Per=",$B$254),"Dts=H","Dir=H",CONCATENATE("Points=",$B$255),"Sort=R","Days=A","Fill=B",CONCATENATE("FX=", $B$253) )</f>
        <v>#N/A Authorization</v>
      </c>
      <c r="BN411" t="str">
        <f>""</f>
        <v/>
      </c>
      <c r="BO411" t="str">
        <f>""</f>
        <v/>
      </c>
      <c r="BP411" t="str">
        <f>""</f>
        <v/>
      </c>
      <c r="BQ411" t="str">
        <f>""</f>
        <v/>
      </c>
      <c r="BR411" t="str">
        <f>""</f>
        <v/>
      </c>
      <c r="BS411" t="str">
        <f>""</f>
        <v/>
      </c>
      <c r="BT411" t="str">
        <f>""</f>
        <v/>
      </c>
      <c r="BU411" t="str">
        <f>""</f>
        <v/>
      </c>
      <c r="BV411" t="str">
        <f>""</f>
        <v/>
      </c>
      <c r="BW411" t="str">
        <f>""</f>
        <v/>
      </c>
      <c r="BX411" t="str">
        <f>""</f>
        <v/>
      </c>
      <c r="BY411" t="str">
        <f>""</f>
        <v/>
      </c>
      <c r="BZ411" t="str">
        <f>""</f>
        <v/>
      </c>
      <c r="CA411" t="str">
        <f>""</f>
        <v/>
      </c>
      <c r="CB411" t="str">
        <f>""</f>
        <v/>
      </c>
      <c r="CC411" t="str">
        <f>""</f>
        <v/>
      </c>
      <c r="CD411" t="str">
        <f>""</f>
        <v/>
      </c>
      <c r="CE411" t="str">
        <f>""</f>
        <v/>
      </c>
      <c r="CF411" t="str">
        <f>""</f>
        <v/>
      </c>
      <c r="CG411" t="str">
        <f>""</f>
        <v/>
      </c>
      <c r="CH411" t="str">
        <f>""</f>
        <v/>
      </c>
      <c r="CI411" t="str">
        <f>""</f>
        <v/>
      </c>
      <c r="CJ411" t="str">
        <f>""</f>
        <v/>
      </c>
      <c r="CK411" t="str">
        <f>""</f>
        <v/>
      </c>
      <c r="CL411" t="str">
        <f>""</f>
        <v/>
      </c>
      <c r="CM411" t="str">
        <f>""</f>
        <v/>
      </c>
      <c r="CN411" t="str">
        <f>""</f>
        <v/>
      </c>
      <c r="CO411" t="str">
        <f>""</f>
        <v/>
      </c>
      <c r="CP411" t="str">
        <f>""</f>
        <v/>
      </c>
      <c r="CQ411" t="str">
        <f>""</f>
        <v/>
      </c>
      <c r="CR411" t="str">
        <f>""</f>
        <v/>
      </c>
      <c r="CS411" t="str">
        <f>""</f>
        <v/>
      </c>
      <c r="CT411" t="str">
        <f>""</f>
        <v/>
      </c>
      <c r="CU411" t="str">
        <f>""</f>
        <v/>
      </c>
      <c r="CV411" t="str">
        <f>""</f>
        <v/>
      </c>
      <c r="CW411" t="str">
        <f>""</f>
        <v/>
      </c>
      <c r="CX411" t="str">
        <f>""</f>
        <v/>
      </c>
      <c r="CY411" t="str">
        <f>""</f>
        <v/>
      </c>
      <c r="CZ411" t="str">
        <f>""</f>
        <v/>
      </c>
      <c r="DA411" t="str">
        <f>""</f>
        <v/>
      </c>
      <c r="DB411" t="str">
        <f>""</f>
        <v/>
      </c>
      <c r="DC411" t="str">
        <f>""</f>
        <v/>
      </c>
      <c r="DD411" t="str">
        <f>""</f>
        <v/>
      </c>
      <c r="DE411" t="str">
        <f>""</f>
        <v/>
      </c>
      <c r="DF411" t="str">
        <f>""</f>
        <v/>
      </c>
      <c r="DG411" t="str">
        <f>""</f>
        <v/>
      </c>
      <c r="DH411" t="str">
        <f>""</f>
        <v/>
      </c>
      <c r="DI411" t="str">
        <f>""</f>
        <v/>
      </c>
      <c r="DJ411" t="str">
        <f>""</f>
        <v/>
      </c>
      <c r="DK411" t="str">
        <f>""</f>
        <v/>
      </c>
      <c r="DL411" t="str">
        <f>""</f>
        <v/>
      </c>
      <c r="DM411" t="str">
        <f>""</f>
        <v/>
      </c>
      <c r="DN411" t="str">
        <f>""</f>
        <v/>
      </c>
      <c r="DO411" t="str">
        <f>""</f>
        <v/>
      </c>
      <c r="DP411" t="str">
        <f>""</f>
        <v/>
      </c>
      <c r="DQ411" t="str">
        <f>""</f>
        <v/>
      </c>
      <c r="DR411" t="str">
        <f>""</f>
        <v/>
      </c>
      <c r="DS411" t="str">
        <f>""</f>
        <v/>
      </c>
      <c r="DT411" t="str">
        <f>""</f>
        <v/>
      </c>
      <c r="DU411" t="str">
        <f>""</f>
        <v/>
      </c>
    </row>
    <row r="412" spans="1:125">
      <c r="A412" t="str">
        <f>$A$169</f>
        <v xml:space="preserve">    Ventas Inc</v>
      </c>
      <c r="B412" t="str">
        <f>$B$169</f>
        <v>VTR US Equity</v>
      </c>
      <c r="C412" t="str">
        <f>$C$169</f>
        <v>RX902</v>
      </c>
      <c r="D412" t="str">
        <f>$D$169</f>
        <v>ANN_NOI_GR_AST_NET_RTL_DEV_CTD_%</v>
      </c>
      <c r="E412" t="str">
        <f>$E$169</f>
        <v>动态</v>
      </c>
      <c r="F412" t="str">
        <f ca="1">BDH($B$169,$C$169,$B$256,$B$257,CONCATENATE("Per=",$B$254),"Dts=H","Dir=H",CONCATENATE("Points=",$B$255),"Sort=R","Days=A","Fill=B",CONCATENATE("FX=", $B$253) )</f>
        <v>#N/A Authorization</v>
      </c>
      <c r="BN412" t="str">
        <f>""</f>
        <v/>
      </c>
      <c r="BO412" t="str">
        <f>""</f>
        <v/>
      </c>
      <c r="BP412" t="str">
        <f>""</f>
        <v/>
      </c>
      <c r="BQ412" t="str">
        <f>""</f>
        <v/>
      </c>
      <c r="BR412" t="str">
        <f>""</f>
        <v/>
      </c>
      <c r="BS412" t="str">
        <f>""</f>
        <v/>
      </c>
      <c r="BT412" t="str">
        <f>""</f>
        <v/>
      </c>
      <c r="BU412" t="str">
        <f>""</f>
        <v/>
      </c>
      <c r="BV412" t="str">
        <f>""</f>
        <v/>
      </c>
      <c r="BW412" t="str">
        <f>""</f>
        <v/>
      </c>
      <c r="BX412" t="str">
        <f>""</f>
        <v/>
      </c>
      <c r="BY412" t="str">
        <f>""</f>
        <v/>
      </c>
      <c r="BZ412" t="str">
        <f>""</f>
        <v/>
      </c>
      <c r="CA412" t="str">
        <f>""</f>
        <v/>
      </c>
      <c r="CB412" t="str">
        <f>""</f>
        <v/>
      </c>
      <c r="CC412" t="str">
        <f>""</f>
        <v/>
      </c>
      <c r="CD412" t="str">
        <f>""</f>
        <v/>
      </c>
      <c r="CE412" t="str">
        <f>""</f>
        <v/>
      </c>
      <c r="CF412" t="str">
        <f>""</f>
        <v/>
      </c>
      <c r="CG412" t="str">
        <f>""</f>
        <v/>
      </c>
      <c r="CH412" t="str">
        <f>""</f>
        <v/>
      </c>
      <c r="CI412" t="str">
        <f>""</f>
        <v/>
      </c>
      <c r="CJ412" t="str">
        <f>""</f>
        <v/>
      </c>
      <c r="CK412" t="str">
        <f>""</f>
        <v/>
      </c>
      <c r="CL412" t="str">
        <f>""</f>
        <v/>
      </c>
      <c r="CM412" t="str">
        <f>""</f>
        <v/>
      </c>
      <c r="CN412" t="str">
        <f>""</f>
        <v/>
      </c>
      <c r="CO412" t="str">
        <f>""</f>
        <v/>
      </c>
      <c r="CP412" t="str">
        <f>""</f>
        <v/>
      </c>
      <c r="CQ412" t="str">
        <f>""</f>
        <v/>
      </c>
      <c r="CR412" t="str">
        <f>""</f>
        <v/>
      </c>
      <c r="CS412" t="str">
        <f>""</f>
        <v/>
      </c>
      <c r="CT412" t="str">
        <f>""</f>
        <v/>
      </c>
      <c r="CU412" t="str">
        <f>""</f>
        <v/>
      </c>
      <c r="CV412" t="str">
        <f>""</f>
        <v/>
      </c>
      <c r="CW412" t="str">
        <f>""</f>
        <v/>
      </c>
      <c r="CX412" t="str">
        <f>""</f>
        <v/>
      </c>
      <c r="CY412" t="str">
        <f>""</f>
        <v/>
      </c>
      <c r="CZ412" t="str">
        <f>""</f>
        <v/>
      </c>
      <c r="DA412" t="str">
        <f>""</f>
        <v/>
      </c>
      <c r="DB412" t="str">
        <f>""</f>
        <v/>
      </c>
      <c r="DC412" t="str">
        <f>""</f>
        <v/>
      </c>
      <c r="DD412" t="str">
        <f>""</f>
        <v/>
      </c>
      <c r="DE412" t="str">
        <f>""</f>
        <v/>
      </c>
      <c r="DF412" t="str">
        <f>""</f>
        <v/>
      </c>
      <c r="DG412" t="str">
        <f>""</f>
        <v/>
      </c>
      <c r="DH412" t="str">
        <f>""</f>
        <v/>
      </c>
      <c r="DI412" t="str">
        <f>""</f>
        <v/>
      </c>
      <c r="DJ412" t="str">
        <f>""</f>
        <v/>
      </c>
      <c r="DK412" t="str">
        <f>""</f>
        <v/>
      </c>
      <c r="DL412" t="str">
        <f>""</f>
        <v/>
      </c>
      <c r="DM412" t="str">
        <f>""</f>
        <v/>
      </c>
      <c r="DN412" t="str">
        <f>""</f>
        <v/>
      </c>
      <c r="DO412" t="str">
        <f>""</f>
        <v/>
      </c>
      <c r="DP412" t="str">
        <f>""</f>
        <v/>
      </c>
      <c r="DQ412" t="str">
        <f>""</f>
        <v/>
      </c>
      <c r="DR412" t="str">
        <f>""</f>
        <v/>
      </c>
      <c r="DS412" t="str">
        <f>""</f>
        <v/>
      </c>
      <c r="DT412" t="str">
        <f>""</f>
        <v/>
      </c>
      <c r="DU412" t="str">
        <f>""</f>
        <v/>
      </c>
    </row>
    <row r="413" spans="1:125">
      <c r="A413" t="str">
        <f>$A$170</f>
        <v xml:space="preserve">    Welltower Inc</v>
      </c>
      <c r="B413" t="str">
        <f>$B$170</f>
        <v>HCN US Equity</v>
      </c>
      <c r="C413" t="str">
        <f>$C$170</f>
        <v>RX902</v>
      </c>
      <c r="D413" t="str">
        <f>$D$170</f>
        <v>ANN_NOI_GR_AST_NET_RTL_DEV_CTD_%</v>
      </c>
      <c r="E413" t="str">
        <f>$E$170</f>
        <v>动态</v>
      </c>
      <c r="F413" t="str">
        <f ca="1">BDH($B$170,$C$170,$B$256,$B$257,CONCATENATE("Per=",$B$254),"Dts=H","Dir=H",CONCATENATE("Points=",$B$255),"Sort=R","Days=A","Fill=B",CONCATENATE("FX=", $B$253) )</f>
        <v>#N/A Authorization</v>
      </c>
      <c r="BN413" t="str">
        <f>""</f>
        <v/>
      </c>
      <c r="BO413" t="str">
        <f>""</f>
        <v/>
      </c>
      <c r="BP413" t="str">
        <f>""</f>
        <v/>
      </c>
      <c r="BQ413" t="str">
        <f>""</f>
        <v/>
      </c>
      <c r="BR413" t="str">
        <f>""</f>
        <v/>
      </c>
      <c r="BS413" t="str">
        <f>""</f>
        <v/>
      </c>
      <c r="BT413" t="str">
        <f>""</f>
        <v/>
      </c>
      <c r="BU413" t="str">
        <f>""</f>
        <v/>
      </c>
      <c r="BV413" t="str">
        <f>""</f>
        <v/>
      </c>
      <c r="BW413" t="str">
        <f>""</f>
        <v/>
      </c>
      <c r="BX413" t="str">
        <f>""</f>
        <v/>
      </c>
      <c r="BY413" t="str">
        <f>""</f>
        <v/>
      </c>
      <c r="BZ413" t="str">
        <f>""</f>
        <v/>
      </c>
      <c r="CA413" t="str">
        <f>""</f>
        <v/>
      </c>
      <c r="CB413" t="str">
        <f>""</f>
        <v/>
      </c>
      <c r="CC413" t="str">
        <f>""</f>
        <v/>
      </c>
      <c r="CD413" t="str">
        <f>""</f>
        <v/>
      </c>
      <c r="CE413" t="str">
        <f>""</f>
        <v/>
      </c>
      <c r="CF413" t="str">
        <f>""</f>
        <v/>
      </c>
      <c r="CG413" t="str">
        <f>""</f>
        <v/>
      </c>
      <c r="CH413" t="str">
        <f>""</f>
        <v/>
      </c>
      <c r="CI413" t="str">
        <f>""</f>
        <v/>
      </c>
      <c r="CJ413" t="str">
        <f>""</f>
        <v/>
      </c>
      <c r="CK413" t="str">
        <f>""</f>
        <v/>
      </c>
      <c r="CL413" t="str">
        <f>""</f>
        <v/>
      </c>
      <c r="CM413" t="str">
        <f>""</f>
        <v/>
      </c>
      <c r="CN413" t="str">
        <f>""</f>
        <v/>
      </c>
      <c r="CO413" t="str">
        <f>""</f>
        <v/>
      </c>
      <c r="CP413" t="str">
        <f>""</f>
        <v/>
      </c>
      <c r="CQ413" t="str">
        <f>""</f>
        <v/>
      </c>
      <c r="CR413" t="str">
        <f>""</f>
        <v/>
      </c>
      <c r="CS413" t="str">
        <f>""</f>
        <v/>
      </c>
      <c r="CT413" t="str">
        <f>""</f>
        <v/>
      </c>
      <c r="CU413" t="str">
        <f>""</f>
        <v/>
      </c>
      <c r="CV413" t="str">
        <f>""</f>
        <v/>
      </c>
      <c r="CW413" t="str">
        <f>""</f>
        <v/>
      </c>
      <c r="CX413" t="str">
        <f>""</f>
        <v/>
      </c>
      <c r="CY413" t="str">
        <f>""</f>
        <v/>
      </c>
      <c r="CZ413" t="str">
        <f>""</f>
        <v/>
      </c>
      <c r="DA413" t="str">
        <f>""</f>
        <v/>
      </c>
      <c r="DB413" t="str">
        <f>""</f>
        <v/>
      </c>
      <c r="DC413" t="str">
        <f>""</f>
        <v/>
      </c>
      <c r="DD413" t="str">
        <f>""</f>
        <v/>
      </c>
      <c r="DE413" t="str">
        <f>""</f>
        <v/>
      </c>
      <c r="DF413" t="str">
        <f>""</f>
        <v/>
      </c>
      <c r="DG413" t="str">
        <f>""</f>
        <v/>
      </c>
      <c r="DH413" t="str">
        <f>""</f>
        <v/>
      </c>
      <c r="DI413" t="str">
        <f>""</f>
        <v/>
      </c>
      <c r="DJ413" t="str">
        <f>""</f>
        <v/>
      </c>
      <c r="DK413" t="str">
        <f>""</f>
        <v/>
      </c>
      <c r="DL413" t="str">
        <f>""</f>
        <v/>
      </c>
      <c r="DM413" t="str">
        <f>""</f>
        <v/>
      </c>
      <c r="DN413" t="str">
        <f>""</f>
        <v/>
      </c>
      <c r="DO413" t="str">
        <f>""</f>
        <v/>
      </c>
      <c r="DP413" t="str">
        <f>""</f>
        <v/>
      </c>
      <c r="DQ413" t="str">
        <f>""</f>
        <v/>
      </c>
      <c r="DR413" t="str">
        <f>""</f>
        <v/>
      </c>
      <c r="DS413" t="str">
        <f>""</f>
        <v/>
      </c>
      <c r="DT413" t="str">
        <f>""</f>
        <v/>
      </c>
      <c r="DU413" t="str">
        <f>""</f>
        <v/>
      </c>
    </row>
    <row r="414" spans="1:125">
      <c r="A414" t="str">
        <f>$A$172</f>
        <v xml:space="preserve">    Alexandria Real Estate Equitie</v>
      </c>
      <c r="B414" t="str">
        <f>$B$172</f>
        <v>ARE US Equity</v>
      </c>
      <c r="C414" t="str">
        <f>$C$172</f>
        <v>RR553</v>
      </c>
      <c r="D414" t="str">
        <f>$D$172</f>
        <v>EBITDA_RE_ASSET</v>
      </c>
      <c r="E414" t="str">
        <f>$E$172</f>
        <v>动态</v>
      </c>
      <c r="F414" t="str">
        <f ca="1">BDH($B$172,$C$172,$B$256,$B$257,CONCATENATE("Per=",$B$254),"Dts=H","Dir=H",CONCATENATE("Points=",$B$255),"Sort=R","Days=A","Fill=B",CONCATENATE("FX=", $B$253) )</f>
        <v>#N/A Authorization</v>
      </c>
      <c r="BN414" t="str">
        <f>""</f>
        <v/>
      </c>
      <c r="BO414" t="str">
        <f>""</f>
        <v/>
      </c>
      <c r="BP414" t="str">
        <f>""</f>
        <v/>
      </c>
      <c r="BQ414" t="str">
        <f>""</f>
        <v/>
      </c>
      <c r="BR414" t="str">
        <f>""</f>
        <v/>
      </c>
      <c r="BS414" t="str">
        <f>""</f>
        <v/>
      </c>
      <c r="BT414" t="str">
        <f>""</f>
        <v/>
      </c>
      <c r="BU414" t="str">
        <f>""</f>
        <v/>
      </c>
      <c r="BV414" t="str">
        <f>""</f>
        <v/>
      </c>
      <c r="BW414" t="str">
        <f>""</f>
        <v/>
      </c>
      <c r="BX414" t="str">
        <f>""</f>
        <v/>
      </c>
      <c r="BY414" t="str">
        <f>""</f>
        <v/>
      </c>
      <c r="BZ414" t="str">
        <f>""</f>
        <v/>
      </c>
      <c r="CA414" t="str">
        <f>""</f>
        <v/>
      </c>
      <c r="CB414" t="str">
        <f>""</f>
        <v/>
      </c>
      <c r="CC414" t="str">
        <f>""</f>
        <v/>
      </c>
      <c r="CD414" t="str">
        <f>""</f>
        <v/>
      </c>
      <c r="CE414" t="str">
        <f>""</f>
        <v/>
      </c>
      <c r="CF414" t="str">
        <f>""</f>
        <v/>
      </c>
      <c r="CG414" t="str">
        <f>""</f>
        <v/>
      </c>
      <c r="CH414" t="str">
        <f>""</f>
        <v/>
      </c>
      <c r="CI414" t="str">
        <f>""</f>
        <v/>
      </c>
      <c r="CJ414" t="str">
        <f>""</f>
        <v/>
      </c>
      <c r="CK414" t="str">
        <f>""</f>
        <v/>
      </c>
      <c r="CL414" t="str">
        <f>""</f>
        <v/>
      </c>
      <c r="CM414" t="str">
        <f>""</f>
        <v/>
      </c>
      <c r="CN414" t="str">
        <f>""</f>
        <v/>
      </c>
      <c r="CO414" t="str">
        <f>""</f>
        <v/>
      </c>
      <c r="CP414" t="str">
        <f>""</f>
        <v/>
      </c>
      <c r="CQ414" t="str">
        <f>""</f>
        <v/>
      </c>
      <c r="CR414" t="str">
        <f>""</f>
        <v/>
      </c>
      <c r="CS414" t="str">
        <f>""</f>
        <v/>
      </c>
      <c r="CT414" t="str">
        <f>""</f>
        <v/>
      </c>
      <c r="CU414" t="str">
        <f>""</f>
        <v/>
      </c>
      <c r="CV414" t="str">
        <f>""</f>
        <v/>
      </c>
      <c r="CW414" t="str">
        <f>""</f>
        <v/>
      </c>
      <c r="CX414" t="str">
        <f>""</f>
        <v/>
      </c>
      <c r="CY414" t="str">
        <f>""</f>
        <v/>
      </c>
      <c r="CZ414" t="str">
        <f>""</f>
        <v/>
      </c>
      <c r="DA414" t="str">
        <f>""</f>
        <v/>
      </c>
      <c r="DB414" t="str">
        <f>""</f>
        <v/>
      </c>
      <c r="DC414" t="str">
        <f>""</f>
        <v/>
      </c>
      <c r="DD414" t="str">
        <f>""</f>
        <v/>
      </c>
      <c r="DE414" t="str">
        <f>""</f>
        <v/>
      </c>
      <c r="DF414" t="str">
        <f>""</f>
        <v/>
      </c>
      <c r="DG414" t="str">
        <f>""</f>
        <v/>
      </c>
      <c r="DH414" t="str">
        <f>""</f>
        <v/>
      </c>
      <c r="DI414" t="str">
        <f>""</f>
        <v/>
      </c>
      <c r="DJ414" t="str">
        <f>""</f>
        <v/>
      </c>
      <c r="DK414" t="str">
        <f>""</f>
        <v/>
      </c>
      <c r="DL414" t="str">
        <f>""</f>
        <v/>
      </c>
      <c r="DM414" t="str">
        <f>""</f>
        <v/>
      </c>
      <c r="DN414" t="str">
        <f>""</f>
        <v/>
      </c>
      <c r="DO414" t="str">
        <f>""</f>
        <v/>
      </c>
      <c r="DP414" t="str">
        <f>""</f>
        <v/>
      </c>
      <c r="DQ414" t="str">
        <f>""</f>
        <v/>
      </c>
      <c r="DR414" t="str">
        <f>""</f>
        <v/>
      </c>
      <c r="DS414" t="str">
        <f>""</f>
        <v/>
      </c>
      <c r="DT414" t="str">
        <f>""</f>
        <v/>
      </c>
      <c r="DU414" t="str">
        <f>""</f>
        <v/>
      </c>
    </row>
    <row r="415" spans="1:125">
      <c r="A415" t="str">
        <f>$A$173</f>
        <v xml:space="preserve">    Care Capital Properties Inc</v>
      </c>
      <c r="B415" t="str">
        <f>$B$173</f>
        <v>CCP US Equity</v>
      </c>
      <c r="C415" t="str">
        <f>$C$173</f>
        <v>RR553</v>
      </c>
      <c r="D415" t="str">
        <f>$D$173</f>
        <v>EBITDA_RE_ASSET</v>
      </c>
      <c r="E415" t="str">
        <f>$E$173</f>
        <v>动态</v>
      </c>
      <c r="F415" t="str">
        <f ca="1">BDH($B$173,$C$173,$B$256,$B$257,CONCATENATE("Per=",$B$254),"Dts=H","Dir=H",CONCATENATE("Points=",$B$255),"Sort=R","Days=A","Fill=B",CONCATENATE("FX=", $B$253) )</f>
        <v>#N/A Authorization</v>
      </c>
      <c r="BN415" t="str">
        <f>""</f>
        <v/>
      </c>
      <c r="BO415" t="str">
        <f>""</f>
        <v/>
      </c>
      <c r="BP415" t="str">
        <f>""</f>
        <v/>
      </c>
      <c r="BQ415" t="str">
        <f>""</f>
        <v/>
      </c>
      <c r="BR415" t="str">
        <f>""</f>
        <v/>
      </c>
      <c r="BS415" t="str">
        <f>""</f>
        <v/>
      </c>
      <c r="BT415" t="str">
        <f>""</f>
        <v/>
      </c>
      <c r="BU415" t="str">
        <f>""</f>
        <v/>
      </c>
      <c r="BV415" t="str">
        <f>""</f>
        <v/>
      </c>
      <c r="BW415" t="str">
        <f>""</f>
        <v/>
      </c>
      <c r="BX415" t="str">
        <f>""</f>
        <v/>
      </c>
      <c r="BY415" t="str">
        <f>""</f>
        <v/>
      </c>
      <c r="BZ415" t="str">
        <f>""</f>
        <v/>
      </c>
      <c r="CA415" t="str">
        <f>""</f>
        <v/>
      </c>
      <c r="CB415" t="str">
        <f>""</f>
        <v/>
      </c>
      <c r="CC415" t="str">
        <f>""</f>
        <v/>
      </c>
      <c r="CD415" t="str">
        <f>""</f>
        <v/>
      </c>
      <c r="CE415" t="str">
        <f>""</f>
        <v/>
      </c>
      <c r="CF415" t="str">
        <f>""</f>
        <v/>
      </c>
      <c r="CG415" t="str">
        <f>""</f>
        <v/>
      </c>
      <c r="CH415" t="str">
        <f>""</f>
        <v/>
      </c>
      <c r="CI415" t="str">
        <f>""</f>
        <v/>
      </c>
      <c r="CJ415" t="str">
        <f>""</f>
        <v/>
      </c>
      <c r="CK415" t="str">
        <f>""</f>
        <v/>
      </c>
      <c r="CL415" t="str">
        <f>""</f>
        <v/>
      </c>
      <c r="CM415" t="str">
        <f>""</f>
        <v/>
      </c>
      <c r="CN415" t="str">
        <f>""</f>
        <v/>
      </c>
      <c r="CO415" t="str">
        <f>""</f>
        <v/>
      </c>
      <c r="CP415" t="str">
        <f>""</f>
        <v/>
      </c>
      <c r="CQ415" t="str">
        <f>""</f>
        <v/>
      </c>
      <c r="CR415" t="str">
        <f>""</f>
        <v/>
      </c>
      <c r="CS415" t="str">
        <f>""</f>
        <v/>
      </c>
      <c r="CT415" t="str">
        <f>""</f>
        <v/>
      </c>
      <c r="CU415" t="str">
        <f>""</f>
        <v/>
      </c>
      <c r="CV415" t="str">
        <f>""</f>
        <v/>
      </c>
      <c r="CW415" t="str">
        <f>""</f>
        <v/>
      </c>
      <c r="CX415" t="str">
        <f>""</f>
        <v/>
      </c>
      <c r="CY415" t="str">
        <f>""</f>
        <v/>
      </c>
      <c r="CZ415" t="str">
        <f>""</f>
        <v/>
      </c>
      <c r="DA415" t="str">
        <f>""</f>
        <v/>
      </c>
      <c r="DB415" t="str">
        <f>""</f>
        <v/>
      </c>
      <c r="DC415" t="str">
        <f>""</f>
        <v/>
      </c>
      <c r="DD415" t="str">
        <f>""</f>
        <v/>
      </c>
      <c r="DE415" t="str">
        <f>""</f>
        <v/>
      </c>
      <c r="DF415" t="str">
        <f>""</f>
        <v/>
      </c>
      <c r="DG415" t="str">
        <f>""</f>
        <v/>
      </c>
      <c r="DH415" t="str">
        <f>""</f>
        <v/>
      </c>
      <c r="DI415" t="str">
        <f>""</f>
        <v/>
      </c>
      <c r="DJ415" t="str">
        <f>""</f>
        <v/>
      </c>
      <c r="DK415" t="str">
        <f>""</f>
        <v/>
      </c>
      <c r="DL415" t="str">
        <f>""</f>
        <v/>
      </c>
      <c r="DM415" t="str">
        <f>""</f>
        <v/>
      </c>
      <c r="DN415" t="str">
        <f>""</f>
        <v/>
      </c>
      <c r="DO415" t="str">
        <f>""</f>
        <v/>
      </c>
      <c r="DP415" t="str">
        <f>""</f>
        <v/>
      </c>
      <c r="DQ415" t="str">
        <f>""</f>
        <v/>
      </c>
      <c r="DR415" t="str">
        <f>""</f>
        <v/>
      </c>
      <c r="DS415" t="str">
        <f>""</f>
        <v/>
      </c>
      <c r="DT415" t="str">
        <f>""</f>
        <v/>
      </c>
      <c r="DU415" t="str">
        <f>""</f>
        <v/>
      </c>
    </row>
    <row r="416" spans="1:125">
      <c r="A416" t="str">
        <f>$A$174</f>
        <v xml:space="preserve">    HCP Inc</v>
      </c>
      <c r="B416" t="str">
        <f>$B$174</f>
        <v>HCP US Equity</v>
      </c>
      <c r="C416" t="str">
        <f>$C$174</f>
        <v>RR553</v>
      </c>
      <c r="D416" t="str">
        <f>$D$174</f>
        <v>EBITDA_RE_ASSET</v>
      </c>
      <c r="E416" t="str">
        <f>$E$174</f>
        <v>动态</v>
      </c>
      <c r="F416" t="str">
        <f ca="1">BDH($B$174,$C$174,$B$256,$B$257,CONCATENATE("Per=",$B$254),"Dts=H","Dir=H",CONCATENATE("Points=",$B$255),"Sort=R","Days=A","Fill=B",CONCATENATE("FX=", $B$253) )</f>
        <v>#N/A Authorization</v>
      </c>
      <c r="BN416" t="str">
        <f>""</f>
        <v/>
      </c>
      <c r="BO416" t="str">
        <f>""</f>
        <v/>
      </c>
      <c r="BP416" t="str">
        <f>""</f>
        <v/>
      </c>
      <c r="BQ416" t="str">
        <f>""</f>
        <v/>
      </c>
      <c r="BR416" t="str">
        <f>""</f>
        <v/>
      </c>
      <c r="BS416" t="str">
        <f>""</f>
        <v/>
      </c>
      <c r="BT416" t="str">
        <f>""</f>
        <v/>
      </c>
      <c r="BU416" t="str">
        <f>""</f>
        <v/>
      </c>
      <c r="BV416" t="str">
        <f>""</f>
        <v/>
      </c>
      <c r="BW416" t="str">
        <f>""</f>
        <v/>
      </c>
      <c r="BX416" t="str">
        <f>""</f>
        <v/>
      </c>
      <c r="BY416" t="str">
        <f>""</f>
        <v/>
      </c>
      <c r="BZ416" t="str">
        <f>""</f>
        <v/>
      </c>
      <c r="CA416" t="str">
        <f>""</f>
        <v/>
      </c>
      <c r="CB416" t="str">
        <f>""</f>
        <v/>
      </c>
      <c r="CC416" t="str">
        <f>""</f>
        <v/>
      </c>
      <c r="CD416" t="str">
        <f>""</f>
        <v/>
      </c>
      <c r="CE416" t="str">
        <f>""</f>
        <v/>
      </c>
      <c r="CF416" t="str">
        <f>""</f>
        <v/>
      </c>
      <c r="CG416" t="str">
        <f>""</f>
        <v/>
      </c>
      <c r="CH416" t="str">
        <f>""</f>
        <v/>
      </c>
      <c r="CI416" t="str">
        <f>""</f>
        <v/>
      </c>
      <c r="CJ416" t="str">
        <f>""</f>
        <v/>
      </c>
      <c r="CK416" t="str">
        <f>""</f>
        <v/>
      </c>
      <c r="CL416" t="str">
        <f>""</f>
        <v/>
      </c>
      <c r="CM416" t="str">
        <f>""</f>
        <v/>
      </c>
      <c r="CN416" t="str">
        <f>""</f>
        <v/>
      </c>
      <c r="CO416" t="str">
        <f>""</f>
        <v/>
      </c>
      <c r="CP416" t="str">
        <f>""</f>
        <v/>
      </c>
      <c r="CQ416" t="str">
        <f>""</f>
        <v/>
      </c>
      <c r="CR416" t="str">
        <f>""</f>
        <v/>
      </c>
      <c r="CS416" t="str">
        <f>""</f>
        <v/>
      </c>
      <c r="CT416" t="str">
        <f>""</f>
        <v/>
      </c>
      <c r="CU416" t="str">
        <f>""</f>
        <v/>
      </c>
      <c r="CV416" t="str">
        <f>""</f>
        <v/>
      </c>
      <c r="CW416" t="str">
        <f>""</f>
        <v/>
      </c>
      <c r="CX416" t="str">
        <f>""</f>
        <v/>
      </c>
      <c r="CY416" t="str">
        <f>""</f>
        <v/>
      </c>
      <c r="CZ416" t="str">
        <f>""</f>
        <v/>
      </c>
      <c r="DA416" t="str">
        <f>""</f>
        <v/>
      </c>
      <c r="DB416" t="str">
        <f>""</f>
        <v/>
      </c>
      <c r="DC416" t="str">
        <f>""</f>
        <v/>
      </c>
      <c r="DD416" t="str">
        <f>""</f>
        <v/>
      </c>
      <c r="DE416" t="str">
        <f>""</f>
        <v/>
      </c>
      <c r="DF416" t="str">
        <f>""</f>
        <v/>
      </c>
      <c r="DG416" t="str">
        <f>""</f>
        <v/>
      </c>
      <c r="DH416" t="str">
        <f>""</f>
        <v/>
      </c>
      <c r="DI416" t="str">
        <f>""</f>
        <v/>
      </c>
      <c r="DJ416" t="str">
        <f>""</f>
        <v/>
      </c>
      <c r="DK416" t="str">
        <f>""</f>
        <v/>
      </c>
      <c r="DL416" t="str">
        <f>""</f>
        <v/>
      </c>
      <c r="DM416" t="str">
        <f>""</f>
        <v/>
      </c>
      <c r="DN416" t="str">
        <f>""</f>
        <v/>
      </c>
      <c r="DO416" t="str">
        <f>""</f>
        <v/>
      </c>
      <c r="DP416" t="str">
        <f>""</f>
        <v/>
      </c>
      <c r="DQ416" t="str">
        <f>""</f>
        <v/>
      </c>
      <c r="DR416" t="str">
        <f>""</f>
        <v/>
      </c>
      <c r="DS416" t="str">
        <f>""</f>
        <v/>
      </c>
      <c r="DT416" t="str">
        <f>""</f>
        <v/>
      </c>
      <c r="DU416" t="str">
        <f>""</f>
        <v/>
      </c>
    </row>
    <row r="417" spans="1:125">
      <c r="A417" t="str">
        <f>$A$175</f>
        <v xml:space="preserve">    Healthcare Realty Trust Inc</v>
      </c>
      <c r="B417" t="str">
        <f>$B$175</f>
        <v>HR US Equity</v>
      </c>
      <c r="C417" t="str">
        <f>$C$175</f>
        <v>RR553</v>
      </c>
      <c r="D417" t="str">
        <f>$D$175</f>
        <v>EBITDA_RE_ASSET</v>
      </c>
      <c r="E417" t="str">
        <f>$E$175</f>
        <v>动态</v>
      </c>
      <c r="F417" t="str">
        <f ca="1">BDH($B$175,$C$175,$B$256,$B$257,CONCATENATE("Per=",$B$254),"Dts=H","Dir=H",CONCATENATE("Points=",$B$255),"Sort=R","Days=A","Fill=B",CONCATENATE("FX=", $B$253) )</f>
        <v>#N/A Authorization</v>
      </c>
      <c r="BN417" t="str">
        <f>""</f>
        <v/>
      </c>
      <c r="BO417" t="str">
        <f>""</f>
        <v/>
      </c>
      <c r="BP417" t="str">
        <f>""</f>
        <v/>
      </c>
      <c r="BQ417" t="str">
        <f>""</f>
        <v/>
      </c>
      <c r="BR417" t="str">
        <f>""</f>
        <v/>
      </c>
      <c r="BS417" t="str">
        <f>""</f>
        <v/>
      </c>
      <c r="BT417" t="str">
        <f>""</f>
        <v/>
      </c>
      <c r="BU417" t="str">
        <f>""</f>
        <v/>
      </c>
      <c r="BV417" t="str">
        <f>""</f>
        <v/>
      </c>
      <c r="BW417" t="str">
        <f>""</f>
        <v/>
      </c>
      <c r="BX417" t="str">
        <f>""</f>
        <v/>
      </c>
      <c r="BY417" t="str">
        <f>""</f>
        <v/>
      </c>
      <c r="BZ417" t="str">
        <f>""</f>
        <v/>
      </c>
      <c r="CA417" t="str">
        <f>""</f>
        <v/>
      </c>
      <c r="CB417" t="str">
        <f>""</f>
        <v/>
      </c>
      <c r="CC417" t="str">
        <f>""</f>
        <v/>
      </c>
      <c r="CD417" t="str">
        <f>""</f>
        <v/>
      </c>
      <c r="CE417" t="str">
        <f>""</f>
        <v/>
      </c>
      <c r="CF417" t="str">
        <f>""</f>
        <v/>
      </c>
      <c r="CG417" t="str">
        <f>""</f>
        <v/>
      </c>
      <c r="CH417" t="str">
        <f>""</f>
        <v/>
      </c>
      <c r="CI417" t="str">
        <f>""</f>
        <v/>
      </c>
      <c r="CJ417" t="str">
        <f>""</f>
        <v/>
      </c>
      <c r="CK417" t="str">
        <f>""</f>
        <v/>
      </c>
      <c r="CL417" t="str">
        <f>""</f>
        <v/>
      </c>
      <c r="CM417" t="str">
        <f>""</f>
        <v/>
      </c>
      <c r="CN417" t="str">
        <f>""</f>
        <v/>
      </c>
      <c r="CO417" t="str">
        <f>""</f>
        <v/>
      </c>
      <c r="CP417" t="str">
        <f>""</f>
        <v/>
      </c>
      <c r="CQ417" t="str">
        <f>""</f>
        <v/>
      </c>
      <c r="CR417" t="str">
        <f>""</f>
        <v/>
      </c>
      <c r="CS417" t="str">
        <f>""</f>
        <v/>
      </c>
      <c r="CT417" t="str">
        <f>""</f>
        <v/>
      </c>
      <c r="CU417" t="str">
        <f>""</f>
        <v/>
      </c>
      <c r="CV417" t="str">
        <f>""</f>
        <v/>
      </c>
      <c r="CW417" t="str">
        <f>""</f>
        <v/>
      </c>
      <c r="CX417" t="str">
        <f>""</f>
        <v/>
      </c>
      <c r="CY417" t="str">
        <f>""</f>
        <v/>
      </c>
      <c r="CZ417" t="str">
        <f>""</f>
        <v/>
      </c>
      <c r="DA417" t="str">
        <f>""</f>
        <v/>
      </c>
      <c r="DB417" t="str">
        <f>""</f>
        <v/>
      </c>
      <c r="DC417" t="str">
        <f>""</f>
        <v/>
      </c>
      <c r="DD417" t="str">
        <f>""</f>
        <v/>
      </c>
      <c r="DE417" t="str">
        <f>""</f>
        <v/>
      </c>
      <c r="DF417" t="str">
        <f>""</f>
        <v/>
      </c>
      <c r="DG417" t="str">
        <f>""</f>
        <v/>
      </c>
      <c r="DH417" t="str">
        <f>""</f>
        <v/>
      </c>
      <c r="DI417" t="str">
        <f>""</f>
        <v/>
      </c>
      <c r="DJ417" t="str">
        <f>""</f>
        <v/>
      </c>
      <c r="DK417" t="str">
        <f>""</f>
        <v/>
      </c>
      <c r="DL417" t="str">
        <f>""</f>
        <v/>
      </c>
      <c r="DM417" t="str">
        <f>""</f>
        <v/>
      </c>
      <c r="DN417" t="str">
        <f>""</f>
        <v/>
      </c>
      <c r="DO417" t="str">
        <f>""</f>
        <v/>
      </c>
      <c r="DP417" t="str">
        <f>""</f>
        <v/>
      </c>
      <c r="DQ417" t="str">
        <f>""</f>
        <v/>
      </c>
      <c r="DR417" t="str">
        <f>""</f>
        <v/>
      </c>
      <c r="DS417" t="str">
        <f>""</f>
        <v/>
      </c>
      <c r="DT417" t="str">
        <f>""</f>
        <v/>
      </c>
      <c r="DU417" t="str">
        <f>""</f>
        <v/>
      </c>
    </row>
    <row r="418" spans="1:125">
      <c r="A418" t="str">
        <f>$A$176</f>
        <v xml:space="preserve">    Healthcare Trust of America In</v>
      </c>
      <c r="B418" t="str">
        <f>$B$176</f>
        <v>HTA US Equity</v>
      </c>
      <c r="C418" t="str">
        <f>$C$176</f>
        <v>RR553</v>
      </c>
      <c r="D418" t="str">
        <f>$D$176</f>
        <v>EBITDA_RE_ASSET</v>
      </c>
      <c r="E418" t="str">
        <f>$E$176</f>
        <v>动态</v>
      </c>
      <c r="F418" t="str">
        <f ca="1">BDH($B$176,$C$176,$B$256,$B$257,CONCATENATE("Per=",$B$254),"Dts=H","Dir=H",CONCATENATE("Points=",$B$255),"Sort=R","Days=A","Fill=B",CONCATENATE("FX=", $B$253) )</f>
        <v>#N/A Authorization</v>
      </c>
      <c r="BN418" t="str">
        <f>""</f>
        <v/>
      </c>
      <c r="BO418" t="str">
        <f>""</f>
        <v/>
      </c>
      <c r="BP418" t="str">
        <f>""</f>
        <v/>
      </c>
      <c r="BQ418" t="str">
        <f>""</f>
        <v/>
      </c>
      <c r="BR418" t="str">
        <f>""</f>
        <v/>
      </c>
      <c r="BS418" t="str">
        <f>""</f>
        <v/>
      </c>
      <c r="BT418" t="str">
        <f>""</f>
        <v/>
      </c>
      <c r="BU418" t="str">
        <f>""</f>
        <v/>
      </c>
      <c r="BV418" t="str">
        <f>""</f>
        <v/>
      </c>
      <c r="BW418" t="str">
        <f>""</f>
        <v/>
      </c>
      <c r="BX418" t="str">
        <f>""</f>
        <v/>
      </c>
      <c r="BY418" t="str">
        <f>""</f>
        <v/>
      </c>
      <c r="BZ418" t="str">
        <f>""</f>
        <v/>
      </c>
      <c r="CA418" t="str">
        <f>""</f>
        <v/>
      </c>
      <c r="CB418" t="str">
        <f>""</f>
        <v/>
      </c>
      <c r="CC418" t="str">
        <f>""</f>
        <v/>
      </c>
      <c r="CD418" t="str">
        <f>""</f>
        <v/>
      </c>
      <c r="CE418" t="str">
        <f>""</f>
        <v/>
      </c>
      <c r="CF418" t="str">
        <f>""</f>
        <v/>
      </c>
      <c r="CG418" t="str">
        <f>""</f>
        <v/>
      </c>
      <c r="CH418" t="str">
        <f>""</f>
        <v/>
      </c>
      <c r="CI418" t="str">
        <f>""</f>
        <v/>
      </c>
      <c r="CJ418" t="str">
        <f>""</f>
        <v/>
      </c>
      <c r="CK418" t="str">
        <f>""</f>
        <v/>
      </c>
      <c r="CL418" t="str">
        <f>""</f>
        <v/>
      </c>
      <c r="CM418" t="str">
        <f>""</f>
        <v/>
      </c>
      <c r="CN418" t="str">
        <f>""</f>
        <v/>
      </c>
      <c r="CO418" t="str">
        <f>""</f>
        <v/>
      </c>
      <c r="CP418" t="str">
        <f>""</f>
        <v/>
      </c>
      <c r="CQ418" t="str">
        <f>""</f>
        <v/>
      </c>
      <c r="CR418" t="str">
        <f>""</f>
        <v/>
      </c>
      <c r="CS418" t="str">
        <f>""</f>
        <v/>
      </c>
      <c r="CT418" t="str">
        <f>""</f>
        <v/>
      </c>
      <c r="CU418" t="str">
        <f>""</f>
        <v/>
      </c>
      <c r="CV418" t="str">
        <f>""</f>
        <v/>
      </c>
      <c r="CW418" t="str">
        <f>""</f>
        <v/>
      </c>
      <c r="CX418" t="str">
        <f>""</f>
        <v/>
      </c>
      <c r="CY418" t="str">
        <f>""</f>
        <v/>
      </c>
      <c r="CZ418" t="str">
        <f>""</f>
        <v/>
      </c>
      <c r="DA418" t="str">
        <f>""</f>
        <v/>
      </c>
      <c r="DB418" t="str">
        <f>""</f>
        <v/>
      </c>
      <c r="DC418" t="str">
        <f>""</f>
        <v/>
      </c>
      <c r="DD418" t="str">
        <f>""</f>
        <v/>
      </c>
      <c r="DE418" t="str">
        <f>""</f>
        <v/>
      </c>
      <c r="DF418" t="str">
        <f>""</f>
        <v/>
      </c>
      <c r="DG418" t="str">
        <f>""</f>
        <v/>
      </c>
      <c r="DH418" t="str">
        <f>""</f>
        <v/>
      </c>
      <c r="DI418" t="str">
        <f>""</f>
        <v/>
      </c>
      <c r="DJ418" t="str">
        <f>""</f>
        <v/>
      </c>
      <c r="DK418" t="str">
        <f>""</f>
        <v/>
      </c>
      <c r="DL418" t="str">
        <f>""</f>
        <v/>
      </c>
      <c r="DM418" t="str">
        <f>""</f>
        <v/>
      </c>
      <c r="DN418" t="str">
        <f>""</f>
        <v/>
      </c>
      <c r="DO418" t="str">
        <f>""</f>
        <v/>
      </c>
      <c r="DP418" t="str">
        <f>""</f>
        <v/>
      </c>
      <c r="DQ418" t="str">
        <f>""</f>
        <v/>
      </c>
      <c r="DR418" t="str">
        <f>""</f>
        <v/>
      </c>
      <c r="DS418" t="str">
        <f>""</f>
        <v/>
      </c>
      <c r="DT418" t="str">
        <f>""</f>
        <v/>
      </c>
      <c r="DU418" t="str">
        <f>""</f>
        <v/>
      </c>
    </row>
    <row r="419" spans="1:125">
      <c r="A419" t="str">
        <f>$A$177</f>
        <v xml:space="preserve">    Medical Properties Trust Inc</v>
      </c>
      <c r="B419" t="str">
        <f>$B$177</f>
        <v>MPW US Equity</v>
      </c>
      <c r="C419" t="str">
        <f>$C$177</f>
        <v>RR553</v>
      </c>
      <c r="D419" t="str">
        <f>$D$177</f>
        <v>EBITDA_RE_ASSET</v>
      </c>
      <c r="E419" t="str">
        <f>$E$177</f>
        <v>动态</v>
      </c>
      <c r="F419" t="str">
        <f ca="1">BDH($B$177,$C$177,$B$256,$B$257,CONCATENATE("Per=",$B$254),"Dts=H","Dir=H",CONCATENATE("Points=",$B$255),"Sort=R","Days=A","Fill=B",CONCATENATE("FX=", $B$253) )</f>
        <v>#N/A Authorization</v>
      </c>
      <c r="BN419" t="str">
        <f>""</f>
        <v/>
      </c>
      <c r="BO419" t="str">
        <f>""</f>
        <v/>
      </c>
      <c r="BP419" t="str">
        <f>""</f>
        <v/>
      </c>
      <c r="BQ419" t="str">
        <f>""</f>
        <v/>
      </c>
      <c r="BR419" t="str">
        <f>""</f>
        <v/>
      </c>
      <c r="BS419" t="str">
        <f>""</f>
        <v/>
      </c>
      <c r="BT419" t="str">
        <f>""</f>
        <v/>
      </c>
      <c r="BU419" t="str">
        <f>""</f>
        <v/>
      </c>
      <c r="BV419" t="str">
        <f>""</f>
        <v/>
      </c>
      <c r="BW419" t="str">
        <f>""</f>
        <v/>
      </c>
      <c r="BX419" t="str">
        <f>""</f>
        <v/>
      </c>
      <c r="BY419" t="str">
        <f>""</f>
        <v/>
      </c>
      <c r="BZ419" t="str">
        <f>""</f>
        <v/>
      </c>
      <c r="CA419" t="str">
        <f>""</f>
        <v/>
      </c>
      <c r="CB419" t="str">
        <f>""</f>
        <v/>
      </c>
      <c r="CC419" t="str">
        <f>""</f>
        <v/>
      </c>
      <c r="CD419" t="str">
        <f>""</f>
        <v/>
      </c>
      <c r="CE419" t="str">
        <f>""</f>
        <v/>
      </c>
      <c r="CF419" t="str">
        <f>""</f>
        <v/>
      </c>
      <c r="CG419" t="str">
        <f>""</f>
        <v/>
      </c>
      <c r="CH419" t="str">
        <f>""</f>
        <v/>
      </c>
      <c r="CI419" t="str">
        <f>""</f>
        <v/>
      </c>
      <c r="CJ419" t="str">
        <f>""</f>
        <v/>
      </c>
      <c r="CK419" t="str">
        <f>""</f>
        <v/>
      </c>
      <c r="CL419" t="str">
        <f>""</f>
        <v/>
      </c>
      <c r="CM419" t="str">
        <f>""</f>
        <v/>
      </c>
      <c r="CN419" t="str">
        <f>""</f>
        <v/>
      </c>
      <c r="CO419" t="str">
        <f>""</f>
        <v/>
      </c>
      <c r="CP419" t="str">
        <f>""</f>
        <v/>
      </c>
      <c r="CQ419" t="str">
        <f>""</f>
        <v/>
      </c>
      <c r="CR419" t="str">
        <f>""</f>
        <v/>
      </c>
      <c r="CS419" t="str">
        <f>""</f>
        <v/>
      </c>
      <c r="CT419" t="str">
        <f>""</f>
        <v/>
      </c>
      <c r="CU419" t="str">
        <f>""</f>
        <v/>
      </c>
      <c r="CV419" t="str">
        <f>""</f>
        <v/>
      </c>
      <c r="CW419" t="str">
        <f>""</f>
        <v/>
      </c>
      <c r="CX419" t="str">
        <f>""</f>
        <v/>
      </c>
      <c r="CY419" t="str">
        <f>""</f>
        <v/>
      </c>
      <c r="CZ419" t="str">
        <f>""</f>
        <v/>
      </c>
      <c r="DA419" t="str">
        <f>""</f>
        <v/>
      </c>
      <c r="DB419" t="str">
        <f>""</f>
        <v/>
      </c>
      <c r="DC419" t="str">
        <f>""</f>
        <v/>
      </c>
      <c r="DD419" t="str">
        <f>""</f>
        <v/>
      </c>
      <c r="DE419" t="str">
        <f>""</f>
        <v/>
      </c>
      <c r="DF419" t="str">
        <f>""</f>
        <v/>
      </c>
      <c r="DG419" t="str">
        <f>""</f>
        <v/>
      </c>
      <c r="DH419" t="str">
        <f>""</f>
        <v/>
      </c>
      <c r="DI419" t="str">
        <f>""</f>
        <v/>
      </c>
      <c r="DJ419" t="str">
        <f>""</f>
        <v/>
      </c>
      <c r="DK419" t="str">
        <f>""</f>
        <v/>
      </c>
      <c r="DL419" t="str">
        <f>""</f>
        <v/>
      </c>
      <c r="DM419" t="str">
        <f>""</f>
        <v/>
      </c>
      <c r="DN419" t="str">
        <f>""</f>
        <v/>
      </c>
      <c r="DO419" t="str">
        <f>""</f>
        <v/>
      </c>
      <c r="DP419" t="str">
        <f>""</f>
        <v/>
      </c>
      <c r="DQ419" t="str">
        <f>""</f>
        <v/>
      </c>
      <c r="DR419" t="str">
        <f>""</f>
        <v/>
      </c>
      <c r="DS419" t="str">
        <f>""</f>
        <v/>
      </c>
      <c r="DT419" t="str">
        <f>""</f>
        <v/>
      </c>
      <c r="DU419" t="str">
        <f>""</f>
        <v/>
      </c>
    </row>
    <row r="420" spans="1:125">
      <c r="A420" t="str">
        <f>$A$178</f>
        <v xml:space="preserve">    Omega Healthcare Investors Inc</v>
      </c>
      <c r="B420" t="str">
        <f>$B$178</f>
        <v>OHI US Equity</v>
      </c>
      <c r="C420" t="str">
        <f>$C$178</f>
        <v>RR553</v>
      </c>
      <c r="D420" t="str">
        <f>$D$178</f>
        <v>EBITDA_RE_ASSET</v>
      </c>
      <c r="E420" t="str">
        <f>$E$178</f>
        <v>动态</v>
      </c>
      <c r="F420" t="str">
        <f ca="1">BDH($B$178,$C$178,$B$256,$B$257,CONCATENATE("Per=",$B$254),"Dts=H","Dir=H",CONCATENATE("Points=",$B$255),"Sort=R","Days=A","Fill=B",CONCATENATE("FX=", $B$253) )</f>
        <v>#N/A Authorization</v>
      </c>
      <c r="BN420" t="str">
        <f>""</f>
        <v/>
      </c>
      <c r="BO420" t="str">
        <f>""</f>
        <v/>
      </c>
      <c r="BP420" t="str">
        <f>""</f>
        <v/>
      </c>
      <c r="BQ420" t="str">
        <f>""</f>
        <v/>
      </c>
      <c r="BR420" t="str">
        <f>""</f>
        <v/>
      </c>
      <c r="BS420" t="str">
        <f>""</f>
        <v/>
      </c>
      <c r="BT420" t="str">
        <f>""</f>
        <v/>
      </c>
      <c r="BU420" t="str">
        <f>""</f>
        <v/>
      </c>
      <c r="BV420" t="str">
        <f>""</f>
        <v/>
      </c>
      <c r="BW420" t="str">
        <f>""</f>
        <v/>
      </c>
      <c r="BX420" t="str">
        <f>""</f>
        <v/>
      </c>
      <c r="BY420" t="str">
        <f>""</f>
        <v/>
      </c>
      <c r="BZ420" t="str">
        <f>""</f>
        <v/>
      </c>
      <c r="CA420" t="str">
        <f>""</f>
        <v/>
      </c>
      <c r="CB420" t="str">
        <f>""</f>
        <v/>
      </c>
      <c r="CC420" t="str">
        <f>""</f>
        <v/>
      </c>
      <c r="CD420" t="str">
        <f>""</f>
        <v/>
      </c>
      <c r="CE420" t="str">
        <f>""</f>
        <v/>
      </c>
      <c r="CF420" t="str">
        <f>""</f>
        <v/>
      </c>
      <c r="CG420" t="str">
        <f>""</f>
        <v/>
      </c>
      <c r="CH420" t="str">
        <f>""</f>
        <v/>
      </c>
      <c r="CI420" t="str">
        <f>""</f>
        <v/>
      </c>
      <c r="CJ420" t="str">
        <f>""</f>
        <v/>
      </c>
      <c r="CK420" t="str">
        <f>""</f>
        <v/>
      </c>
      <c r="CL420" t="str">
        <f>""</f>
        <v/>
      </c>
      <c r="CM420" t="str">
        <f>""</f>
        <v/>
      </c>
      <c r="CN420" t="str">
        <f>""</f>
        <v/>
      </c>
      <c r="CO420" t="str">
        <f>""</f>
        <v/>
      </c>
      <c r="CP420" t="str">
        <f>""</f>
        <v/>
      </c>
      <c r="CQ420" t="str">
        <f>""</f>
        <v/>
      </c>
      <c r="CR420" t="str">
        <f>""</f>
        <v/>
      </c>
      <c r="CS420" t="str">
        <f>""</f>
        <v/>
      </c>
      <c r="CT420" t="str">
        <f>""</f>
        <v/>
      </c>
      <c r="CU420" t="str">
        <f>""</f>
        <v/>
      </c>
      <c r="CV420" t="str">
        <f>""</f>
        <v/>
      </c>
      <c r="CW420" t="str">
        <f>""</f>
        <v/>
      </c>
      <c r="CX420" t="str">
        <f>""</f>
        <v/>
      </c>
      <c r="CY420" t="str">
        <f>""</f>
        <v/>
      </c>
      <c r="CZ420" t="str">
        <f>""</f>
        <v/>
      </c>
      <c r="DA420" t="str">
        <f>""</f>
        <v/>
      </c>
      <c r="DB420" t="str">
        <f>""</f>
        <v/>
      </c>
      <c r="DC420" t="str">
        <f>""</f>
        <v/>
      </c>
      <c r="DD420" t="str">
        <f>""</f>
        <v/>
      </c>
      <c r="DE420" t="str">
        <f>""</f>
        <v/>
      </c>
      <c r="DF420" t="str">
        <f>""</f>
        <v/>
      </c>
      <c r="DG420" t="str">
        <f>""</f>
        <v/>
      </c>
      <c r="DH420" t="str">
        <f>""</f>
        <v/>
      </c>
      <c r="DI420" t="str">
        <f>""</f>
        <v/>
      </c>
      <c r="DJ420" t="str">
        <f>""</f>
        <v/>
      </c>
      <c r="DK420" t="str">
        <f>""</f>
        <v/>
      </c>
      <c r="DL420" t="str">
        <f>""</f>
        <v/>
      </c>
      <c r="DM420" t="str">
        <f>""</f>
        <v/>
      </c>
      <c r="DN420" t="str">
        <f>""</f>
        <v/>
      </c>
      <c r="DO420" t="str">
        <f>""</f>
        <v/>
      </c>
      <c r="DP420" t="str">
        <f>""</f>
        <v/>
      </c>
      <c r="DQ420" t="str">
        <f>""</f>
        <v/>
      </c>
      <c r="DR420" t="str">
        <f>""</f>
        <v/>
      </c>
      <c r="DS420" t="str">
        <f>""</f>
        <v/>
      </c>
      <c r="DT420" t="str">
        <f>""</f>
        <v/>
      </c>
      <c r="DU420" t="str">
        <f>""</f>
        <v/>
      </c>
    </row>
    <row r="421" spans="1:125">
      <c r="A421" t="str">
        <f>$A$179</f>
        <v xml:space="preserve">    Sabra Health Care REIT Inc</v>
      </c>
      <c r="B421" t="str">
        <f>$B$179</f>
        <v>SBRA US Equity</v>
      </c>
      <c r="C421" t="str">
        <f>$C$179</f>
        <v>RR553</v>
      </c>
      <c r="D421" t="str">
        <f>$D$179</f>
        <v>EBITDA_RE_ASSET</v>
      </c>
      <c r="E421" t="str">
        <f>$E$179</f>
        <v>动态</v>
      </c>
      <c r="F421" t="str">
        <f ca="1">BDH($B$179,$C$179,$B$256,$B$257,CONCATENATE("Per=",$B$254),"Dts=H","Dir=H",CONCATENATE("Points=",$B$255),"Sort=R","Days=A","Fill=B",CONCATENATE("FX=", $B$253) )</f>
        <v>#N/A Authorization</v>
      </c>
      <c r="BN421" t="str">
        <f>""</f>
        <v/>
      </c>
      <c r="BO421" t="str">
        <f>""</f>
        <v/>
      </c>
      <c r="BP421" t="str">
        <f>""</f>
        <v/>
      </c>
      <c r="BQ421" t="str">
        <f>""</f>
        <v/>
      </c>
      <c r="BR421" t="str">
        <f>""</f>
        <v/>
      </c>
      <c r="BS421" t="str">
        <f>""</f>
        <v/>
      </c>
      <c r="BT421" t="str">
        <f>""</f>
        <v/>
      </c>
      <c r="BU421" t="str">
        <f>""</f>
        <v/>
      </c>
      <c r="BV421" t="str">
        <f>""</f>
        <v/>
      </c>
      <c r="BW421" t="str">
        <f>""</f>
        <v/>
      </c>
      <c r="BX421" t="str">
        <f>""</f>
        <v/>
      </c>
      <c r="BY421" t="str">
        <f>""</f>
        <v/>
      </c>
      <c r="BZ421" t="str">
        <f>""</f>
        <v/>
      </c>
      <c r="CA421" t="str">
        <f>""</f>
        <v/>
      </c>
      <c r="CB421" t="str">
        <f>""</f>
        <v/>
      </c>
      <c r="CC421" t="str">
        <f>""</f>
        <v/>
      </c>
      <c r="CD421" t="str">
        <f>""</f>
        <v/>
      </c>
      <c r="CE421" t="str">
        <f>""</f>
        <v/>
      </c>
      <c r="CF421" t="str">
        <f>""</f>
        <v/>
      </c>
      <c r="CG421" t="str">
        <f>""</f>
        <v/>
      </c>
      <c r="CH421" t="str">
        <f>""</f>
        <v/>
      </c>
      <c r="CI421" t="str">
        <f>""</f>
        <v/>
      </c>
      <c r="CJ421" t="str">
        <f>""</f>
        <v/>
      </c>
      <c r="CK421" t="str">
        <f>""</f>
        <v/>
      </c>
      <c r="CL421" t="str">
        <f>""</f>
        <v/>
      </c>
      <c r="CM421" t="str">
        <f>""</f>
        <v/>
      </c>
      <c r="CN421" t="str">
        <f>""</f>
        <v/>
      </c>
      <c r="CO421" t="str">
        <f>""</f>
        <v/>
      </c>
      <c r="CP421" t="str">
        <f>""</f>
        <v/>
      </c>
      <c r="CQ421" t="str">
        <f>""</f>
        <v/>
      </c>
      <c r="CR421" t="str">
        <f>""</f>
        <v/>
      </c>
      <c r="CS421" t="str">
        <f>""</f>
        <v/>
      </c>
      <c r="CT421" t="str">
        <f>""</f>
        <v/>
      </c>
      <c r="CU421" t="str">
        <f>""</f>
        <v/>
      </c>
      <c r="CV421" t="str">
        <f>""</f>
        <v/>
      </c>
      <c r="CW421" t="str">
        <f>""</f>
        <v/>
      </c>
      <c r="CX421" t="str">
        <f>""</f>
        <v/>
      </c>
      <c r="CY421" t="str">
        <f>""</f>
        <v/>
      </c>
      <c r="CZ421" t="str">
        <f>""</f>
        <v/>
      </c>
      <c r="DA421" t="str">
        <f>""</f>
        <v/>
      </c>
      <c r="DB421" t="str">
        <f>""</f>
        <v/>
      </c>
      <c r="DC421" t="str">
        <f>""</f>
        <v/>
      </c>
      <c r="DD421" t="str">
        <f>""</f>
        <v/>
      </c>
      <c r="DE421" t="str">
        <f>""</f>
        <v/>
      </c>
      <c r="DF421" t="str">
        <f>""</f>
        <v/>
      </c>
      <c r="DG421" t="str">
        <f>""</f>
        <v/>
      </c>
      <c r="DH421" t="str">
        <f>""</f>
        <v/>
      </c>
      <c r="DI421" t="str">
        <f>""</f>
        <v/>
      </c>
      <c r="DJ421" t="str">
        <f>""</f>
        <v/>
      </c>
      <c r="DK421" t="str">
        <f>""</f>
        <v/>
      </c>
      <c r="DL421" t="str">
        <f>""</f>
        <v/>
      </c>
      <c r="DM421" t="str">
        <f>""</f>
        <v/>
      </c>
      <c r="DN421" t="str">
        <f>""</f>
        <v/>
      </c>
      <c r="DO421" t="str">
        <f>""</f>
        <v/>
      </c>
      <c r="DP421" t="str">
        <f>""</f>
        <v/>
      </c>
      <c r="DQ421" t="str">
        <f>""</f>
        <v/>
      </c>
      <c r="DR421" t="str">
        <f>""</f>
        <v/>
      </c>
      <c r="DS421" t="str">
        <f>""</f>
        <v/>
      </c>
      <c r="DT421" t="str">
        <f>""</f>
        <v/>
      </c>
      <c r="DU421" t="str">
        <f>""</f>
        <v/>
      </c>
    </row>
    <row r="422" spans="1:125">
      <c r="A422" t="str">
        <f>$A$180</f>
        <v xml:space="preserve">    Senior Housing Properties Trus</v>
      </c>
      <c r="B422" t="str">
        <f>$B$180</f>
        <v>SNH US Equity</v>
      </c>
      <c r="C422" t="str">
        <f>$C$180</f>
        <v>RR553</v>
      </c>
      <c r="D422" t="str">
        <f>$D$180</f>
        <v>EBITDA_RE_ASSET</v>
      </c>
      <c r="E422" t="str">
        <f>$E$180</f>
        <v>动态</v>
      </c>
      <c r="F422" t="str">
        <f ca="1">BDH($B$180,$C$180,$B$256,$B$257,CONCATENATE("Per=",$B$254),"Dts=H","Dir=H",CONCATENATE("Points=",$B$255),"Sort=R","Days=A","Fill=B",CONCATENATE("FX=", $B$253) )</f>
        <v>#N/A Authorization</v>
      </c>
      <c r="BN422" t="str">
        <f>""</f>
        <v/>
      </c>
      <c r="BO422" t="str">
        <f>""</f>
        <v/>
      </c>
      <c r="BP422" t="str">
        <f>""</f>
        <v/>
      </c>
      <c r="BQ422" t="str">
        <f>""</f>
        <v/>
      </c>
      <c r="BR422" t="str">
        <f>""</f>
        <v/>
      </c>
      <c r="BS422" t="str">
        <f>""</f>
        <v/>
      </c>
      <c r="BT422" t="str">
        <f>""</f>
        <v/>
      </c>
      <c r="BU422" t="str">
        <f>""</f>
        <v/>
      </c>
      <c r="BV422" t="str">
        <f>""</f>
        <v/>
      </c>
      <c r="BW422" t="str">
        <f>""</f>
        <v/>
      </c>
      <c r="BX422" t="str">
        <f>""</f>
        <v/>
      </c>
      <c r="BY422" t="str">
        <f>""</f>
        <v/>
      </c>
      <c r="BZ422" t="str">
        <f>""</f>
        <v/>
      </c>
      <c r="CA422" t="str">
        <f>""</f>
        <v/>
      </c>
      <c r="CB422" t="str">
        <f>""</f>
        <v/>
      </c>
      <c r="CC422" t="str">
        <f>""</f>
        <v/>
      </c>
      <c r="CD422" t="str">
        <f>""</f>
        <v/>
      </c>
      <c r="CE422" t="str">
        <f>""</f>
        <v/>
      </c>
      <c r="CF422" t="str">
        <f>""</f>
        <v/>
      </c>
      <c r="CG422" t="str">
        <f>""</f>
        <v/>
      </c>
      <c r="CH422" t="str">
        <f>""</f>
        <v/>
      </c>
      <c r="CI422" t="str">
        <f>""</f>
        <v/>
      </c>
      <c r="CJ422" t="str">
        <f>""</f>
        <v/>
      </c>
      <c r="CK422" t="str">
        <f>""</f>
        <v/>
      </c>
      <c r="CL422" t="str">
        <f>""</f>
        <v/>
      </c>
      <c r="CM422" t="str">
        <f>""</f>
        <v/>
      </c>
      <c r="CN422" t="str">
        <f>""</f>
        <v/>
      </c>
      <c r="CO422" t="str">
        <f>""</f>
        <v/>
      </c>
      <c r="CP422" t="str">
        <f>""</f>
        <v/>
      </c>
      <c r="CQ422" t="str">
        <f>""</f>
        <v/>
      </c>
      <c r="CR422" t="str">
        <f>""</f>
        <v/>
      </c>
      <c r="CS422" t="str">
        <f>""</f>
        <v/>
      </c>
      <c r="CT422" t="str">
        <f>""</f>
        <v/>
      </c>
      <c r="CU422" t="str">
        <f>""</f>
        <v/>
      </c>
      <c r="CV422" t="str">
        <f>""</f>
        <v/>
      </c>
      <c r="CW422" t="str">
        <f>""</f>
        <v/>
      </c>
      <c r="CX422" t="str">
        <f>""</f>
        <v/>
      </c>
      <c r="CY422" t="str">
        <f>""</f>
        <v/>
      </c>
      <c r="CZ422" t="str">
        <f>""</f>
        <v/>
      </c>
      <c r="DA422" t="str">
        <f>""</f>
        <v/>
      </c>
      <c r="DB422" t="str">
        <f>""</f>
        <v/>
      </c>
      <c r="DC422" t="str">
        <f>""</f>
        <v/>
      </c>
      <c r="DD422" t="str">
        <f>""</f>
        <v/>
      </c>
      <c r="DE422" t="str">
        <f>""</f>
        <v/>
      </c>
      <c r="DF422" t="str">
        <f>""</f>
        <v/>
      </c>
      <c r="DG422" t="str">
        <f>""</f>
        <v/>
      </c>
      <c r="DH422" t="str">
        <f>""</f>
        <v/>
      </c>
      <c r="DI422" t="str">
        <f>""</f>
        <v/>
      </c>
      <c r="DJ422" t="str">
        <f>""</f>
        <v/>
      </c>
      <c r="DK422" t="str">
        <f>""</f>
        <v/>
      </c>
      <c r="DL422" t="str">
        <f>""</f>
        <v/>
      </c>
      <c r="DM422" t="str">
        <f>""</f>
        <v/>
      </c>
      <c r="DN422" t="str">
        <f>""</f>
        <v/>
      </c>
      <c r="DO422" t="str">
        <f>""</f>
        <v/>
      </c>
      <c r="DP422" t="str">
        <f>""</f>
        <v/>
      </c>
      <c r="DQ422" t="str">
        <f>""</f>
        <v/>
      </c>
      <c r="DR422" t="str">
        <f>""</f>
        <v/>
      </c>
      <c r="DS422" t="str">
        <f>""</f>
        <v/>
      </c>
      <c r="DT422" t="str">
        <f>""</f>
        <v/>
      </c>
      <c r="DU422" t="str">
        <f>""</f>
        <v/>
      </c>
    </row>
    <row r="423" spans="1:125">
      <c r="A423" t="str">
        <f>$A$181</f>
        <v xml:space="preserve">    Ventas Inc</v>
      </c>
      <c r="B423" t="str">
        <f>$B$181</f>
        <v>VTR US Equity</v>
      </c>
      <c r="C423" t="str">
        <f>$C$181</f>
        <v>RR553</v>
      </c>
      <c r="D423" t="str">
        <f>$D$181</f>
        <v>EBITDA_RE_ASSET</v>
      </c>
      <c r="E423" t="str">
        <f>$E$181</f>
        <v>动态</v>
      </c>
      <c r="F423" t="str">
        <f ca="1">BDH($B$181,$C$181,$B$256,$B$257,CONCATENATE("Per=",$B$254),"Dts=H","Dir=H",CONCATENATE("Points=",$B$255),"Sort=R","Days=A","Fill=B",CONCATENATE("FX=", $B$253) )</f>
        <v>#N/A Authorization</v>
      </c>
      <c r="BN423" t="str">
        <f>""</f>
        <v/>
      </c>
      <c r="BO423" t="str">
        <f>""</f>
        <v/>
      </c>
      <c r="BP423" t="str">
        <f>""</f>
        <v/>
      </c>
      <c r="BQ423" t="str">
        <f>""</f>
        <v/>
      </c>
      <c r="BR423" t="str">
        <f>""</f>
        <v/>
      </c>
      <c r="BS423" t="str">
        <f>""</f>
        <v/>
      </c>
      <c r="BT423" t="str">
        <f>""</f>
        <v/>
      </c>
      <c r="BU423" t="str">
        <f>""</f>
        <v/>
      </c>
      <c r="BV423" t="str">
        <f>""</f>
        <v/>
      </c>
      <c r="BW423" t="str">
        <f>""</f>
        <v/>
      </c>
      <c r="BX423" t="str">
        <f>""</f>
        <v/>
      </c>
      <c r="BY423" t="str">
        <f>""</f>
        <v/>
      </c>
      <c r="BZ423" t="str">
        <f>""</f>
        <v/>
      </c>
      <c r="CA423" t="str">
        <f>""</f>
        <v/>
      </c>
      <c r="CB423" t="str">
        <f>""</f>
        <v/>
      </c>
      <c r="CC423" t="str">
        <f>""</f>
        <v/>
      </c>
      <c r="CD423" t="str">
        <f>""</f>
        <v/>
      </c>
      <c r="CE423" t="str">
        <f>""</f>
        <v/>
      </c>
      <c r="CF423" t="str">
        <f>""</f>
        <v/>
      </c>
      <c r="CG423" t="str">
        <f>""</f>
        <v/>
      </c>
      <c r="CH423" t="str">
        <f>""</f>
        <v/>
      </c>
      <c r="CI423" t="str">
        <f>""</f>
        <v/>
      </c>
      <c r="CJ423" t="str">
        <f>""</f>
        <v/>
      </c>
      <c r="CK423" t="str">
        <f>""</f>
        <v/>
      </c>
      <c r="CL423" t="str">
        <f>""</f>
        <v/>
      </c>
      <c r="CM423" t="str">
        <f>""</f>
        <v/>
      </c>
      <c r="CN423" t="str">
        <f>""</f>
        <v/>
      </c>
      <c r="CO423" t="str">
        <f>""</f>
        <v/>
      </c>
      <c r="CP423" t="str">
        <f>""</f>
        <v/>
      </c>
      <c r="CQ423" t="str">
        <f>""</f>
        <v/>
      </c>
      <c r="CR423" t="str">
        <f>""</f>
        <v/>
      </c>
      <c r="CS423" t="str">
        <f>""</f>
        <v/>
      </c>
      <c r="CT423" t="str">
        <f>""</f>
        <v/>
      </c>
      <c r="CU423" t="str">
        <f>""</f>
        <v/>
      </c>
      <c r="CV423" t="str">
        <f>""</f>
        <v/>
      </c>
      <c r="CW423" t="str">
        <f>""</f>
        <v/>
      </c>
      <c r="CX423" t="str">
        <f>""</f>
        <v/>
      </c>
      <c r="CY423" t="str">
        <f>""</f>
        <v/>
      </c>
      <c r="CZ423" t="str">
        <f>""</f>
        <v/>
      </c>
      <c r="DA423" t="str">
        <f>""</f>
        <v/>
      </c>
      <c r="DB423" t="str">
        <f>""</f>
        <v/>
      </c>
      <c r="DC423" t="str">
        <f>""</f>
        <v/>
      </c>
      <c r="DD423" t="str">
        <f>""</f>
        <v/>
      </c>
      <c r="DE423" t="str">
        <f>""</f>
        <v/>
      </c>
      <c r="DF423" t="str">
        <f>""</f>
        <v/>
      </c>
      <c r="DG423" t="str">
        <f>""</f>
        <v/>
      </c>
      <c r="DH423" t="str">
        <f>""</f>
        <v/>
      </c>
      <c r="DI423" t="str">
        <f>""</f>
        <v/>
      </c>
      <c r="DJ423" t="str">
        <f>""</f>
        <v/>
      </c>
      <c r="DK423" t="str">
        <f>""</f>
        <v/>
      </c>
      <c r="DL423" t="str">
        <f>""</f>
        <v/>
      </c>
      <c r="DM423" t="str">
        <f>""</f>
        <v/>
      </c>
      <c r="DN423" t="str">
        <f>""</f>
        <v/>
      </c>
      <c r="DO423" t="str">
        <f>""</f>
        <v/>
      </c>
      <c r="DP423" t="str">
        <f>""</f>
        <v/>
      </c>
      <c r="DQ423" t="str">
        <f>""</f>
        <v/>
      </c>
      <c r="DR423" t="str">
        <f>""</f>
        <v/>
      </c>
      <c r="DS423" t="str">
        <f>""</f>
        <v/>
      </c>
      <c r="DT423" t="str">
        <f>""</f>
        <v/>
      </c>
      <c r="DU423" t="str">
        <f>""</f>
        <v/>
      </c>
    </row>
    <row r="424" spans="1:125">
      <c r="A424" t="str">
        <f>$A$182</f>
        <v xml:space="preserve">    Welltower Inc</v>
      </c>
      <c r="B424" t="str">
        <f>$B$182</f>
        <v>HCN US Equity</v>
      </c>
      <c r="C424" t="str">
        <f>$C$182</f>
        <v>RR553</v>
      </c>
      <c r="D424" t="str">
        <f>$D$182</f>
        <v>EBITDA_RE_ASSET</v>
      </c>
      <c r="E424" t="str">
        <f>$E$182</f>
        <v>动态</v>
      </c>
      <c r="F424" t="str">
        <f ca="1">BDH($B$182,$C$182,$B$256,$B$257,CONCATENATE("Per=",$B$254),"Dts=H","Dir=H",CONCATENATE("Points=",$B$255),"Sort=R","Days=A","Fill=B",CONCATENATE("FX=", $B$253) )</f>
        <v>#N/A Authorization</v>
      </c>
      <c r="BN424" t="str">
        <f>""</f>
        <v/>
      </c>
      <c r="BO424" t="str">
        <f>""</f>
        <v/>
      </c>
      <c r="BP424" t="str">
        <f>""</f>
        <v/>
      </c>
      <c r="BQ424" t="str">
        <f>""</f>
        <v/>
      </c>
      <c r="BR424" t="str">
        <f>""</f>
        <v/>
      </c>
      <c r="BS424" t="str">
        <f>""</f>
        <v/>
      </c>
      <c r="BT424" t="str">
        <f>""</f>
        <v/>
      </c>
      <c r="BU424" t="str">
        <f>""</f>
        <v/>
      </c>
      <c r="BV424" t="str">
        <f>""</f>
        <v/>
      </c>
      <c r="BW424" t="str">
        <f>""</f>
        <v/>
      </c>
      <c r="BX424" t="str">
        <f>""</f>
        <v/>
      </c>
      <c r="BY424" t="str">
        <f>""</f>
        <v/>
      </c>
      <c r="BZ424" t="str">
        <f>""</f>
        <v/>
      </c>
      <c r="CA424" t="str">
        <f>""</f>
        <v/>
      </c>
      <c r="CB424" t="str">
        <f>""</f>
        <v/>
      </c>
      <c r="CC424" t="str">
        <f>""</f>
        <v/>
      </c>
      <c r="CD424" t="str">
        <f>""</f>
        <v/>
      </c>
      <c r="CE424" t="str">
        <f>""</f>
        <v/>
      </c>
      <c r="CF424" t="str">
        <f>""</f>
        <v/>
      </c>
      <c r="CG424" t="str">
        <f>""</f>
        <v/>
      </c>
      <c r="CH424" t="str">
        <f>""</f>
        <v/>
      </c>
      <c r="CI424" t="str">
        <f>""</f>
        <v/>
      </c>
      <c r="CJ424" t="str">
        <f>""</f>
        <v/>
      </c>
      <c r="CK424" t="str">
        <f>""</f>
        <v/>
      </c>
      <c r="CL424" t="str">
        <f>""</f>
        <v/>
      </c>
      <c r="CM424" t="str">
        <f>""</f>
        <v/>
      </c>
      <c r="CN424" t="str">
        <f>""</f>
        <v/>
      </c>
      <c r="CO424" t="str">
        <f>""</f>
        <v/>
      </c>
      <c r="CP424" t="str">
        <f>""</f>
        <v/>
      </c>
      <c r="CQ424" t="str">
        <f>""</f>
        <v/>
      </c>
      <c r="CR424" t="str">
        <f>""</f>
        <v/>
      </c>
      <c r="CS424" t="str">
        <f>""</f>
        <v/>
      </c>
      <c r="CT424" t="str">
        <f>""</f>
        <v/>
      </c>
      <c r="CU424" t="str">
        <f>""</f>
        <v/>
      </c>
      <c r="CV424" t="str">
        <f>""</f>
        <v/>
      </c>
      <c r="CW424" t="str">
        <f>""</f>
        <v/>
      </c>
      <c r="CX424" t="str">
        <f>""</f>
        <v/>
      </c>
      <c r="CY424" t="str">
        <f>""</f>
        <v/>
      </c>
      <c r="CZ424" t="str">
        <f>""</f>
        <v/>
      </c>
      <c r="DA424" t="str">
        <f>""</f>
        <v/>
      </c>
      <c r="DB424" t="str">
        <f>""</f>
        <v/>
      </c>
      <c r="DC424" t="str">
        <f>""</f>
        <v/>
      </c>
      <c r="DD424" t="str">
        <f>""</f>
        <v/>
      </c>
      <c r="DE424" t="str">
        <f>""</f>
        <v/>
      </c>
      <c r="DF424" t="str">
        <f>""</f>
        <v/>
      </c>
      <c r="DG424" t="str">
        <f>""</f>
        <v/>
      </c>
      <c r="DH424" t="str">
        <f>""</f>
        <v/>
      </c>
      <c r="DI424" t="str">
        <f>""</f>
        <v/>
      </c>
      <c r="DJ424" t="str">
        <f>""</f>
        <v/>
      </c>
      <c r="DK424" t="str">
        <f>""</f>
        <v/>
      </c>
      <c r="DL424" t="str">
        <f>""</f>
        <v/>
      </c>
      <c r="DM424" t="str">
        <f>""</f>
        <v/>
      </c>
      <c r="DN424" t="str">
        <f>""</f>
        <v/>
      </c>
      <c r="DO424" t="str">
        <f>""</f>
        <v/>
      </c>
      <c r="DP424" t="str">
        <f>""</f>
        <v/>
      </c>
      <c r="DQ424" t="str">
        <f>""</f>
        <v/>
      </c>
      <c r="DR424" t="str">
        <f>""</f>
        <v/>
      </c>
      <c r="DS424" t="str">
        <f>""</f>
        <v/>
      </c>
      <c r="DT424" t="str">
        <f>""</f>
        <v/>
      </c>
      <c r="DU424" t="str">
        <f>""</f>
        <v/>
      </c>
    </row>
    <row r="425" spans="1:125">
      <c r="A425" t="str">
        <f>$A$184</f>
        <v xml:space="preserve">    Alexandria Real Estate Equitie</v>
      </c>
      <c r="B425" t="str">
        <f>$B$184</f>
        <v>ARE US Equity</v>
      </c>
      <c r="C425" t="str">
        <f>$C$184</f>
        <v>RR554</v>
      </c>
      <c r="D425" t="str">
        <f>$D$184</f>
        <v>FFO_RE_ASSET</v>
      </c>
      <c r="E425" t="str">
        <f>$E$184</f>
        <v>动态</v>
      </c>
      <c r="F425" t="str">
        <f ca="1">BDH($B$184,$C$184,$B$256,$B$257,CONCATENATE("Per=",$B$254),"Dts=H","Dir=H",CONCATENATE("Points=",$B$255),"Sort=R","Days=A","Fill=B",CONCATENATE("FX=", $B$253) )</f>
        <v>#N/A Authorization</v>
      </c>
      <c r="BN425" t="str">
        <f>""</f>
        <v/>
      </c>
      <c r="BO425" t="str">
        <f>""</f>
        <v/>
      </c>
      <c r="BP425" t="str">
        <f>""</f>
        <v/>
      </c>
      <c r="BQ425" t="str">
        <f>""</f>
        <v/>
      </c>
      <c r="BR425" t="str">
        <f>""</f>
        <v/>
      </c>
      <c r="BS425" t="str">
        <f>""</f>
        <v/>
      </c>
      <c r="BT425" t="str">
        <f>""</f>
        <v/>
      </c>
      <c r="BU425" t="str">
        <f>""</f>
        <v/>
      </c>
      <c r="BV425" t="str">
        <f>""</f>
        <v/>
      </c>
      <c r="BW425" t="str">
        <f>""</f>
        <v/>
      </c>
      <c r="BX425" t="str">
        <f>""</f>
        <v/>
      </c>
      <c r="BY425" t="str">
        <f>""</f>
        <v/>
      </c>
      <c r="BZ425" t="str">
        <f>""</f>
        <v/>
      </c>
      <c r="CA425" t="str">
        <f>""</f>
        <v/>
      </c>
      <c r="CB425" t="str">
        <f>""</f>
        <v/>
      </c>
      <c r="CC425" t="str">
        <f>""</f>
        <v/>
      </c>
      <c r="CD425" t="str">
        <f>""</f>
        <v/>
      </c>
      <c r="CE425" t="str">
        <f>""</f>
        <v/>
      </c>
      <c r="CF425" t="str">
        <f>""</f>
        <v/>
      </c>
      <c r="CG425" t="str">
        <f>""</f>
        <v/>
      </c>
      <c r="CH425" t="str">
        <f>""</f>
        <v/>
      </c>
      <c r="CI425" t="str">
        <f>""</f>
        <v/>
      </c>
      <c r="CJ425" t="str">
        <f>""</f>
        <v/>
      </c>
      <c r="CK425" t="str">
        <f>""</f>
        <v/>
      </c>
      <c r="CL425" t="str">
        <f>""</f>
        <v/>
      </c>
      <c r="CM425" t="str">
        <f>""</f>
        <v/>
      </c>
      <c r="CN425" t="str">
        <f>""</f>
        <v/>
      </c>
      <c r="CO425" t="str">
        <f>""</f>
        <v/>
      </c>
      <c r="CP425" t="str">
        <f>""</f>
        <v/>
      </c>
      <c r="CQ425" t="str">
        <f>""</f>
        <v/>
      </c>
      <c r="CR425" t="str">
        <f>""</f>
        <v/>
      </c>
      <c r="CS425" t="str">
        <f>""</f>
        <v/>
      </c>
      <c r="CT425" t="str">
        <f>""</f>
        <v/>
      </c>
      <c r="CU425" t="str">
        <f>""</f>
        <v/>
      </c>
      <c r="CV425" t="str">
        <f>""</f>
        <v/>
      </c>
      <c r="CW425" t="str">
        <f>""</f>
        <v/>
      </c>
      <c r="CX425" t="str">
        <f>""</f>
        <v/>
      </c>
      <c r="CY425" t="str">
        <f>""</f>
        <v/>
      </c>
      <c r="CZ425" t="str">
        <f>""</f>
        <v/>
      </c>
      <c r="DA425" t="str">
        <f>""</f>
        <v/>
      </c>
      <c r="DB425" t="str">
        <f>""</f>
        <v/>
      </c>
      <c r="DC425" t="str">
        <f>""</f>
        <v/>
      </c>
      <c r="DD425" t="str">
        <f>""</f>
        <v/>
      </c>
      <c r="DE425" t="str">
        <f>""</f>
        <v/>
      </c>
      <c r="DF425" t="str">
        <f>""</f>
        <v/>
      </c>
      <c r="DG425" t="str">
        <f>""</f>
        <v/>
      </c>
      <c r="DH425" t="str">
        <f>""</f>
        <v/>
      </c>
      <c r="DI425" t="str">
        <f>""</f>
        <v/>
      </c>
      <c r="DJ425" t="str">
        <f>""</f>
        <v/>
      </c>
      <c r="DK425" t="str">
        <f>""</f>
        <v/>
      </c>
      <c r="DL425" t="str">
        <f>""</f>
        <v/>
      </c>
      <c r="DM425" t="str">
        <f>""</f>
        <v/>
      </c>
      <c r="DN425" t="str">
        <f>""</f>
        <v/>
      </c>
      <c r="DO425" t="str">
        <f>""</f>
        <v/>
      </c>
      <c r="DP425" t="str">
        <f>""</f>
        <v/>
      </c>
      <c r="DQ425" t="str">
        <f>""</f>
        <v/>
      </c>
      <c r="DR425" t="str">
        <f>""</f>
        <v/>
      </c>
      <c r="DS425" t="str">
        <f>""</f>
        <v/>
      </c>
      <c r="DT425" t="str">
        <f>""</f>
        <v/>
      </c>
      <c r="DU425" t="str">
        <f>""</f>
        <v/>
      </c>
    </row>
    <row r="426" spans="1:125">
      <c r="A426" t="str">
        <f>$A$185</f>
        <v xml:space="preserve">    Care Capital Properties Inc</v>
      </c>
      <c r="B426" t="str">
        <f>$B$185</f>
        <v>CCP US Equity</v>
      </c>
      <c r="C426" t="str">
        <f>$C$185</f>
        <v>RR554</v>
      </c>
      <c r="D426" t="str">
        <f>$D$185</f>
        <v>FFO_RE_ASSET</v>
      </c>
      <c r="E426" t="str">
        <f>$E$185</f>
        <v>动态</v>
      </c>
      <c r="F426" t="str">
        <f ca="1">BDH($B$185,$C$185,$B$256,$B$257,CONCATENATE("Per=",$B$254),"Dts=H","Dir=H",CONCATENATE("Points=",$B$255),"Sort=R","Days=A","Fill=B",CONCATENATE("FX=", $B$253) )</f>
        <v>#N/A Authorization</v>
      </c>
      <c r="BN426" t="str">
        <f>""</f>
        <v/>
      </c>
      <c r="BO426" t="str">
        <f>""</f>
        <v/>
      </c>
      <c r="BP426" t="str">
        <f>""</f>
        <v/>
      </c>
      <c r="BQ426" t="str">
        <f>""</f>
        <v/>
      </c>
      <c r="BR426" t="str">
        <f>""</f>
        <v/>
      </c>
      <c r="BS426" t="str">
        <f>""</f>
        <v/>
      </c>
      <c r="BT426" t="str">
        <f>""</f>
        <v/>
      </c>
      <c r="BU426" t="str">
        <f>""</f>
        <v/>
      </c>
      <c r="BV426" t="str">
        <f>""</f>
        <v/>
      </c>
      <c r="BW426" t="str">
        <f>""</f>
        <v/>
      </c>
      <c r="BX426" t="str">
        <f>""</f>
        <v/>
      </c>
      <c r="BY426" t="str">
        <f>""</f>
        <v/>
      </c>
      <c r="BZ426" t="str">
        <f>""</f>
        <v/>
      </c>
      <c r="CA426" t="str">
        <f>""</f>
        <v/>
      </c>
      <c r="CB426" t="str">
        <f>""</f>
        <v/>
      </c>
      <c r="CC426" t="str">
        <f>""</f>
        <v/>
      </c>
      <c r="CD426" t="str">
        <f>""</f>
        <v/>
      </c>
      <c r="CE426" t="str">
        <f>""</f>
        <v/>
      </c>
      <c r="CF426" t="str">
        <f>""</f>
        <v/>
      </c>
      <c r="CG426" t="str">
        <f>""</f>
        <v/>
      </c>
      <c r="CH426" t="str">
        <f>""</f>
        <v/>
      </c>
      <c r="CI426" t="str">
        <f>""</f>
        <v/>
      </c>
      <c r="CJ426" t="str">
        <f>""</f>
        <v/>
      </c>
      <c r="CK426" t="str">
        <f>""</f>
        <v/>
      </c>
      <c r="CL426" t="str">
        <f>""</f>
        <v/>
      </c>
      <c r="CM426" t="str">
        <f>""</f>
        <v/>
      </c>
      <c r="CN426" t="str">
        <f>""</f>
        <v/>
      </c>
      <c r="CO426" t="str">
        <f>""</f>
        <v/>
      </c>
      <c r="CP426" t="str">
        <f>""</f>
        <v/>
      </c>
      <c r="CQ426" t="str">
        <f>""</f>
        <v/>
      </c>
      <c r="CR426" t="str">
        <f>""</f>
        <v/>
      </c>
      <c r="CS426" t="str">
        <f>""</f>
        <v/>
      </c>
      <c r="CT426" t="str">
        <f>""</f>
        <v/>
      </c>
      <c r="CU426" t="str">
        <f>""</f>
        <v/>
      </c>
      <c r="CV426" t="str">
        <f>""</f>
        <v/>
      </c>
      <c r="CW426" t="str">
        <f>""</f>
        <v/>
      </c>
      <c r="CX426" t="str">
        <f>""</f>
        <v/>
      </c>
      <c r="CY426" t="str">
        <f>""</f>
        <v/>
      </c>
      <c r="CZ426" t="str">
        <f>""</f>
        <v/>
      </c>
      <c r="DA426" t="str">
        <f>""</f>
        <v/>
      </c>
      <c r="DB426" t="str">
        <f>""</f>
        <v/>
      </c>
      <c r="DC426" t="str">
        <f>""</f>
        <v/>
      </c>
      <c r="DD426" t="str">
        <f>""</f>
        <v/>
      </c>
      <c r="DE426" t="str">
        <f>""</f>
        <v/>
      </c>
      <c r="DF426" t="str">
        <f>""</f>
        <v/>
      </c>
      <c r="DG426" t="str">
        <f>""</f>
        <v/>
      </c>
      <c r="DH426" t="str">
        <f>""</f>
        <v/>
      </c>
      <c r="DI426" t="str">
        <f>""</f>
        <v/>
      </c>
      <c r="DJ426" t="str">
        <f>""</f>
        <v/>
      </c>
      <c r="DK426" t="str">
        <f>""</f>
        <v/>
      </c>
      <c r="DL426" t="str">
        <f>""</f>
        <v/>
      </c>
      <c r="DM426" t="str">
        <f>""</f>
        <v/>
      </c>
      <c r="DN426" t="str">
        <f>""</f>
        <v/>
      </c>
      <c r="DO426" t="str">
        <f>""</f>
        <v/>
      </c>
      <c r="DP426" t="str">
        <f>""</f>
        <v/>
      </c>
      <c r="DQ426" t="str">
        <f>""</f>
        <v/>
      </c>
      <c r="DR426" t="str">
        <f>""</f>
        <v/>
      </c>
      <c r="DS426" t="str">
        <f>""</f>
        <v/>
      </c>
      <c r="DT426" t="str">
        <f>""</f>
        <v/>
      </c>
      <c r="DU426" t="str">
        <f>""</f>
        <v/>
      </c>
    </row>
    <row r="427" spans="1:125">
      <c r="A427" t="str">
        <f>$A$186</f>
        <v xml:space="preserve">    HCP Inc</v>
      </c>
      <c r="B427" t="str">
        <f>$B$186</f>
        <v>HCP US Equity</v>
      </c>
      <c r="C427" t="str">
        <f>$C$186</f>
        <v>RR554</v>
      </c>
      <c r="D427" t="str">
        <f>$D$186</f>
        <v>FFO_RE_ASSET</v>
      </c>
      <c r="E427" t="str">
        <f>$E$186</f>
        <v>动态</v>
      </c>
      <c r="F427" t="str">
        <f ca="1">BDH($B$186,$C$186,$B$256,$B$257,CONCATENATE("Per=",$B$254),"Dts=H","Dir=H",CONCATENATE("Points=",$B$255),"Sort=R","Days=A","Fill=B",CONCATENATE("FX=", $B$253) )</f>
        <v>#N/A Authorization</v>
      </c>
      <c r="BN427" t="str">
        <f>""</f>
        <v/>
      </c>
      <c r="BO427" t="str">
        <f>""</f>
        <v/>
      </c>
      <c r="BP427" t="str">
        <f>""</f>
        <v/>
      </c>
      <c r="BQ427" t="str">
        <f>""</f>
        <v/>
      </c>
      <c r="BR427" t="str">
        <f>""</f>
        <v/>
      </c>
      <c r="BS427" t="str">
        <f>""</f>
        <v/>
      </c>
      <c r="BT427" t="str">
        <f>""</f>
        <v/>
      </c>
      <c r="BU427" t="str">
        <f>""</f>
        <v/>
      </c>
      <c r="BV427" t="str">
        <f>""</f>
        <v/>
      </c>
      <c r="BW427" t="str">
        <f>""</f>
        <v/>
      </c>
      <c r="BX427" t="str">
        <f>""</f>
        <v/>
      </c>
      <c r="BY427" t="str">
        <f>""</f>
        <v/>
      </c>
      <c r="BZ427" t="str">
        <f>""</f>
        <v/>
      </c>
      <c r="CA427" t="str">
        <f>""</f>
        <v/>
      </c>
      <c r="CB427" t="str">
        <f>""</f>
        <v/>
      </c>
      <c r="CC427" t="str">
        <f>""</f>
        <v/>
      </c>
      <c r="CD427" t="str">
        <f>""</f>
        <v/>
      </c>
      <c r="CE427" t="str">
        <f>""</f>
        <v/>
      </c>
      <c r="CF427" t="str">
        <f>""</f>
        <v/>
      </c>
      <c r="CG427" t="str">
        <f>""</f>
        <v/>
      </c>
      <c r="CH427" t="str">
        <f>""</f>
        <v/>
      </c>
      <c r="CI427" t="str">
        <f>""</f>
        <v/>
      </c>
      <c r="CJ427" t="str">
        <f>""</f>
        <v/>
      </c>
      <c r="CK427" t="str">
        <f>""</f>
        <v/>
      </c>
      <c r="CL427" t="str">
        <f>""</f>
        <v/>
      </c>
      <c r="CM427" t="str">
        <f>""</f>
        <v/>
      </c>
      <c r="CN427" t="str">
        <f>""</f>
        <v/>
      </c>
      <c r="CO427" t="str">
        <f>""</f>
        <v/>
      </c>
      <c r="CP427" t="str">
        <f>""</f>
        <v/>
      </c>
      <c r="CQ427" t="str">
        <f>""</f>
        <v/>
      </c>
      <c r="CR427" t="str">
        <f>""</f>
        <v/>
      </c>
      <c r="CS427" t="str">
        <f>""</f>
        <v/>
      </c>
      <c r="CT427" t="str">
        <f>""</f>
        <v/>
      </c>
      <c r="CU427" t="str">
        <f>""</f>
        <v/>
      </c>
      <c r="CV427" t="str">
        <f>""</f>
        <v/>
      </c>
      <c r="CW427" t="str">
        <f>""</f>
        <v/>
      </c>
      <c r="CX427" t="str">
        <f>""</f>
        <v/>
      </c>
      <c r="CY427" t="str">
        <f>""</f>
        <v/>
      </c>
      <c r="CZ427" t="str">
        <f>""</f>
        <v/>
      </c>
      <c r="DA427" t="str">
        <f>""</f>
        <v/>
      </c>
      <c r="DB427" t="str">
        <f>""</f>
        <v/>
      </c>
      <c r="DC427" t="str">
        <f>""</f>
        <v/>
      </c>
      <c r="DD427" t="str">
        <f>""</f>
        <v/>
      </c>
      <c r="DE427" t="str">
        <f>""</f>
        <v/>
      </c>
      <c r="DF427" t="str">
        <f>""</f>
        <v/>
      </c>
      <c r="DG427" t="str">
        <f>""</f>
        <v/>
      </c>
      <c r="DH427" t="str">
        <f>""</f>
        <v/>
      </c>
      <c r="DI427" t="str">
        <f>""</f>
        <v/>
      </c>
      <c r="DJ427" t="str">
        <f>""</f>
        <v/>
      </c>
      <c r="DK427" t="str">
        <f>""</f>
        <v/>
      </c>
      <c r="DL427" t="str">
        <f>""</f>
        <v/>
      </c>
      <c r="DM427" t="str">
        <f>""</f>
        <v/>
      </c>
      <c r="DN427" t="str">
        <f>""</f>
        <v/>
      </c>
      <c r="DO427" t="str">
        <f>""</f>
        <v/>
      </c>
      <c r="DP427" t="str">
        <f>""</f>
        <v/>
      </c>
      <c r="DQ427" t="str">
        <f>""</f>
        <v/>
      </c>
      <c r="DR427" t="str">
        <f>""</f>
        <v/>
      </c>
      <c r="DS427" t="str">
        <f>""</f>
        <v/>
      </c>
      <c r="DT427" t="str">
        <f>""</f>
        <v/>
      </c>
      <c r="DU427" t="str">
        <f>""</f>
        <v/>
      </c>
    </row>
    <row r="428" spans="1:125">
      <c r="A428" t="str">
        <f>$A$187</f>
        <v xml:space="preserve">    Healthcare Realty Trust Inc</v>
      </c>
      <c r="B428" t="str">
        <f>$B$187</f>
        <v>HR US Equity</v>
      </c>
      <c r="C428" t="str">
        <f>$C$187</f>
        <v>RR554</v>
      </c>
      <c r="D428" t="str">
        <f>$D$187</f>
        <v>FFO_RE_ASSET</v>
      </c>
      <c r="E428" t="str">
        <f>$E$187</f>
        <v>动态</v>
      </c>
      <c r="F428" t="str">
        <f ca="1">BDH($B$187,$C$187,$B$256,$B$257,CONCATENATE("Per=",$B$254),"Dts=H","Dir=H",CONCATENATE("Points=",$B$255),"Sort=R","Days=A","Fill=B",CONCATENATE("FX=", $B$253) )</f>
        <v>#N/A Authorization</v>
      </c>
      <c r="BN428" t="str">
        <f>""</f>
        <v/>
      </c>
      <c r="BO428" t="str">
        <f>""</f>
        <v/>
      </c>
      <c r="BP428" t="str">
        <f>""</f>
        <v/>
      </c>
      <c r="BQ428" t="str">
        <f>""</f>
        <v/>
      </c>
      <c r="BR428" t="str">
        <f>""</f>
        <v/>
      </c>
      <c r="BS428" t="str">
        <f>""</f>
        <v/>
      </c>
      <c r="BT428" t="str">
        <f>""</f>
        <v/>
      </c>
      <c r="BU428" t="str">
        <f>""</f>
        <v/>
      </c>
      <c r="BV428" t="str">
        <f>""</f>
        <v/>
      </c>
      <c r="BW428" t="str">
        <f>""</f>
        <v/>
      </c>
      <c r="BX428" t="str">
        <f>""</f>
        <v/>
      </c>
      <c r="BY428" t="str">
        <f>""</f>
        <v/>
      </c>
      <c r="BZ428" t="str">
        <f>""</f>
        <v/>
      </c>
      <c r="CA428" t="str">
        <f>""</f>
        <v/>
      </c>
      <c r="CB428" t="str">
        <f>""</f>
        <v/>
      </c>
      <c r="CC428" t="str">
        <f>""</f>
        <v/>
      </c>
      <c r="CD428" t="str">
        <f>""</f>
        <v/>
      </c>
      <c r="CE428" t="str">
        <f>""</f>
        <v/>
      </c>
      <c r="CF428" t="str">
        <f>""</f>
        <v/>
      </c>
      <c r="CG428" t="str">
        <f>""</f>
        <v/>
      </c>
      <c r="CH428" t="str">
        <f>""</f>
        <v/>
      </c>
      <c r="CI428" t="str">
        <f>""</f>
        <v/>
      </c>
      <c r="CJ428" t="str">
        <f>""</f>
        <v/>
      </c>
      <c r="CK428" t="str">
        <f>""</f>
        <v/>
      </c>
      <c r="CL428" t="str">
        <f>""</f>
        <v/>
      </c>
      <c r="CM428" t="str">
        <f>""</f>
        <v/>
      </c>
      <c r="CN428" t="str">
        <f>""</f>
        <v/>
      </c>
      <c r="CO428" t="str">
        <f>""</f>
        <v/>
      </c>
      <c r="CP428" t="str">
        <f>""</f>
        <v/>
      </c>
      <c r="CQ428" t="str">
        <f>""</f>
        <v/>
      </c>
      <c r="CR428" t="str">
        <f>""</f>
        <v/>
      </c>
      <c r="CS428" t="str">
        <f>""</f>
        <v/>
      </c>
      <c r="CT428" t="str">
        <f>""</f>
        <v/>
      </c>
      <c r="CU428" t="str">
        <f>""</f>
        <v/>
      </c>
      <c r="CV428" t="str">
        <f>""</f>
        <v/>
      </c>
      <c r="CW428" t="str">
        <f>""</f>
        <v/>
      </c>
      <c r="CX428" t="str">
        <f>""</f>
        <v/>
      </c>
      <c r="CY428" t="str">
        <f>""</f>
        <v/>
      </c>
      <c r="CZ428" t="str">
        <f>""</f>
        <v/>
      </c>
      <c r="DA428" t="str">
        <f>""</f>
        <v/>
      </c>
      <c r="DB428" t="str">
        <f>""</f>
        <v/>
      </c>
      <c r="DC428" t="str">
        <f>""</f>
        <v/>
      </c>
      <c r="DD428" t="str">
        <f>""</f>
        <v/>
      </c>
      <c r="DE428" t="str">
        <f>""</f>
        <v/>
      </c>
      <c r="DF428" t="str">
        <f>""</f>
        <v/>
      </c>
      <c r="DG428" t="str">
        <f>""</f>
        <v/>
      </c>
      <c r="DH428" t="str">
        <f>""</f>
        <v/>
      </c>
      <c r="DI428" t="str">
        <f>""</f>
        <v/>
      </c>
      <c r="DJ428" t="str">
        <f>""</f>
        <v/>
      </c>
      <c r="DK428" t="str">
        <f>""</f>
        <v/>
      </c>
      <c r="DL428" t="str">
        <f>""</f>
        <v/>
      </c>
      <c r="DM428" t="str">
        <f>""</f>
        <v/>
      </c>
      <c r="DN428" t="str">
        <f>""</f>
        <v/>
      </c>
      <c r="DO428" t="str">
        <f>""</f>
        <v/>
      </c>
      <c r="DP428" t="str">
        <f>""</f>
        <v/>
      </c>
      <c r="DQ428" t="str">
        <f>""</f>
        <v/>
      </c>
      <c r="DR428" t="str">
        <f>""</f>
        <v/>
      </c>
      <c r="DS428" t="str">
        <f>""</f>
        <v/>
      </c>
      <c r="DT428" t="str">
        <f>""</f>
        <v/>
      </c>
      <c r="DU428" t="str">
        <f>""</f>
        <v/>
      </c>
    </row>
    <row r="429" spans="1:125">
      <c r="A429" t="str">
        <f>$A$188</f>
        <v xml:space="preserve">    Healthcare Trust of America In</v>
      </c>
      <c r="B429" t="str">
        <f>$B$188</f>
        <v>HTA US Equity</v>
      </c>
      <c r="C429" t="str">
        <f>$C$188</f>
        <v>RR554</v>
      </c>
      <c r="D429" t="str">
        <f>$D$188</f>
        <v>FFO_RE_ASSET</v>
      </c>
      <c r="E429" t="str">
        <f>$E$188</f>
        <v>动态</v>
      </c>
      <c r="F429" t="str">
        <f ca="1">BDH($B$188,$C$188,$B$256,$B$257,CONCATENATE("Per=",$B$254),"Dts=H","Dir=H",CONCATENATE("Points=",$B$255),"Sort=R","Days=A","Fill=B",CONCATENATE("FX=", $B$253) )</f>
        <v>#N/A Authorization</v>
      </c>
      <c r="BN429" t="str">
        <f>""</f>
        <v/>
      </c>
      <c r="BO429" t="str">
        <f>""</f>
        <v/>
      </c>
      <c r="BP429" t="str">
        <f>""</f>
        <v/>
      </c>
      <c r="BQ429" t="str">
        <f>""</f>
        <v/>
      </c>
      <c r="BR429" t="str">
        <f>""</f>
        <v/>
      </c>
      <c r="BS429" t="str">
        <f>""</f>
        <v/>
      </c>
      <c r="BT429" t="str">
        <f>""</f>
        <v/>
      </c>
      <c r="BU429" t="str">
        <f>""</f>
        <v/>
      </c>
      <c r="BV429" t="str">
        <f>""</f>
        <v/>
      </c>
      <c r="BW429" t="str">
        <f>""</f>
        <v/>
      </c>
      <c r="BX429" t="str">
        <f>""</f>
        <v/>
      </c>
      <c r="BY429" t="str">
        <f>""</f>
        <v/>
      </c>
      <c r="BZ429" t="str">
        <f>""</f>
        <v/>
      </c>
      <c r="CA429" t="str">
        <f>""</f>
        <v/>
      </c>
      <c r="CB429" t="str">
        <f>""</f>
        <v/>
      </c>
      <c r="CC429" t="str">
        <f>""</f>
        <v/>
      </c>
      <c r="CD429" t="str">
        <f>""</f>
        <v/>
      </c>
      <c r="CE429" t="str">
        <f>""</f>
        <v/>
      </c>
      <c r="CF429" t="str">
        <f>""</f>
        <v/>
      </c>
      <c r="CG429" t="str">
        <f>""</f>
        <v/>
      </c>
      <c r="CH429" t="str">
        <f>""</f>
        <v/>
      </c>
      <c r="CI429" t="str">
        <f>""</f>
        <v/>
      </c>
      <c r="CJ429" t="str">
        <f>""</f>
        <v/>
      </c>
      <c r="CK429" t="str">
        <f>""</f>
        <v/>
      </c>
      <c r="CL429" t="str">
        <f>""</f>
        <v/>
      </c>
      <c r="CM429" t="str">
        <f>""</f>
        <v/>
      </c>
      <c r="CN429" t="str">
        <f>""</f>
        <v/>
      </c>
      <c r="CO429" t="str">
        <f>""</f>
        <v/>
      </c>
      <c r="CP429" t="str">
        <f>""</f>
        <v/>
      </c>
      <c r="CQ429" t="str">
        <f>""</f>
        <v/>
      </c>
      <c r="CR429" t="str">
        <f>""</f>
        <v/>
      </c>
      <c r="CS429" t="str">
        <f>""</f>
        <v/>
      </c>
      <c r="CT429" t="str">
        <f>""</f>
        <v/>
      </c>
      <c r="CU429" t="str">
        <f>""</f>
        <v/>
      </c>
      <c r="CV429" t="str">
        <f>""</f>
        <v/>
      </c>
      <c r="CW429" t="str">
        <f>""</f>
        <v/>
      </c>
      <c r="CX429" t="str">
        <f>""</f>
        <v/>
      </c>
      <c r="CY429" t="str">
        <f>""</f>
        <v/>
      </c>
      <c r="CZ429" t="str">
        <f>""</f>
        <v/>
      </c>
      <c r="DA429" t="str">
        <f>""</f>
        <v/>
      </c>
      <c r="DB429" t="str">
        <f>""</f>
        <v/>
      </c>
      <c r="DC429" t="str">
        <f>""</f>
        <v/>
      </c>
      <c r="DD429" t="str">
        <f>""</f>
        <v/>
      </c>
      <c r="DE429" t="str">
        <f>""</f>
        <v/>
      </c>
      <c r="DF429" t="str">
        <f>""</f>
        <v/>
      </c>
      <c r="DG429" t="str">
        <f>""</f>
        <v/>
      </c>
      <c r="DH429" t="str">
        <f>""</f>
        <v/>
      </c>
      <c r="DI429" t="str">
        <f>""</f>
        <v/>
      </c>
      <c r="DJ429" t="str">
        <f>""</f>
        <v/>
      </c>
      <c r="DK429" t="str">
        <f>""</f>
        <v/>
      </c>
      <c r="DL429" t="str">
        <f>""</f>
        <v/>
      </c>
      <c r="DM429" t="str">
        <f>""</f>
        <v/>
      </c>
      <c r="DN429" t="str">
        <f>""</f>
        <v/>
      </c>
      <c r="DO429" t="str">
        <f>""</f>
        <v/>
      </c>
      <c r="DP429" t="str">
        <f>""</f>
        <v/>
      </c>
      <c r="DQ429" t="str">
        <f>""</f>
        <v/>
      </c>
      <c r="DR429" t="str">
        <f>""</f>
        <v/>
      </c>
      <c r="DS429" t="str">
        <f>""</f>
        <v/>
      </c>
      <c r="DT429" t="str">
        <f>""</f>
        <v/>
      </c>
      <c r="DU429" t="str">
        <f>""</f>
        <v/>
      </c>
    </row>
    <row r="430" spans="1:125">
      <c r="A430" t="str">
        <f>$A$189</f>
        <v xml:space="preserve">    Medical Properties Trust Inc</v>
      </c>
      <c r="B430" t="str">
        <f>$B$189</f>
        <v>MPW US Equity</v>
      </c>
      <c r="C430" t="str">
        <f>$C$189</f>
        <v>RR554</v>
      </c>
      <c r="D430" t="str">
        <f>$D$189</f>
        <v>FFO_RE_ASSET</v>
      </c>
      <c r="E430" t="str">
        <f>$E$189</f>
        <v>动态</v>
      </c>
      <c r="F430" t="str">
        <f ca="1">BDH($B$189,$C$189,$B$256,$B$257,CONCATENATE("Per=",$B$254),"Dts=H","Dir=H",CONCATENATE("Points=",$B$255),"Sort=R","Days=A","Fill=B",CONCATENATE("FX=", $B$253) )</f>
        <v>#N/A Authorization</v>
      </c>
      <c r="BN430" t="str">
        <f>""</f>
        <v/>
      </c>
      <c r="BO430" t="str">
        <f>""</f>
        <v/>
      </c>
      <c r="BP430" t="str">
        <f>""</f>
        <v/>
      </c>
      <c r="BQ430" t="str">
        <f>""</f>
        <v/>
      </c>
      <c r="BR430" t="str">
        <f>""</f>
        <v/>
      </c>
      <c r="BS430" t="str">
        <f>""</f>
        <v/>
      </c>
      <c r="BT430" t="str">
        <f>""</f>
        <v/>
      </c>
      <c r="BU430" t="str">
        <f>""</f>
        <v/>
      </c>
      <c r="BV430" t="str">
        <f>""</f>
        <v/>
      </c>
      <c r="BW430" t="str">
        <f>""</f>
        <v/>
      </c>
      <c r="BX430" t="str">
        <f>""</f>
        <v/>
      </c>
      <c r="BY430" t="str">
        <f>""</f>
        <v/>
      </c>
      <c r="BZ430" t="str">
        <f>""</f>
        <v/>
      </c>
      <c r="CA430" t="str">
        <f>""</f>
        <v/>
      </c>
      <c r="CB430" t="str">
        <f>""</f>
        <v/>
      </c>
      <c r="CC430" t="str">
        <f>""</f>
        <v/>
      </c>
      <c r="CD430" t="str">
        <f>""</f>
        <v/>
      </c>
      <c r="CE430" t="str">
        <f>""</f>
        <v/>
      </c>
      <c r="CF430" t="str">
        <f>""</f>
        <v/>
      </c>
      <c r="CG430" t="str">
        <f>""</f>
        <v/>
      </c>
      <c r="CH430" t="str">
        <f>""</f>
        <v/>
      </c>
      <c r="CI430" t="str">
        <f>""</f>
        <v/>
      </c>
      <c r="CJ430" t="str">
        <f>""</f>
        <v/>
      </c>
      <c r="CK430" t="str">
        <f>""</f>
        <v/>
      </c>
      <c r="CL430" t="str">
        <f>""</f>
        <v/>
      </c>
      <c r="CM430" t="str">
        <f>""</f>
        <v/>
      </c>
      <c r="CN430" t="str">
        <f>""</f>
        <v/>
      </c>
      <c r="CO430" t="str">
        <f>""</f>
        <v/>
      </c>
      <c r="CP430" t="str">
        <f>""</f>
        <v/>
      </c>
      <c r="CQ430" t="str">
        <f>""</f>
        <v/>
      </c>
      <c r="CR430" t="str">
        <f>""</f>
        <v/>
      </c>
      <c r="CS430" t="str">
        <f>""</f>
        <v/>
      </c>
      <c r="CT430" t="str">
        <f>""</f>
        <v/>
      </c>
      <c r="CU430" t="str">
        <f>""</f>
        <v/>
      </c>
      <c r="CV430" t="str">
        <f>""</f>
        <v/>
      </c>
      <c r="CW430" t="str">
        <f>""</f>
        <v/>
      </c>
      <c r="CX430" t="str">
        <f>""</f>
        <v/>
      </c>
      <c r="CY430" t="str">
        <f>""</f>
        <v/>
      </c>
      <c r="CZ430" t="str">
        <f>""</f>
        <v/>
      </c>
      <c r="DA430" t="str">
        <f>""</f>
        <v/>
      </c>
      <c r="DB430" t="str">
        <f>""</f>
        <v/>
      </c>
      <c r="DC430" t="str">
        <f>""</f>
        <v/>
      </c>
      <c r="DD430" t="str">
        <f>""</f>
        <v/>
      </c>
      <c r="DE430" t="str">
        <f>""</f>
        <v/>
      </c>
      <c r="DF430" t="str">
        <f>""</f>
        <v/>
      </c>
      <c r="DG430" t="str">
        <f>""</f>
        <v/>
      </c>
      <c r="DH430" t="str">
        <f>""</f>
        <v/>
      </c>
      <c r="DI430" t="str">
        <f>""</f>
        <v/>
      </c>
      <c r="DJ430" t="str">
        <f>""</f>
        <v/>
      </c>
      <c r="DK430" t="str">
        <f>""</f>
        <v/>
      </c>
      <c r="DL430" t="str">
        <f>""</f>
        <v/>
      </c>
      <c r="DM430" t="str">
        <f>""</f>
        <v/>
      </c>
      <c r="DN430" t="str">
        <f>""</f>
        <v/>
      </c>
      <c r="DO430" t="str">
        <f>""</f>
        <v/>
      </c>
      <c r="DP430" t="str">
        <f>""</f>
        <v/>
      </c>
      <c r="DQ430" t="str">
        <f>""</f>
        <v/>
      </c>
      <c r="DR430" t="str">
        <f>""</f>
        <v/>
      </c>
      <c r="DS430" t="str">
        <f>""</f>
        <v/>
      </c>
      <c r="DT430" t="str">
        <f>""</f>
        <v/>
      </c>
      <c r="DU430" t="str">
        <f>""</f>
        <v/>
      </c>
    </row>
    <row r="431" spans="1:125">
      <c r="A431" t="str">
        <f>$A$190</f>
        <v xml:space="preserve">    Omega Healthcare Investors Inc</v>
      </c>
      <c r="B431" t="str">
        <f>$B$190</f>
        <v>OHI US Equity</v>
      </c>
      <c r="C431" t="str">
        <f>$C$190</f>
        <v>RR554</v>
      </c>
      <c r="D431" t="str">
        <f>$D$190</f>
        <v>FFO_RE_ASSET</v>
      </c>
      <c r="E431" t="str">
        <f>$E$190</f>
        <v>动态</v>
      </c>
      <c r="F431" t="str">
        <f ca="1">BDH($B$190,$C$190,$B$256,$B$257,CONCATENATE("Per=",$B$254),"Dts=H","Dir=H",CONCATENATE("Points=",$B$255),"Sort=R","Days=A","Fill=B",CONCATENATE("FX=", $B$253) )</f>
        <v>#N/A Authorization</v>
      </c>
      <c r="BN431" t="str">
        <f>""</f>
        <v/>
      </c>
      <c r="BO431" t="str">
        <f>""</f>
        <v/>
      </c>
      <c r="BP431" t="str">
        <f>""</f>
        <v/>
      </c>
      <c r="BQ431" t="str">
        <f>""</f>
        <v/>
      </c>
      <c r="BR431" t="str">
        <f>""</f>
        <v/>
      </c>
      <c r="BS431" t="str">
        <f>""</f>
        <v/>
      </c>
      <c r="BT431" t="str">
        <f>""</f>
        <v/>
      </c>
      <c r="BU431" t="str">
        <f>""</f>
        <v/>
      </c>
      <c r="BV431" t="str">
        <f>""</f>
        <v/>
      </c>
      <c r="BW431" t="str">
        <f>""</f>
        <v/>
      </c>
      <c r="BX431" t="str">
        <f>""</f>
        <v/>
      </c>
      <c r="BY431" t="str">
        <f>""</f>
        <v/>
      </c>
      <c r="BZ431" t="str">
        <f>""</f>
        <v/>
      </c>
      <c r="CA431" t="str">
        <f>""</f>
        <v/>
      </c>
      <c r="CB431" t="str">
        <f>""</f>
        <v/>
      </c>
      <c r="CC431" t="str">
        <f>""</f>
        <v/>
      </c>
      <c r="CD431" t="str">
        <f>""</f>
        <v/>
      </c>
      <c r="CE431" t="str">
        <f>""</f>
        <v/>
      </c>
      <c r="CF431" t="str">
        <f>""</f>
        <v/>
      </c>
      <c r="CG431" t="str">
        <f>""</f>
        <v/>
      </c>
      <c r="CH431" t="str">
        <f>""</f>
        <v/>
      </c>
      <c r="CI431" t="str">
        <f>""</f>
        <v/>
      </c>
      <c r="CJ431" t="str">
        <f>""</f>
        <v/>
      </c>
      <c r="CK431" t="str">
        <f>""</f>
        <v/>
      </c>
      <c r="CL431" t="str">
        <f>""</f>
        <v/>
      </c>
      <c r="CM431" t="str">
        <f>""</f>
        <v/>
      </c>
      <c r="CN431" t="str">
        <f>""</f>
        <v/>
      </c>
      <c r="CO431" t="str">
        <f>""</f>
        <v/>
      </c>
      <c r="CP431" t="str">
        <f>""</f>
        <v/>
      </c>
      <c r="CQ431" t="str">
        <f>""</f>
        <v/>
      </c>
      <c r="CR431" t="str">
        <f>""</f>
        <v/>
      </c>
      <c r="CS431" t="str">
        <f>""</f>
        <v/>
      </c>
      <c r="CT431" t="str">
        <f>""</f>
        <v/>
      </c>
      <c r="CU431" t="str">
        <f>""</f>
        <v/>
      </c>
      <c r="CV431" t="str">
        <f>""</f>
        <v/>
      </c>
      <c r="CW431" t="str">
        <f>""</f>
        <v/>
      </c>
      <c r="CX431" t="str">
        <f>""</f>
        <v/>
      </c>
      <c r="CY431" t="str">
        <f>""</f>
        <v/>
      </c>
      <c r="CZ431" t="str">
        <f>""</f>
        <v/>
      </c>
      <c r="DA431" t="str">
        <f>""</f>
        <v/>
      </c>
      <c r="DB431" t="str">
        <f>""</f>
        <v/>
      </c>
      <c r="DC431" t="str">
        <f>""</f>
        <v/>
      </c>
      <c r="DD431" t="str">
        <f>""</f>
        <v/>
      </c>
      <c r="DE431" t="str">
        <f>""</f>
        <v/>
      </c>
      <c r="DF431" t="str">
        <f>""</f>
        <v/>
      </c>
      <c r="DG431" t="str">
        <f>""</f>
        <v/>
      </c>
      <c r="DH431" t="str">
        <f>""</f>
        <v/>
      </c>
      <c r="DI431" t="str">
        <f>""</f>
        <v/>
      </c>
      <c r="DJ431" t="str">
        <f>""</f>
        <v/>
      </c>
      <c r="DK431" t="str">
        <f>""</f>
        <v/>
      </c>
      <c r="DL431" t="str">
        <f>""</f>
        <v/>
      </c>
      <c r="DM431" t="str">
        <f>""</f>
        <v/>
      </c>
      <c r="DN431" t="str">
        <f>""</f>
        <v/>
      </c>
      <c r="DO431" t="str">
        <f>""</f>
        <v/>
      </c>
      <c r="DP431" t="str">
        <f>""</f>
        <v/>
      </c>
      <c r="DQ431" t="str">
        <f>""</f>
        <v/>
      </c>
      <c r="DR431" t="str">
        <f>""</f>
        <v/>
      </c>
      <c r="DS431" t="str">
        <f>""</f>
        <v/>
      </c>
      <c r="DT431" t="str">
        <f>""</f>
        <v/>
      </c>
      <c r="DU431" t="str">
        <f>""</f>
        <v/>
      </c>
    </row>
    <row r="432" spans="1:125">
      <c r="A432" t="str">
        <f>$A$191</f>
        <v xml:space="preserve">    Sabra Health Care REIT Inc</v>
      </c>
      <c r="B432" t="str">
        <f>$B$191</f>
        <v>SBRA US Equity</v>
      </c>
      <c r="C432" t="str">
        <f>$C$191</f>
        <v>RR554</v>
      </c>
      <c r="D432" t="str">
        <f>$D$191</f>
        <v>FFO_RE_ASSET</v>
      </c>
      <c r="E432" t="str">
        <f>$E$191</f>
        <v>动态</v>
      </c>
      <c r="F432" t="str">
        <f ca="1">BDH($B$191,$C$191,$B$256,$B$257,CONCATENATE("Per=",$B$254),"Dts=H","Dir=H",CONCATENATE("Points=",$B$255),"Sort=R","Days=A","Fill=B",CONCATENATE("FX=", $B$253) )</f>
        <v>#N/A Authorization</v>
      </c>
      <c r="BN432" t="str">
        <f>""</f>
        <v/>
      </c>
      <c r="BO432" t="str">
        <f>""</f>
        <v/>
      </c>
      <c r="BP432" t="str">
        <f>""</f>
        <v/>
      </c>
      <c r="BQ432" t="str">
        <f>""</f>
        <v/>
      </c>
      <c r="BR432" t="str">
        <f>""</f>
        <v/>
      </c>
      <c r="BS432" t="str">
        <f>""</f>
        <v/>
      </c>
      <c r="BT432" t="str">
        <f>""</f>
        <v/>
      </c>
      <c r="BU432" t="str">
        <f>""</f>
        <v/>
      </c>
      <c r="BV432" t="str">
        <f>""</f>
        <v/>
      </c>
      <c r="BW432" t="str">
        <f>""</f>
        <v/>
      </c>
      <c r="BX432" t="str">
        <f>""</f>
        <v/>
      </c>
      <c r="BY432" t="str">
        <f>""</f>
        <v/>
      </c>
      <c r="BZ432" t="str">
        <f>""</f>
        <v/>
      </c>
      <c r="CA432" t="str">
        <f>""</f>
        <v/>
      </c>
      <c r="CB432" t="str">
        <f>""</f>
        <v/>
      </c>
      <c r="CC432" t="str">
        <f>""</f>
        <v/>
      </c>
      <c r="CD432" t="str">
        <f>""</f>
        <v/>
      </c>
      <c r="CE432" t="str">
        <f>""</f>
        <v/>
      </c>
      <c r="CF432" t="str">
        <f>""</f>
        <v/>
      </c>
      <c r="CG432" t="str">
        <f>""</f>
        <v/>
      </c>
      <c r="CH432" t="str">
        <f>""</f>
        <v/>
      </c>
      <c r="CI432" t="str">
        <f>""</f>
        <v/>
      </c>
      <c r="CJ432" t="str">
        <f>""</f>
        <v/>
      </c>
      <c r="CK432" t="str">
        <f>""</f>
        <v/>
      </c>
      <c r="CL432" t="str">
        <f>""</f>
        <v/>
      </c>
      <c r="CM432" t="str">
        <f>""</f>
        <v/>
      </c>
      <c r="CN432" t="str">
        <f>""</f>
        <v/>
      </c>
      <c r="CO432" t="str">
        <f>""</f>
        <v/>
      </c>
      <c r="CP432" t="str">
        <f>""</f>
        <v/>
      </c>
      <c r="CQ432" t="str">
        <f>""</f>
        <v/>
      </c>
      <c r="CR432" t="str">
        <f>""</f>
        <v/>
      </c>
      <c r="CS432" t="str">
        <f>""</f>
        <v/>
      </c>
      <c r="CT432" t="str">
        <f>""</f>
        <v/>
      </c>
      <c r="CU432" t="str">
        <f>""</f>
        <v/>
      </c>
      <c r="CV432" t="str">
        <f>""</f>
        <v/>
      </c>
      <c r="CW432" t="str">
        <f>""</f>
        <v/>
      </c>
      <c r="CX432" t="str">
        <f>""</f>
        <v/>
      </c>
      <c r="CY432" t="str">
        <f>""</f>
        <v/>
      </c>
      <c r="CZ432" t="str">
        <f>""</f>
        <v/>
      </c>
      <c r="DA432" t="str">
        <f>""</f>
        <v/>
      </c>
      <c r="DB432" t="str">
        <f>""</f>
        <v/>
      </c>
      <c r="DC432" t="str">
        <f>""</f>
        <v/>
      </c>
      <c r="DD432" t="str">
        <f>""</f>
        <v/>
      </c>
      <c r="DE432" t="str">
        <f>""</f>
        <v/>
      </c>
      <c r="DF432" t="str">
        <f>""</f>
        <v/>
      </c>
      <c r="DG432" t="str">
        <f>""</f>
        <v/>
      </c>
      <c r="DH432" t="str">
        <f>""</f>
        <v/>
      </c>
      <c r="DI432" t="str">
        <f>""</f>
        <v/>
      </c>
      <c r="DJ432" t="str">
        <f>""</f>
        <v/>
      </c>
      <c r="DK432" t="str">
        <f>""</f>
        <v/>
      </c>
      <c r="DL432" t="str">
        <f>""</f>
        <v/>
      </c>
      <c r="DM432" t="str">
        <f>""</f>
        <v/>
      </c>
      <c r="DN432" t="str">
        <f>""</f>
        <v/>
      </c>
      <c r="DO432" t="str">
        <f>""</f>
        <v/>
      </c>
      <c r="DP432" t="str">
        <f>""</f>
        <v/>
      </c>
      <c r="DQ432" t="str">
        <f>""</f>
        <v/>
      </c>
      <c r="DR432" t="str">
        <f>""</f>
        <v/>
      </c>
      <c r="DS432" t="str">
        <f>""</f>
        <v/>
      </c>
      <c r="DT432" t="str">
        <f>""</f>
        <v/>
      </c>
      <c r="DU432" t="str">
        <f>""</f>
        <v/>
      </c>
    </row>
    <row r="433" spans="1:125">
      <c r="A433" t="str">
        <f>$A$192</f>
        <v xml:space="preserve">    Senior Housing Properties Trus</v>
      </c>
      <c r="B433" t="str">
        <f>$B$192</f>
        <v>SNH US Equity</v>
      </c>
      <c r="C433" t="str">
        <f>$C$192</f>
        <v>RR554</v>
      </c>
      <c r="D433" t="str">
        <f>$D$192</f>
        <v>FFO_RE_ASSET</v>
      </c>
      <c r="E433" t="str">
        <f>$E$192</f>
        <v>动态</v>
      </c>
      <c r="F433" t="str">
        <f ca="1">BDH($B$192,$C$192,$B$256,$B$257,CONCATENATE("Per=",$B$254),"Dts=H","Dir=H",CONCATENATE("Points=",$B$255),"Sort=R","Days=A","Fill=B",CONCATENATE("FX=", $B$253) )</f>
        <v>#N/A Authorization</v>
      </c>
      <c r="BN433" t="str">
        <f>""</f>
        <v/>
      </c>
      <c r="BO433" t="str">
        <f>""</f>
        <v/>
      </c>
      <c r="BP433" t="str">
        <f>""</f>
        <v/>
      </c>
      <c r="BQ433" t="str">
        <f>""</f>
        <v/>
      </c>
      <c r="BR433" t="str">
        <f>""</f>
        <v/>
      </c>
      <c r="BS433" t="str">
        <f>""</f>
        <v/>
      </c>
      <c r="BT433" t="str">
        <f>""</f>
        <v/>
      </c>
      <c r="BU433" t="str">
        <f>""</f>
        <v/>
      </c>
      <c r="BV433" t="str">
        <f>""</f>
        <v/>
      </c>
      <c r="BW433" t="str">
        <f>""</f>
        <v/>
      </c>
      <c r="BX433" t="str">
        <f>""</f>
        <v/>
      </c>
      <c r="BY433" t="str">
        <f>""</f>
        <v/>
      </c>
      <c r="BZ433" t="str">
        <f>""</f>
        <v/>
      </c>
      <c r="CA433" t="str">
        <f>""</f>
        <v/>
      </c>
      <c r="CB433" t="str">
        <f>""</f>
        <v/>
      </c>
      <c r="CC433" t="str">
        <f>""</f>
        <v/>
      </c>
      <c r="CD433" t="str">
        <f>""</f>
        <v/>
      </c>
      <c r="CE433" t="str">
        <f>""</f>
        <v/>
      </c>
      <c r="CF433" t="str">
        <f>""</f>
        <v/>
      </c>
      <c r="CG433" t="str">
        <f>""</f>
        <v/>
      </c>
      <c r="CH433" t="str">
        <f>""</f>
        <v/>
      </c>
      <c r="CI433" t="str">
        <f>""</f>
        <v/>
      </c>
      <c r="CJ433" t="str">
        <f>""</f>
        <v/>
      </c>
      <c r="CK433" t="str">
        <f>""</f>
        <v/>
      </c>
      <c r="CL433" t="str">
        <f>""</f>
        <v/>
      </c>
      <c r="CM433" t="str">
        <f>""</f>
        <v/>
      </c>
      <c r="CN433" t="str">
        <f>""</f>
        <v/>
      </c>
      <c r="CO433" t="str">
        <f>""</f>
        <v/>
      </c>
      <c r="CP433" t="str">
        <f>""</f>
        <v/>
      </c>
      <c r="CQ433" t="str">
        <f>""</f>
        <v/>
      </c>
      <c r="CR433" t="str">
        <f>""</f>
        <v/>
      </c>
      <c r="CS433" t="str">
        <f>""</f>
        <v/>
      </c>
      <c r="CT433" t="str">
        <f>""</f>
        <v/>
      </c>
      <c r="CU433" t="str">
        <f>""</f>
        <v/>
      </c>
      <c r="CV433" t="str">
        <f>""</f>
        <v/>
      </c>
      <c r="CW433" t="str">
        <f>""</f>
        <v/>
      </c>
      <c r="CX433" t="str">
        <f>""</f>
        <v/>
      </c>
      <c r="CY433" t="str">
        <f>""</f>
        <v/>
      </c>
      <c r="CZ433" t="str">
        <f>""</f>
        <v/>
      </c>
      <c r="DA433" t="str">
        <f>""</f>
        <v/>
      </c>
      <c r="DB433" t="str">
        <f>""</f>
        <v/>
      </c>
      <c r="DC433" t="str">
        <f>""</f>
        <v/>
      </c>
      <c r="DD433" t="str">
        <f>""</f>
        <v/>
      </c>
      <c r="DE433" t="str">
        <f>""</f>
        <v/>
      </c>
      <c r="DF433" t="str">
        <f>""</f>
        <v/>
      </c>
      <c r="DG433" t="str">
        <f>""</f>
        <v/>
      </c>
      <c r="DH433" t="str">
        <f>""</f>
        <v/>
      </c>
      <c r="DI433" t="str">
        <f>""</f>
        <v/>
      </c>
      <c r="DJ433" t="str">
        <f>""</f>
        <v/>
      </c>
      <c r="DK433" t="str">
        <f>""</f>
        <v/>
      </c>
      <c r="DL433" t="str">
        <f>""</f>
        <v/>
      </c>
      <c r="DM433" t="str">
        <f>""</f>
        <v/>
      </c>
      <c r="DN433" t="str">
        <f>""</f>
        <v/>
      </c>
      <c r="DO433" t="str">
        <f>""</f>
        <v/>
      </c>
      <c r="DP433" t="str">
        <f>""</f>
        <v/>
      </c>
      <c r="DQ433" t="str">
        <f>""</f>
        <v/>
      </c>
      <c r="DR433" t="str">
        <f>""</f>
        <v/>
      </c>
      <c r="DS433" t="str">
        <f>""</f>
        <v/>
      </c>
      <c r="DT433" t="str">
        <f>""</f>
        <v/>
      </c>
      <c r="DU433" t="str">
        <f>""</f>
        <v/>
      </c>
    </row>
    <row r="434" spans="1:125">
      <c r="A434" t="str">
        <f>$A$193</f>
        <v xml:space="preserve">    Ventas Inc</v>
      </c>
      <c r="B434" t="str">
        <f>$B$193</f>
        <v>VTR US Equity</v>
      </c>
      <c r="C434" t="str">
        <f>$C$193</f>
        <v>RR554</v>
      </c>
      <c r="D434" t="str">
        <f>$D$193</f>
        <v>FFO_RE_ASSET</v>
      </c>
      <c r="E434" t="str">
        <f>$E$193</f>
        <v>动态</v>
      </c>
      <c r="F434" t="str">
        <f ca="1">BDH($B$193,$C$193,$B$256,$B$257,CONCATENATE("Per=",$B$254),"Dts=H","Dir=H",CONCATENATE("Points=",$B$255),"Sort=R","Days=A","Fill=B",CONCATENATE("FX=", $B$253) )</f>
        <v>#N/A Authorization</v>
      </c>
      <c r="BN434" t="str">
        <f>""</f>
        <v/>
      </c>
      <c r="BO434" t="str">
        <f>""</f>
        <v/>
      </c>
      <c r="BP434" t="str">
        <f>""</f>
        <v/>
      </c>
      <c r="BQ434" t="str">
        <f>""</f>
        <v/>
      </c>
      <c r="BR434" t="str">
        <f>""</f>
        <v/>
      </c>
      <c r="BS434" t="str">
        <f>""</f>
        <v/>
      </c>
      <c r="BT434" t="str">
        <f>""</f>
        <v/>
      </c>
      <c r="BU434" t="str">
        <f>""</f>
        <v/>
      </c>
      <c r="BV434" t="str">
        <f>""</f>
        <v/>
      </c>
      <c r="BW434" t="str">
        <f>""</f>
        <v/>
      </c>
      <c r="BX434" t="str">
        <f>""</f>
        <v/>
      </c>
      <c r="BY434" t="str">
        <f>""</f>
        <v/>
      </c>
      <c r="BZ434" t="str">
        <f>""</f>
        <v/>
      </c>
      <c r="CA434" t="str">
        <f>""</f>
        <v/>
      </c>
      <c r="CB434" t="str">
        <f>""</f>
        <v/>
      </c>
      <c r="CC434" t="str">
        <f>""</f>
        <v/>
      </c>
      <c r="CD434" t="str">
        <f>""</f>
        <v/>
      </c>
      <c r="CE434" t="str">
        <f>""</f>
        <v/>
      </c>
      <c r="CF434" t="str">
        <f>""</f>
        <v/>
      </c>
      <c r="CG434" t="str">
        <f>""</f>
        <v/>
      </c>
      <c r="CH434" t="str">
        <f>""</f>
        <v/>
      </c>
      <c r="CI434" t="str">
        <f>""</f>
        <v/>
      </c>
      <c r="CJ434" t="str">
        <f>""</f>
        <v/>
      </c>
      <c r="CK434" t="str">
        <f>""</f>
        <v/>
      </c>
      <c r="CL434" t="str">
        <f>""</f>
        <v/>
      </c>
      <c r="CM434" t="str">
        <f>""</f>
        <v/>
      </c>
      <c r="CN434" t="str">
        <f>""</f>
        <v/>
      </c>
      <c r="CO434" t="str">
        <f>""</f>
        <v/>
      </c>
      <c r="CP434" t="str">
        <f>""</f>
        <v/>
      </c>
      <c r="CQ434" t="str">
        <f>""</f>
        <v/>
      </c>
      <c r="CR434" t="str">
        <f>""</f>
        <v/>
      </c>
      <c r="CS434" t="str">
        <f>""</f>
        <v/>
      </c>
      <c r="CT434" t="str">
        <f>""</f>
        <v/>
      </c>
      <c r="CU434" t="str">
        <f>""</f>
        <v/>
      </c>
      <c r="CV434" t="str">
        <f>""</f>
        <v/>
      </c>
      <c r="CW434" t="str">
        <f>""</f>
        <v/>
      </c>
      <c r="CX434" t="str">
        <f>""</f>
        <v/>
      </c>
      <c r="CY434" t="str">
        <f>""</f>
        <v/>
      </c>
      <c r="CZ434" t="str">
        <f>""</f>
        <v/>
      </c>
      <c r="DA434" t="str">
        <f>""</f>
        <v/>
      </c>
      <c r="DB434" t="str">
        <f>""</f>
        <v/>
      </c>
      <c r="DC434" t="str">
        <f>""</f>
        <v/>
      </c>
      <c r="DD434" t="str">
        <f>""</f>
        <v/>
      </c>
      <c r="DE434" t="str">
        <f>""</f>
        <v/>
      </c>
      <c r="DF434" t="str">
        <f>""</f>
        <v/>
      </c>
      <c r="DG434" t="str">
        <f>""</f>
        <v/>
      </c>
      <c r="DH434" t="str">
        <f>""</f>
        <v/>
      </c>
      <c r="DI434" t="str">
        <f>""</f>
        <v/>
      </c>
      <c r="DJ434" t="str">
        <f>""</f>
        <v/>
      </c>
      <c r="DK434" t="str">
        <f>""</f>
        <v/>
      </c>
      <c r="DL434" t="str">
        <f>""</f>
        <v/>
      </c>
      <c r="DM434" t="str">
        <f>""</f>
        <v/>
      </c>
      <c r="DN434" t="str">
        <f>""</f>
        <v/>
      </c>
      <c r="DO434" t="str">
        <f>""</f>
        <v/>
      </c>
      <c r="DP434" t="str">
        <f>""</f>
        <v/>
      </c>
      <c r="DQ434" t="str">
        <f>""</f>
        <v/>
      </c>
      <c r="DR434" t="str">
        <f>""</f>
        <v/>
      </c>
      <c r="DS434" t="str">
        <f>""</f>
        <v/>
      </c>
      <c r="DT434" t="str">
        <f>""</f>
        <v/>
      </c>
      <c r="DU434" t="str">
        <f>""</f>
        <v/>
      </c>
    </row>
    <row r="435" spans="1:125">
      <c r="A435" t="str">
        <f>$A$194</f>
        <v xml:space="preserve">    Welltower Inc</v>
      </c>
      <c r="B435" t="str">
        <f>$B$194</f>
        <v>HCN US Equity</v>
      </c>
      <c r="C435" t="str">
        <f>$C$194</f>
        <v>RR554</v>
      </c>
      <c r="D435" t="str">
        <f>$D$194</f>
        <v>FFO_RE_ASSET</v>
      </c>
      <c r="E435" t="str">
        <f>$E$194</f>
        <v>动态</v>
      </c>
      <c r="F435" t="str">
        <f ca="1">BDH($B$194,$C$194,$B$256,$B$257,CONCATENATE("Per=",$B$254),"Dts=H","Dir=H",CONCATENATE("Points=",$B$255),"Sort=R","Days=A","Fill=B",CONCATENATE("FX=", $B$253) )</f>
        <v>#N/A Authorization</v>
      </c>
      <c r="BN435" t="str">
        <f>""</f>
        <v/>
      </c>
      <c r="BO435" t="str">
        <f>""</f>
        <v/>
      </c>
      <c r="BP435" t="str">
        <f>""</f>
        <v/>
      </c>
      <c r="BQ435" t="str">
        <f>""</f>
        <v/>
      </c>
      <c r="BR435" t="str">
        <f>""</f>
        <v/>
      </c>
      <c r="BS435" t="str">
        <f>""</f>
        <v/>
      </c>
      <c r="BT435" t="str">
        <f>""</f>
        <v/>
      </c>
      <c r="BU435" t="str">
        <f>""</f>
        <v/>
      </c>
      <c r="BV435" t="str">
        <f>""</f>
        <v/>
      </c>
      <c r="BW435" t="str">
        <f>""</f>
        <v/>
      </c>
      <c r="BX435" t="str">
        <f>""</f>
        <v/>
      </c>
      <c r="BY435" t="str">
        <f>""</f>
        <v/>
      </c>
      <c r="BZ435" t="str">
        <f>""</f>
        <v/>
      </c>
      <c r="CA435" t="str">
        <f>""</f>
        <v/>
      </c>
      <c r="CB435" t="str">
        <f>""</f>
        <v/>
      </c>
      <c r="CC435" t="str">
        <f>""</f>
        <v/>
      </c>
      <c r="CD435" t="str">
        <f>""</f>
        <v/>
      </c>
      <c r="CE435" t="str">
        <f>""</f>
        <v/>
      </c>
      <c r="CF435" t="str">
        <f>""</f>
        <v/>
      </c>
      <c r="CG435" t="str">
        <f>""</f>
        <v/>
      </c>
      <c r="CH435" t="str">
        <f>""</f>
        <v/>
      </c>
      <c r="CI435" t="str">
        <f>""</f>
        <v/>
      </c>
      <c r="CJ435" t="str">
        <f>""</f>
        <v/>
      </c>
      <c r="CK435" t="str">
        <f>""</f>
        <v/>
      </c>
      <c r="CL435" t="str">
        <f>""</f>
        <v/>
      </c>
      <c r="CM435" t="str">
        <f>""</f>
        <v/>
      </c>
      <c r="CN435" t="str">
        <f>""</f>
        <v/>
      </c>
      <c r="CO435" t="str">
        <f>""</f>
        <v/>
      </c>
      <c r="CP435" t="str">
        <f>""</f>
        <v/>
      </c>
      <c r="CQ435" t="str">
        <f>""</f>
        <v/>
      </c>
      <c r="CR435" t="str">
        <f>""</f>
        <v/>
      </c>
      <c r="CS435" t="str">
        <f>""</f>
        <v/>
      </c>
      <c r="CT435" t="str">
        <f>""</f>
        <v/>
      </c>
      <c r="CU435" t="str">
        <f>""</f>
        <v/>
      </c>
      <c r="CV435" t="str">
        <f>""</f>
        <v/>
      </c>
      <c r="CW435" t="str">
        <f>""</f>
        <v/>
      </c>
      <c r="CX435" t="str">
        <f>""</f>
        <v/>
      </c>
      <c r="CY435" t="str">
        <f>""</f>
        <v/>
      </c>
      <c r="CZ435" t="str">
        <f>""</f>
        <v/>
      </c>
      <c r="DA435" t="str">
        <f>""</f>
        <v/>
      </c>
      <c r="DB435" t="str">
        <f>""</f>
        <v/>
      </c>
      <c r="DC435" t="str">
        <f>""</f>
        <v/>
      </c>
      <c r="DD435" t="str">
        <f>""</f>
        <v/>
      </c>
      <c r="DE435" t="str">
        <f>""</f>
        <v/>
      </c>
      <c r="DF435" t="str">
        <f>""</f>
        <v/>
      </c>
      <c r="DG435" t="str">
        <f>""</f>
        <v/>
      </c>
      <c r="DH435" t="str">
        <f>""</f>
        <v/>
      </c>
      <c r="DI435" t="str">
        <f>""</f>
        <v/>
      </c>
      <c r="DJ435" t="str">
        <f>""</f>
        <v/>
      </c>
      <c r="DK435" t="str">
        <f>""</f>
        <v/>
      </c>
      <c r="DL435" t="str">
        <f>""</f>
        <v/>
      </c>
      <c r="DM435" t="str">
        <f>""</f>
        <v/>
      </c>
      <c r="DN435" t="str">
        <f>""</f>
        <v/>
      </c>
      <c r="DO435" t="str">
        <f>""</f>
        <v/>
      </c>
      <c r="DP435" t="str">
        <f>""</f>
        <v/>
      </c>
      <c r="DQ435" t="str">
        <f>""</f>
        <v/>
      </c>
      <c r="DR435" t="str">
        <f>""</f>
        <v/>
      </c>
      <c r="DS435" t="str">
        <f>""</f>
        <v/>
      </c>
      <c r="DT435" t="str">
        <f>""</f>
        <v/>
      </c>
      <c r="DU435" t="str">
        <f>""</f>
        <v/>
      </c>
    </row>
    <row r="436" spans="1:125">
      <c r="A436" t="str">
        <f>$A$196</f>
        <v xml:space="preserve">    Alexandria Real Estate Equitie</v>
      </c>
      <c r="B436" t="str">
        <f>$B$196</f>
        <v>ARE US Equity</v>
      </c>
      <c r="C436" t="str">
        <f>$C$196</f>
        <v>RR052</v>
      </c>
      <c r="D436" t="str">
        <f>$D$196</f>
        <v>TOT_DEBT_TO_EBITDA</v>
      </c>
      <c r="E436" t="str">
        <f>$E$196</f>
        <v>动态</v>
      </c>
      <c r="F436" t="str">
        <f ca="1">BDH($B$196,$C$196,$B$256,$B$257,CONCATENATE("Per=",$B$254),"Dts=H","Dir=H",CONCATENATE("Points=",$B$255),"Sort=R","Days=A","Fill=B",CONCATENATE("FX=", $B$253) )</f>
        <v>#N/A Authorization</v>
      </c>
      <c r="BN436" t="str">
        <f>""</f>
        <v/>
      </c>
      <c r="BO436" t="str">
        <f>""</f>
        <v/>
      </c>
      <c r="BP436" t="str">
        <f>""</f>
        <v/>
      </c>
      <c r="BQ436" t="str">
        <f>""</f>
        <v/>
      </c>
      <c r="BR436" t="str">
        <f>""</f>
        <v/>
      </c>
      <c r="BS436" t="str">
        <f>""</f>
        <v/>
      </c>
      <c r="BT436" t="str">
        <f>""</f>
        <v/>
      </c>
      <c r="BU436" t="str">
        <f>""</f>
        <v/>
      </c>
      <c r="BV436" t="str">
        <f>""</f>
        <v/>
      </c>
      <c r="BW436" t="str">
        <f>""</f>
        <v/>
      </c>
      <c r="BX436" t="str">
        <f>""</f>
        <v/>
      </c>
      <c r="BY436" t="str">
        <f>""</f>
        <v/>
      </c>
      <c r="BZ436" t="str">
        <f>""</f>
        <v/>
      </c>
      <c r="CA436" t="str">
        <f>""</f>
        <v/>
      </c>
      <c r="CB436" t="str">
        <f>""</f>
        <v/>
      </c>
      <c r="CC436" t="str">
        <f>""</f>
        <v/>
      </c>
      <c r="CD436" t="str">
        <f>""</f>
        <v/>
      </c>
      <c r="CE436" t="str">
        <f>""</f>
        <v/>
      </c>
      <c r="CF436" t="str">
        <f>""</f>
        <v/>
      </c>
      <c r="CG436" t="str">
        <f>""</f>
        <v/>
      </c>
      <c r="CH436" t="str">
        <f>""</f>
        <v/>
      </c>
      <c r="CI436" t="str">
        <f>""</f>
        <v/>
      </c>
      <c r="CJ436" t="str">
        <f>""</f>
        <v/>
      </c>
      <c r="CK436" t="str">
        <f>""</f>
        <v/>
      </c>
      <c r="CL436" t="str">
        <f>""</f>
        <v/>
      </c>
      <c r="CM436" t="str">
        <f>""</f>
        <v/>
      </c>
      <c r="CN436" t="str">
        <f>""</f>
        <v/>
      </c>
      <c r="CO436" t="str">
        <f>""</f>
        <v/>
      </c>
      <c r="CP436" t="str">
        <f>""</f>
        <v/>
      </c>
      <c r="CQ436" t="str">
        <f>""</f>
        <v/>
      </c>
      <c r="CR436" t="str">
        <f>""</f>
        <v/>
      </c>
      <c r="CS436" t="str">
        <f>""</f>
        <v/>
      </c>
      <c r="CT436" t="str">
        <f>""</f>
        <v/>
      </c>
      <c r="CU436" t="str">
        <f>""</f>
        <v/>
      </c>
      <c r="CV436" t="str">
        <f>""</f>
        <v/>
      </c>
      <c r="CW436" t="str">
        <f>""</f>
        <v/>
      </c>
      <c r="CX436" t="str">
        <f>""</f>
        <v/>
      </c>
      <c r="CY436" t="str">
        <f>""</f>
        <v/>
      </c>
      <c r="CZ436" t="str">
        <f>""</f>
        <v/>
      </c>
      <c r="DA436" t="str">
        <f>""</f>
        <v/>
      </c>
      <c r="DB436" t="str">
        <f>""</f>
        <v/>
      </c>
      <c r="DC436" t="str">
        <f>""</f>
        <v/>
      </c>
      <c r="DD436" t="str">
        <f>""</f>
        <v/>
      </c>
      <c r="DE436" t="str">
        <f>""</f>
        <v/>
      </c>
      <c r="DF436" t="str">
        <f>""</f>
        <v/>
      </c>
      <c r="DG436" t="str">
        <f>""</f>
        <v/>
      </c>
      <c r="DH436" t="str">
        <f>""</f>
        <v/>
      </c>
      <c r="DI436" t="str">
        <f>""</f>
        <v/>
      </c>
      <c r="DJ436" t="str">
        <f>""</f>
        <v/>
      </c>
      <c r="DK436" t="str">
        <f>""</f>
        <v/>
      </c>
      <c r="DL436" t="str">
        <f>""</f>
        <v/>
      </c>
      <c r="DM436" t="str">
        <f>""</f>
        <v/>
      </c>
      <c r="DN436" t="str">
        <f>""</f>
        <v/>
      </c>
      <c r="DO436" t="str">
        <f>""</f>
        <v/>
      </c>
      <c r="DP436" t="str">
        <f>""</f>
        <v/>
      </c>
      <c r="DQ436" t="str">
        <f>""</f>
        <v/>
      </c>
      <c r="DR436" t="str">
        <f>""</f>
        <v/>
      </c>
      <c r="DS436" t="str">
        <f>""</f>
        <v/>
      </c>
      <c r="DT436" t="str">
        <f>""</f>
        <v/>
      </c>
      <c r="DU436" t="str">
        <f>""</f>
        <v/>
      </c>
    </row>
    <row r="437" spans="1:125">
      <c r="A437" t="str">
        <f>$A$197</f>
        <v xml:space="preserve">    Care Capital Properties Inc</v>
      </c>
      <c r="B437" t="str">
        <f>$B$197</f>
        <v>CCP US Equity</v>
      </c>
      <c r="C437" t="str">
        <f>$C$197</f>
        <v>RR052</v>
      </c>
      <c r="D437" t="str">
        <f>$D$197</f>
        <v>TOT_DEBT_TO_EBITDA</v>
      </c>
      <c r="E437" t="str">
        <f>$E$197</f>
        <v>动态</v>
      </c>
      <c r="F437" t="str">
        <f ca="1">BDH($B$197,$C$197,$B$256,$B$257,CONCATENATE("Per=",$B$254),"Dts=H","Dir=H",CONCATENATE("Points=",$B$255),"Sort=R","Days=A","Fill=B",CONCATENATE("FX=", $B$253) )</f>
        <v>#N/A Authorization</v>
      </c>
      <c r="BN437" t="str">
        <f>""</f>
        <v/>
      </c>
      <c r="BO437" t="str">
        <f>""</f>
        <v/>
      </c>
      <c r="BP437" t="str">
        <f>""</f>
        <v/>
      </c>
      <c r="BQ437" t="str">
        <f>""</f>
        <v/>
      </c>
      <c r="BR437" t="str">
        <f>""</f>
        <v/>
      </c>
      <c r="BS437" t="str">
        <f>""</f>
        <v/>
      </c>
      <c r="BT437" t="str">
        <f>""</f>
        <v/>
      </c>
      <c r="BU437" t="str">
        <f>""</f>
        <v/>
      </c>
      <c r="BV437" t="str">
        <f>""</f>
        <v/>
      </c>
      <c r="BW437" t="str">
        <f>""</f>
        <v/>
      </c>
      <c r="BX437" t="str">
        <f>""</f>
        <v/>
      </c>
      <c r="BY437" t="str">
        <f>""</f>
        <v/>
      </c>
      <c r="BZ437" t="str">
        <f>""</f>
        <v/>
      </c>
      <c r="CA437" t="str">
        <f>""</f>
        <v/>
      </c>
      <c r="CB437" t="str">
        <f>""</f>
        <v/>
      </c>
      <c r="CC437" t="str">
        <f>""</f>
        <v/>
      </c>
      <c r="CD437" t="str">
        <f>""</f>
        <v/>
      </c>
      <c r="CE437" t="str">
        <f>""</f>
        <v/>
      </c>
      <c r="CF437" t="str">
        <f>""</f>
        <v/>
      </c>
      <c r="CG437" t="str">
        <f>""</f>
        <v/>
      </c>
      <c r="CH437" t="str">
        <f>""</f>
        <v/>
      </c>
      <c r="CI437" t="str">
        <f>""</f>
        <v/>
      </c>
      <c r="CJ437" t="str">
        <f>""</f>
        <v/>
      </c>
      <c r="CK437" t="str">
        <f>""</f>
        <v/>
      </c>
      <c r="CL437" t="str">
        <f>""</f>
        <v/>
      </c>
      <c r="CM437" t="str">
        <f>""</f>
        <v/>
      </c>
      <c r="CN437" t="str">
        <f>""</f>
        <v/>
      </c>
      <c r="CO437" t="str">
        <f>""</f>
        <v/>
      </c>
      <c r="CP437" t="str">
        <f>""</f>
        <v/>
      </c>
      <c r="CQ437" t="str">
        <f>""</f>
        <v/>
      </c>
      <c r="CR437" t="str">
        <f>""</f>
        <v/>
      </c>
      <c r="CS437" t="str">
        <f>""</f>
        <v/>
      </c>
      <c r="CT437" t="str">
        <f>""</f>
        <v/>
      </c>
      <c r="CU437" t="str">
        <f>""</f>
        <v/>
      </c>
      <c r="CV437" t="str">
        <f>""</f>
        <v/>
      </c>
      <c r="CW437" t="str">
        <f>""</f>
        <v/>
      </c>
      <c r="CX437" t="str">
        <f>""</f>
        <v/>
      </c>
      <c r="CY437" t="str">
        <f>""</f>
        <v/>
      </c>
      <c r="CZ437" t="str">
        <f>""</f>
        <v/>
      </c>
      <c r="DA437" t="str">
        <f>""</f>
        <v/>
      </c>
      <c r="DB437" t="str">
        <f>""</f>
        <v/>
      </c>
      <c r="DC437" t="str">
        <f>""</f>
        <v/>
      </c>
      <c r="DD437" t="str">
        <f>""</f>
        <v/>
      </c>
      <c r="DE437" t="str">
        <f>""</f>
        <v/>
      </c>
      <c r="DF437" t="str">
        <f>""</f>
        <v/>
      </c>
      <c r="DG437" t="str">
        <f>""</f>
        <v/>
      </c>
      <c r="DH437" t="str">
        <f>""</f>
        <v/>
      </c>
      <c r="DI437" t="str">
        <f>""</f>
        <v/>
      </c>
      <c r="DJ437" t="str">
        <f>""</f>
        <v/>
      </c>
      <c r="DK437" t="str">
        <f>""</f>
        <v/>
      </c>
      <c r="DL437" t="str">
        <f>""</f>
        <v/>
      </c>
      <c r="DM437" t="str">
        <f>""</f>
        <v/>
      </c>
      <c r="DN437" t="str">
        <f>""</f>
        <v/>
      </c>
      <c r="DO437" t="str">
        <f>""</f>
        <v/>
      </c>
      <c r="DP437" t="str">
        <f>""</f>
        <v/>
      </c>
      <c r="DQ437" t="str">
        <f>""</f>
        <v/>
      </c>
      <c r="DR437" t="str">
        <f>""</f>
        <v/>
      </c>
      <c r="DS437" t="str">
        <f>""</f>
        <v/>
      </c>
      <c r="DT437" t="str">
        <f>""</f>
        <v/>
      </c>
      <c r="DU437" t="str">
        <f>""</f>
        <v/>
      </c>
    </row>
    <row r="438" spans="1:125">
      <c r="A438" t="str">
        <f>$A$198</f>
        <v xml:space="preserve">    HCP Inc</v>
      </c>
      <c r="B438" t="str">
        <f>$B$198</f>
        <v>HCP US Equity</v>
      </c>
      <c r="C438" t="str">
        <f>$C$198</f>
        <v>RR052</v>
      </c>
      <c r="D438" t="str">
        <f>$D$198</f>
        <v>TOT_DEBT_TO_EBITDA</v>
      </c>
      <c r="E438" t="str">
        <f>$E$198</f>
        <v>动态</v>
      </c>
      <c r="F438" t="str">
        <f ca="1">BDH($B$198,$C$198,$B$256,$B$257,CONCATENATE("Per=",$B$254),"Dts=H","Dir=H",CONCATENATE("Points=",$B$255),"Sort=R","Days=A","Fill=B",CONCATENATE("FX=", $B$253) )</f>
        <v>#N/A Authorization</v>
      </c>
      <c r="BN438" t="str">
        <f>""</f>
        <v/>
      </c>
      <c r="BO438" t="str">
        <f>""</f>
        <v/>
      </c>
      <c r="BP438" t="str">
        <f>""</f>
        <v/>
      </c>
      <c r="BQ438" t="str">
        <f>""</f>
        <v/>
      </c>
      <c r="BR438" t="str">
        <f>""</f>
        <v/>
      </c>
      <c r="BS438" t="str">
        <f>""</f>
        <v/>
      </c>
      <c r="BT438" t="str">
        <f>""</f>
        <v/>
      </c>
      <c r="BU438" t="str">
        <f>""</f>
        <v/>
      </c>
      <c r="BV438" t="str">
        <f>""</f>
        <v/>
      </c>
      <c r="BW438" t="str">
        <f>""</f>
        <v/>
      </c>
      <c r="BX438" t="str">
        <f>""</f>
        <v/>
      </c>
      <c r="BY438" t="str">
        <f>""</f>
        <v/>
      </c>
      <c r="BZ438" t="str">
        <f>""</f>
        <v/>
      </c>
      <c r="CA438" t="str">
        <f>""</f>
        <v/>
      </c>
      <c r="CB438" t="str">
        <f>""</f>
        <v/>
      </c>
      <c r="CC438" t="str">
        <f>""</f>
        <v/>
      </c>
      <c r="CD438" t="str">
        <f>""</f>
        <v/>
      </c>
      <c r="CE438" t="str">
        <f>""</f>
        <v/>
      </c>
      <c r="CF438" t="str">
        <f>""</f>
        <v/>
      </c>
      <c r="CG438" t="str">
        <f>""</f>
        <v/>
      </c>
      <c r="CH438" t="str">
        <f>""</f>
        <v/>
      </c>
      <c r="CI438" t="str">
        <f>""</f>
        <v/>
      </c>
      <c r="CJ438" t="str">
        <f>""</f>
        <v/>
      </c>
      <c r="CK438" t="str">
        <f>""</f>
        <v/>
      </c>
      <c r="CL438" t="str">
        <f>""</f>
        <v/>
      </c>
      <c r="CM438" t="str">
        <f>""</f>
        <v/>
      </c>
      <c r="CN438" t="str">
        <f>""</f>
        <v/>
      </c>
      <c r="CO438" t="str">
        <f>""</f>
        <v/>
      </c>
      <c r="CP438" t="str">
        <f>""</f>
        <v/>
      </c>
      <c r="CQ438" t="str">
        <f>""</f>
        <v/>
      </c>
      <c r="CR438" t="str">
        <f>""</f>
        <v/>
      </c>
      <c r="CS438" t="str">
        <f>""</f>
        <v/>
      </c>
      <c r="CT438" t="str">
        <f>""</f>
        <v/>
      </c>
      <c r="CU438" t="str">
        <f>""</f>
        <v/>
      </c>
      <c r="CV438" t="str">
        <f>""</f>
        <v/>
      </c>
      <c r="CW438" t="str">
        <f>""</f>
        <v/>
      </c>
      <c r="CX438" t="str">
        <f>""</f>
        <v/>
      </c>
      <c r="CY438" t="str">
        <f>""</f>
        <v/>
      </c>
      <c r="CZ438" t="str">
        <f>""</f>
        <v/>
      </c>
      <c r="DA438" t="str">
        <f>""</f>
        <v/>
      </c>
      <c r="DB438" t="str">
        <f>""</f>
        <v/>
      </c>
      <c r="DC438" t="str">
        <f>""</f>
        <v/>
      </c>
      <c r="DD438" t="str">
        <f>""</f>
        <v/>
      </c>
      <c r="DE438" t="str">
        <f>""</f>
        <v/>
      </c>
      <c r="DF438" t="str">
        <f>""</f>
        <v/>
      </c>
      <c r="DG438" t="str">
        <f>""</f>
        <v/>
      </c>
      <c r="DH438" t="str">
        <f>""</f>
        <v/>
      </c>
      <c r="DI438" t="str">
        <f>""</f>
        <v/>
      </c>
      <c r="DJ438" t="str">
        <f>""</f>
        <v/>
      </c>
      <c r="DK438" t="str">
        <f>""</f>
        <v/>
      </c>
      <c r="DL438" t="str">
        <f>""</f>
        <v/>
      </c>
      <c r="DM438" t="str">
        <f>""</f>
        <v/>
      </c>
      <c r="DN438" t="str">
        <f>""</f>
        <v/>
      </c>
      <c r="DO438" t="str">
        <f>""</f>
        <v/>
      </c>
      <c r="DP438" t="str">
        <f>""</f>
        <v/>
      </c>
      <c r="DQ438" t="str">
        <f>""</f>
        <v/>
      </c>
      <c r="DR438" t="str">
        <f>""</f>
        <v/>
      </c>
      <c r="DS438" t="str">
        <f>""</f>
        <v/>
      </c>
      <c r="DT438" t="str">
        <f>""</f>
        <v/>
      </c>
      <c r="DU438" t="str">
        <f>""</f>
        <v/>
      </c>
    </row>
    <row r="439" spans="1:125">
      <c r="A439" t="str">
        <f>$A$199</f>
        <v xml:space="preserve">    Healthcare Realty Trust Inc</v>
      </c>
      <c r="B439" t="str">
        <f>$B$199</f>
        <v>HR US Equity</v>
      </c>
      <c r="C439" t="str">
        <f>$C$199</f>
        <v>RR052</v>
      </c>
      <c r="D439" t="str">
        <f>$D$199</f>
        <v>TOT_DEBT_TO_EBITDA</v>
      </c>
      <c r="E439" t="str">
        <f>$E$199</f>
        <v>动态</v>
      </c>
      <c r="F439" t="str">
        <f ca="1">BDH($B$199,$C$199,$B$256,$B$257,CONCATENATE("Per=",$B$254),"Dts=H","Dir=H",CONCATENATE("Points=",$B$255),"Sort=R","Days=A","Fill=B",CONCATENATE("FX=", $B$253) )</f>
        <v>#N/A Authorization</v>
      </c>
      <c r="BN439" t="str">
        <f>""</f>
        <v/>
      </c>
      <c r="BO439" t="str">
        <f>""</f>
        <v/>
      </c>
      <c r="BP439" t="str">
        <f>""</f>
        <v/>
      </c>
      <c r="BQ439" t="str">
        <f>""</f>
        <v/>
      </c>
      <c r="BR439" t="str">
        <f>""</f>
        <v/>
      </c>
      <c r="BS439" t="str">
        <f>""</f>
        <v/>
      </c>
      <c r="BT439" t="str">
        <f>""</f>
        <v/>
      </c>
      <c r="BU439" t="str">
        <f>""</f>
        <v/>
      </c>
      <c r="BV439" t="str">
        <f>""</f>
        <v/>
      </c>
      <c r="BW439" t="str">
        <f>""</f>
        <v/>
      </c>
      <c r="BX439" t="str">
        <f>""</f>
        <v/>
      </c>
      <c r="BY439" t="str">
        <f>""</f>
        <v/>
      </c>
      <c r="BZ439" t="str">
        <f>""</f>
        <v/>
      </c>
      <c r="CA439" t="str">
        <f>""</f>
        <v/>
      </c>
      <c r="CB439" t="str">
        <f>""</f>
        <v/>
      </c>
      <c r="CC439" t="str">
        <f>""</f>
        <v/>
      </c>
      <c r="CD439" t="str">
        <f>""</f>
        <v/>
      </c>
      <c r="CE439" t="str">
        <f>""</f>
        <v/>
      </c>
      <c r="CF439" t="str">
        <f>""</f>
        <v/>
      </c>
      <c r="CG439" t="str">
        <f>""</f>
        <v/>
      </c>
      <c r="CH439" t="str">
        <f>""</f>
        <v/>
      </c>
      <c r="CI439" t="str">
        <f>""</f>
        <v/>
      </c>
      <c r="CJ439" t="str">
        <f>""</f>
        <v/>
      </c>
      <c r="CK439" t="str">
        <f>""</f>
        <v/>
      </c>
      <c r="CL439" t="str">
        <f>""</f>
        <v/>
      </c>
      <c r="CM439" t="str">
        <f>""</f>
        <v/>
      </c>
      <c r="CN439" t="str">
        <f>""</f>
        <v/>
      </c>
      <c r="CO439" t="str">
        <f>""</f>
        <v/>
      </c>
      <c r="CP439" t="str">
        <f>""</f>
        <v/>
      </c>
      <c r="CQ439" t="str">
        <f>""</f>
        <v/>
      </c>
      <c r="CR439" t="str">
        <f>""</f>
        <v/>
      </c>
      <c r="CS439" t="str">
        <f>""</f>
        <v/>
      </c>
      <c r="CT439" t="str">
        <f>""</f>
        <v/>
      </c>
      <c r="CU439" t="str">
        <f>""</f>
        <v/>
      </c>
      <c r="CV439" t="str">
        <f>""</f>
        <v/>
      </c>
      <c r="CW439" t="str">
        <f>""</f>
        <v/>
      </c>
      <c r="CX439" t="str">
        <f>""</f>
        <v/>
      </c>
      <c r="CY439" t="str">
        <f>""</f>
        <v/>
      </c>
      <c r="CZ439" t="str">
        <f>""</f>
        <v/>
      </c>
      <c r="DA439" t="str">
        <f>""</f>
        <v/>
      </c>
      <c r="DB439" t="str">
        <f>""</f>
        <v/>
      </c>
      <c r="DC439" t="str">
        <f>""</f>
        <v/>
      </c>
      <c r="DD439" t="str">
        <f>""</f>
        <v/>
      </c>
      <c r="DE439" t="str">
        <f>""</f>
        <v/>
      </c>
      <c r="DF439" t="str">
        <f>""</f>
        <v/>
      </c>
      <c r="DG439" t="str">
        <f>""</f>
        <v/>
      </c>
      <c r="DH439" t="str">
        <f>""</f>
        <v/>
      </c>
      <c r="DI439" t="str">
        <f>""</f>
        <v/>
      </c>
      <c r="DJ439" t="str">
        <f>""</f>
        <v/>
      </c>
      <c r="DK439" t="str">
        <f>""</f>
        <v/>
      </c>
      <c r="DL439" t="str">
        <f>""</f>
        <v/>
      </c>
      <c r="DM439" t="str">
        <f>""</f>
        <v/>
      </c>
      <c r="DN439" t="str">
        <f>""</f>
        <v/>
      </c>
      <c r="DO439" t="str">
        <f>""</f>
        <v/>
      </c>
      <c r="DP439" t="str">
        <f>""</f>
        <v/>
      </c>
      <c r="DQ439" t="str">
        <f>""</f>
        <v/>
      </c>
      <c r="DR439" t="str">
        <f>""</f>
        <v/>
      </c>
      <c r="DS439" t="str">
        <f>""</f>
        <v/>
      </c>
      <c r="DT439" t="str">
        <f>""</f>
        <v/>
      </c>
      <c r="DU439" t="str">
        <f>""</f>
        <v/>
      </c>
    </row>
    <row r="440" spans="1:125">
      <c r="A440" t="str">
        <f>$A$200</f>
        <v xml:space="preserve">    Healthcare Trust of America In</v>
      </c>
      <c r="B440" t="str">
        <f>$B$200</f>
        <v>HTA US Equity</v>
      </c>
      <c r="C440" t="str">
        <f>$C$200</f>
        <v>RR052</v>
      </c>
      <c r="D440" t="str">
        <f>$D$200</f>
        <v>TOT_DEBT_TO_EBITDA</v>
      </c>
      <c r="E440" t="str">
        <f>$E$200</f>
        <v>动态</v>
      </c>
      <c r="F440" t="str">
        <f ca="1">BDH($B$200,$C$200,$B$256,$B$257,CONCATENATE("Per=",$B$254),"Dts=H","Dir=H",CONCATENATE("Points=",$B$255),"Sort=R","Days=A","Fill=B",CONCATENATE("FX=", $B$253) )</f>
        <v>#N/A Authorization</v>
      </c>
      <c r="BN440" t="str">
        <f>""</f>
        <v/>
      </c>
      <c r="BO440" t="str">
        <f>""</f>
        <v/>
      </c>
      <c r="BP440" t="str">
        <f>""</f>
        <v/>
      </c>
      <c r="BQ440" t="str">
        <f>""</f>
        <v/>
      </c>
      <c r="BR440" t="str">
        <f>""</f>
        <v/>
      </c>
      <c r="BS440" t="str">
        <f>""</f>
        <v/>
      </c>
      <c r="BT440" t="str">
        <f>""</f>
        <v/>
      </c>
      <c r="BU440" t="str">
        <f>""</f>
        <v/>
      </c>
      <c r="BV440" t="str">
        <f>""</f>
        <v/>
      </c>
      <c r="BW440" t="str">
        <f>""</f>
        <v/>
      </c>
      <c r="BX440" t="str">
        <f>""</f>
        <v/>
      </c>
      <c r="BY440" t="str">
        <f>""</f>
        <v/>
      </c>
      <c r="BZ440" t="str">
        <f>""</f>
        <v/>
      </c>
      <c r="CA440" t="str">
        <f>""</f>
        <v/>
      </c>
      <c r="CB440" t="str">
        <f>""</f>
        <v/>
      </c>
      <c r="CC440" t="str">
        <f>""</f>
        <v/>
      </c>
      <c r="CD440" t="str">
        <f>""</f>
        <v/>
      </c>
      <c r="CE440" t="str">
        <f>""</f>
        <v/>
      </c>
      <c r="CF440" t="str">
        <f>""</f>
        <v/>
      </c>
      <c r="CG440" t="str">
        <f>""</f>
        <v/>
      </c>
      <c r="CH440" t="str">
        <f>""</f>
        <v/>
      </c>
      <c r="CI440" t="str">
        <f>""</f>
        <v/>
      </c>
      <c r="CJ440" t="str">
        <f>""</f>
        <v/>
      </c>
      <c r="CK440" t="str">
        <f>""</f>
        <v/>
      </c>
      <c r="CL440" t="str">
        <f>""</f>
        <v/>
      </c>
      <c r="CM440" t="str">
        <f>""</f>
        <v/>
      </c>
      <c r="CN440" t="str">
        <f>""</f>
        <v/>
      </c>
      <c r="CO440" t="str">
        <f>""</f>
        <v/>
      </c>
      <c r="CP440" t="str">
        <f>""</f>
        <v/>
      </c>
      <c r="CQ440" t="str">
        <f>""</f>
        <v/>
      </c>
      <c r="CR440" t="str">
        <f>""</f>
        <v/>
      </c>
      <c r="CS440" t="str">
        <f>""</f>
        <v/>
      </c>
      <c r="CT440" t="str">
        <f>""</f>
        <v/>
      </c>
      <c r="CU440" t="str">
        <f>""</f>
        <v/>
      </c>
      <c r="CV440" t="str">
        <f>""</f>
        <v/>
      </c>
      <c r="CW440" t="str">
        <f>""</f>
        <v/>
      </c>
      <c r="CX440" t="str">
        <f>""</f>
        <v/>
      </c>
      <c r="CY440" t="str">
        <f>""</f>
        <v/>
      </c>
      <c r="CZ440" t="str">
        <f>""</f>
        <v/>
      </c>
      <c r="DA440" t="str">
        <f>""</f>
        <v/>
      </c>
      <c r="DB440" t="str">
        <f>""</f>
        <v/>
      </c>
      <c r="DC440" t="str">
        <f>""</f>
        <v/>
      </c>
      <c r="DD440" t="str">
        <f>""</f>
        <v/>
      </c>
      <c r="DE440" t="str">
        <f>""</f>
        <v/>
      </c>
      <c r="DF440" t="str">
        <f>""</f>
        <v/>
      </c>
      <c r="DG440" t="str">
        <f>""</f>
        <v/>
      </c>
      <c r="DH440" t="str">
        <f>""</f>
        <v/>
      </c>
      <c r="DI440" t="str">
        <f>""</f>
        <v/>
      </c>
      <c r="DJ440" t="str">
        <f>""</f>
        <v/>
      </c>
      <c r="DK440" t="str">
        <f>""</f>
        <v/>
      </c>
      <c r="DL440" t="str">
        <f>""</f>
        <v/>
      </c>
      <c r="DM440" t="str">
        <f>""</f>
        <v/>
      </c>
      <c r="DN440" t="str">
        <f>""</f>
        <v/>
      </c>
      <c r="DO440" t="str">
        <f>""</f>
        <v/>
      </c>
      <c r="DP440" t="str">
        <f>""</f>
        <v/>
      </c>
      <c r="DQ440" t="str">
        <f>""</f>
        <v/>
      </c>
      <c r="DR440" t="str">
        <f>""</f>
        <v/>
      </c>
      <c r="DS440" t="str">
        <f>""</f>
        <v/>
      </c>
      <c r="DT440" t="str">
        <f>""</f>
        <v/>
      </c>
      <c r="DU440" t="str">
        <f>""</f>
        <v/>
      </c>
    </row>
    <row r="441" spans="1:125">
      <c r="A441" t="str">
        <f>$A$201</f>
        <v xml:space="preserve">    Medical Properties Trust Inc</v>
      </c>
      <c r="B441" t="str">
        <f>$B$201</f>
        <v>MPW US Equity</v>
      </c>
      <c r="C441" t="str">
        <f>$C$201</f>
        <v>RR052</v>
      </c>
      <c r="D441" t="str">
        <f>$D$201</f>
        <v>TOT_DEBT_TO_EBITDA</v>
      </c>
      <c r="E441" t="str">
        <f>$E$201</f>
        <v>动态</v>
      </c>
      <c r="F441" t="str">
        <f ca="1">BDH($B$201,$C$201,$B$256,$B$257,CONCATENATE("Per=",$B$254),"Dts=H","Dir=H",CONCATENATE("Points=",$B$255),"Sort=R","Days=A","Fill=B",CONCATENATE("FX=", $B$253) )</f>
        <v>#N/A Authorization</v>
      </c>
      <c r="BN441" t="str">
        <f>""</f>
        <v/>
      </c>
      <c r="BO441" t="str">
        <f>""</f>
        <v/>
      </c>
      <c r="BP441" t="str">
        <f>""</f>
        <v/>
      </c>
      <c r="BQ441" t="str">
        <f>""</f>
        <v/>
      </c>
      <c r="BR441" t="str">
        <f>""</f>
        <v/>
      </c>
      <c r="BS441" t="str">
        <f>""</f>
        <v/>
      </c>
      <c r="BT441" t="str">
        <f>""</f>
        <v/>
      </c>
      <c r="BU441" t="str">
        <f>""</f>
        <v/>
      </c>
      <c r="BV441" t="str">
        <f>""</f>
        <v/>
      </c>
      <c r="BW441" t="str">
        <f>""</f>
        <v/>
      </c>
      <c r="BX441" t="str">
        <f>""</f>
        <v/>
      </c>
      <c r="BY441" t="str">
        <f>""</f>
        <v/>
      </c>
      <c r="BZ441" t="str">
        <f>""</f>
        <v/>
      </c>
      <c r="CA441" t="str">
        <f>""</f>
        <v/>
      </c>
      <c r="CB441" t="str">
        <f>""</f>
        <v/>
      </c>
      <c r="CC441" t="str">
        <f>""</f>
        <v/>
      </c>
      <c r="CD441" t="str">
        <f>""</f>
        <v/>
      </c>
      <c r="CE441" t="str">
        <f>""</f>
        <v/>
      </c>
      <c r="CF441" t="str">
        <f>""</f>
        <v/>
      </c>
      <c r="CG441" t="str">
        <f>""</f>
        <v/>
      </c>
      <c r="CH441" t="str">
        <f>""</f>
        <v/>
      </c>
      <c r="CI441" t="str">
        <f>""</f>
        <v/>
      </c>
      <c r="CJ441" t="str">
        <f>""</f>
        <v/>
      </c>
      <c r="CK441" t="str">
        <f>""</f>
        <v/>
      </c>
      <c r="CL441" t="str">
        <f>""</f>
        <v/>
      </c>
      <c r="CM441" t="str">
        <f>""</f>
        <v/>
      </c>
      <c r="CN441" t="str">
        <f>""</f>
        <v/>
      </c>
      <c r="CO441" t="str">
        <f>""</f>
        <v/>
      </c>
      <c r="CP441" t="str">
        <f>""</f>
        <v/>
      </c>
      <c r="CQ441" t="str">
        <f>""</f>
        <v/>
      </c>
      <c r="CR441" t="str">
        <f>""</f>
        <v/>
      </c>
      <c r="CS441" t="str">
        <f>""</f>
        <v/>
      </c>
      <c r="CT441" t="str">
        <f>""</f>
        <v/>
      </c>
      <c r="CU441" t="str">
        <f>""</f>
        <v/>
      </c>
      <c r="CV441" t="str">
        <f>""</f>
        <v/>
      </c>
      <c r="CW441" t="str">
        <f>""</f>
        <v/>
      </c>
      <c r="CX441" t="str">
        <f>""</f>
        <v/>
      </c>
      <c r="CY441" t="str">
        <f>""</f>
        <v/>
      </c>
      <c r="CZ441" t="str">
        <f>""</f>
        <v/>
      </c>
      <c r="DA441" t="str">
        <f>""</f>
        <v/>
      </c>
      <c r="DB441" t="str">
        <f>""</f>
        <v/>
      </c>
      <c r="DC441" t="str">
        <f>""</f>
        <v/>
      </c>
      <c r="DD441" t="str">
        <f>""</f>
        <v/>
      </c>
      <c r="DE441" t="str">
        <f>""</f>
        <v/>
      </c>
      <c r="DF441" t="str">
        <f>""</f>
        <v/>
      </c>
      <c r="DG441" t="str">
        <f>""</f>
        <v/>
      </c>
      <c r="DH441" t="str">
        <f>""</f>
        <v/>
      </c>
      <c r="DI441" t="str">
        <f>""</f>
        <v/>
      </c>
      <c r="DJ441" t="str">
        <f>""</f>
        <v/>
      </c>
      <c r="DK441" t="str">
        <f>""</f>
        <v/>
      </c>
      <c r="DL441" t="str">
        <f>""</f>
        <v/>
      </c>
      <c r="DM441" t="str">
        <f>""</f>
        <v/>
      </c>
      <c r="DN441" t="str">
        <f>""</f>
        <v/>
      </c>
      <c r="DO441" t="str">
        <f>""</f>
        <v/>
      </c>
      <c r="DP441" t="str">
        <f>""</f>
        <v/>
      </c>
      <c r="DQ441" t="str">
        <f>""</f>
        <v/>
      </c>
      <c r="DR441" t="str">
        <f>""</f>
        <v/>
      </c>
      <c r="DS441" t="str">
        <f>""</f>
        <v/>
      </c>
      <c r="DT441" t="str">
        <f>""</f>
        <v/>
      </c>
      <c r="DU441" t="str">
        <f>""</f>
        <v/>
      </c>
    </row>
    <row r="442" spans="1:125">
      <c r="A442" t="str">
        <f>$A$202</f>
        <v xml:space="preserve">    Omega Healthcare Investors Inc</v>
      </c>
      <c r="B442" t="str">
        <f>$B$202</f>
        <v>OHI US Equity</v>
      </c>
      <c r="C442" t="str">
        <f>$C$202</f>
        <v>RR052</v>
      </c>
      <c r="D442" t="str">
        <f>$D$202</f>
        <v>TOT_DEBT_TO_EBITDA</v>
      </c>
      <c r="E442" t="str">
        <f>$E$202</f>
        <v>动态</v>
      </c>
      <c r="F442" t="str">
        <f ca="1">BDH($B$202,$C$202,$B$256,$B$257,CONCATENATE("Per=",$B$254),"Dts=H","Dir=H",CONCATENATE("Points=",$B$255),"Sort=R","Days=A","Fill=B",CONCATENATE("FX=", $B$253) )</f>
        <v>#N/A Authorization</v>
      </c>
      <c r="BN442" t="str">
        <f>""</f>
        <v/>
      </c>
      <c r="BO442" t="str">
        <f>""</f>
        <v/>
      </c>
      <c r="BP442" t="str">
        <f>""</f>
        <v/>
      </c>
      <c r="BQ442" t="str">
        <f>""</f>
        <v/>
      </c>
      <c r="BR442" t="str">
        <f>""</f>
        <v/>
      </c>
      <c r="BS442" t="str">
        <f>""</f>
        <v/>
      </c>
      <c r="BT442" t="str">
        <f>""</f>
        <v/>
      </c>
      <c r="BU442" t="str">
        <f>""</f>
        <v/>
      </c>
      <c r="BV442" t="str">
        <f>""</f>
        <v/>
      </c>
      <c r="BW442" t="str">
        <f>""</f>
        <v/>
      </c>
      <c r="BX442" t="str">
        <f>""</f>
        <v/>
      </c>
      <c r="BY442" t="str">
        <f>""</f>
        <v/>
      </c>
      <c r="BZ442" t="str">
        <f>""</f>
        <v/>
      </c>
      <c r="CA442" t="str">
        <f>""</f>
        <v/>
      </c>
      <c r="CB442" t="str">
        <f>""</f>
        <v/>
      </c>
      <c r="CC442" t="str">
        <f>""</f>
        <v/>
      </c>
      <c r="CD442" t="str">
        <f>""</f>
        <v/>
      </c>
      <c r="CE442" t="str">
        <f>""</f>
        <v/>
      </c>
      <c r="CF442" t="str">
        <f>""</f>
        <v/>
      </c>
      <c r="CG442" t="str">
        <f>""</f>
        <v/>
      </c>
      <c r="CH442" t="str">
        <f>""</f>
        <v/>
      </c>
      <c r="CI442" t="str">
        <f>""</f>
        <v/>
      </c>
      <c r="CJ442" t="str">
        <f>""</f>
        <v/>
      </c>
      <c r="CK442" t="str">
        <f>""</f>
        <v/>
      </c>
      <c r="CL442" t="str">
        <f>""</f>
        <v/>
      </c>
      <c r="CM442" t="str">
        <f>""</f>
        <v/>
      </c>
      <c r="CN442" t="str">
        <f>""</f>
        <v/>
      </c>
      <c r="CO442" t="str">
        <f>""</f>
        <v/>
      </c>
      <c r="CP442" t="str">
        <f>""</f>
        <v/>
      </c>
      <c r="CQ442" t="str">
        <f>""</f>
        <v/>
      </c>
      <c r="CR442" t="str">
        <f>""</f>
        <v/>
      </c>
      <c r="CS442" t="str">
        <f>""</f>
        <v/>
      </c>
      <c r="CT442" t="str">
        <f>""</f>
        <v/>
      </c>
      <c r="CU442" t="str">
        <f>""</f>
        <v/>
      </c>
      <c r="CV442" t="str">
        <f>""</f>
        <v/>
      </c>
      <c r="CW442" t="str">
        <f>""</f>
        <v/>
      </c>
      <c r="CX442" t="str">
        <f>""</f>
        <v/>
      </c>
      <c r="CY442" t="str">
        <f>""</f>
        <v/>
      </c>
      <c r="CZ442" t="str">
        <f>""</f>
        <v/>
      </c>
      <c r="DA442" t="str">
        <f>""</f>
        <v/>
      </c>
      <c r="DB442" t="str">
        <f>""</f>
        <v/>
      </c>
      <c r="DC442" t="str">
        <f>""</f>
        <v/>
      </c>
      <c r="DD442" t="str">
        <f>""</f>
        <v/>
      </c>
      <c r="DE442" t="str">
        <f>""</f>
        <v/>
      </c>
      <c r="DF442" t="str">
        <f>""</f>
        <v/>
      </c>
      <c r="DG442" t="str">
        <f>""</f>
        <v/>
      </c>
      <c r="DH442" t="str">
        <f>""</f>
        <v/>
      </c>
      <c r="DI442" t="str">
        <f>""</f>
        <v/>
      </c>
      <c r="DJ442" t="str">
        <f>""</f>
        <v/>
      </c>
      <c r="DK442" t="str">
        <f>""</f>
        <v/>
      </c>
      <c r="DL442" t="str">
        <f>""</f>
        <v/>
      </c>
      <c r="DM442" t="str">
        <f>""</f>
        <v/>
      </c>
      <c r="DN442" t="str">
        <f>""</f>
        <v/>
      </c>
      <c r="DO442" t="str">
        <f>""</f>
        <v/>
      </c>
      <c r="DP442" t="str">
        <f>""</f>
        <v/>
      </c>
      <c r="DQ442" t="str">
        <f>""</f>
        <v/>
      </c>
      <c r="DR442" t="str">
        <f>""</f>
        <v/>
      </c>
      <c r="DS442" t="str">
        <f>""</f>
        <v/>
      </c>
      <c r="DT442" t="str">
        <f>""</f>
        <v/>
      </c>
      <c r="DU442" t="str">
        <f>""</f>
        <v/>
      </c>
    </row>
    <row r="443" spans="1:125">
      <c r="A443" t="str">
        <f>$A$203</f>
        <v xml:space="preserve">    Sabra Health Care REIT Inc</v>
      </c>
      <c r="B443" t="str">
        <f>$B$203</f>
        <v>SBRA US Equity</v>
      </c>
      <c r="C443" t="str">
        <f>$C$203</f>
        <v>RR052</v>
      </c>
      <c r="D443" t="str">
        <f>$D$203</f>
        <v>TOT_DEBT_TO_EBITDA</v>
      </c>
      <c r="E443" t="str">
        <f>$E$203</f>
        <v>动态</v>
      </c>
      <c r="F443" t="str">
        <f ca="1">BDH($B$203,$C$203,$B$256,$B$257,CONCATENATE("Per=",$B$254),"Dts=H","Dir=H",CONCATENATE("Points=",$B$255),"Sort=R","Days=A","Fill=B",CONCATENATE("FX=", $B$253) )</f>
        <v>#N/A Authorization</v>
      </c>
      <c r="BN443" t="str">
        <f>""</f>
        <v/>
      </c>
      <c r="BO443" t="str">
        <f>""</f>
        <v/>
      </c>
      <c r="BP443" t="str">
        <f>""</f>
        <v/>
      </c>
      <c r="BQ443" t="str">
        <f>""</f>
        <v/>
      </c>
      <c r="BR443" t="str">
        <f>""</f>
        <v/>
      </c>
      <c r="BS443" t="str">
        <f>""</f>
        <v/>
      </c>
      <c r="BT443" t="str">
        <f>""</f>
        <v/>
      </c>
      <c r="BU443" t="str">
        <f>""</f>
        <v/>
      </c>
      <c r="BV443" t="str">
        <f>""</f>
        <v/>
      </c>
      <c r="BW443" t="str">
        <f>""</f>
        <v/>
      </c>
      <c r="BX443" t="str">
        <f>""</f>
        <v/>
      </c>
      <c r="BY443" t="str">
        <f>""</f>
        <v/>
      </c>
      <c r="BZ443" t="str">
        <f>""</f>
        <v/>
      </c>
      <c r="CA443" t="str">
        <f>""</f>
        <v/>
      </c>
      <c r="CB443" t="str">
        <f>""</f>
        <v/>
      </c>
      <c r="CC443" t="str">
        <f>""</f>
        <v/>
      </c>
      <c r="CD443" t="str">
        <f>""</f>
        <v/>
      </c>
      <c r="CE443" t="str">
        <f>""</f>
        <v/>
      </c>
      <c r="CF443" t="str">
        <f>""</f>
        <v/>
      </c>
      <c r="CG443" t="str">
        <f>""</f>
        <v/>
      </c>
      <c r="CH443" t="str">
        <f>""</f>
        <v/>
      </c>
      <c r="CI443" t="str">
        <f>""</f>
        <v/>
      </c>
      <c r="CJ443" t="str">
        <f>""</f>
        <v/>
      </c>
      <c r="CK443" t="str">
        <f>""</f>
        <v/>
      </c>
      <c r="CL443" t="str">
        <f>""</f>
        <v/>
      </c>
      <c r="CM443" t="str">
        <f>""</f>
        <v/>
      </c>
      <c r="CN443" t="str">
        <f>""</f>
        <v/>
      </c>
      <c r="CO443" t="str">
        <f>""</f>
        <v/>
      </c>
      <c r="CP443" t="str">
        <f>""</f>
        <v/>
      </c>
      <c r="CQ443" t="str">
        <f>""</f>
        <v/>
      </c>
      <c r="CR443" t="str">
        <f>""</f>
        <v/>
      </c>
      <c r="CS443" t="str">
        <f>""</f>
        <v/>
      </c>
      <c r="CT443" t="str">
        <f>""</f>
        <v/>
      </c>
      <c r="CU443" t="str">
        <f>""</f>
        <v/>
      </c>
      <c r="CV443" t="str">
        <f>""</f>
        <v/>
      </c>
      <c r="CW443" t="str">
        <f>""</f>
        <v/>
      </c>
      <c r="CX443" t="str">
        <f>""</f>
        <v/>
      </c>
      <c r="CY443" t="str">
        <f>""</f>
        <v/>
      </c>
      <c r="CZ443" t="str">
        <f>""</f>
        <v/>
      </c>
      <c r="DA443" t="str">
        <f>""</f>
        <v/>
      </c>
      <c r="DB443" t="str">
        <f>""</f>
        <v/>
      </c>
      <c r="DC443" t="str">
        <f>""</f>
        <v/>
      </c>
      <c r="DD443" t="str">
        <f>""</f>
        <v/>
      </c>
      <c r="DE443" t="str">
        <f>""</f>
        <v/>
      </c>
      <c r="DF443" t="str">
        <f>""</f>
        <v/>
      </c>
      <c r="DG443" t="str">
        <f>""</f>
        <v/>
      </c>
      <c r="DH443" t="str">
        <f>""</f>
        <v/>
      </c>
      <c r="DI443" t="str">
        <f>""</f>
        <v/>
      </c>
      <c r="DJ443" t="str">
        <f>""</f>
        <v/>
      </c>
      <c r="DK443" t="str">
        <f>""</f>
        <v/>
      </c>
      <c r="DL443" t="str">
        <f>""</f>
        <v/>
      </c>
      <c r="DM443" t="str">
        <f>""</f>
        <v/>
      </c>
      <c r="DN443" t="str">
        <f>""</f>
        <v/>
      </c>
      <c r="DO443" t="str">
        <f>""</f>
        <v/>
      </c>
      <c r="DP443" t="str">
        <f>""</f>
        <v/>
      </c>
      <c r="DQ443" t="str">
        <f>""</f>
        <v/>
      </c>
      <c r="DR443" t="str">
        <f>""</f>
        <v/>
      </c>
      <c r="DS443" t="str">
        <f>""</f>
        <v/>
      </c>
      <c r="DT443" t="str">
        <f>""</f>
        <v/>
      </c>
      <c r="DU443" t="str">
        <f>""</f>
        <v/>
      </c>
    </row>
    <row r="444" spans="1:125">
      <c r="A444" t="str">
        <f>$A$204</f>
        <v xml:space="preserve">    Senior Housing Properties Trus</v>
      </c>
      <c r="B444" t="str">
        <f>$B$204</f>
        <v>SNH US Equity</v>
      </c>
      <c r="C444" t="str">
        <f>$C$204</f>
        <v>RR052</v>
      </c>
      <c r="D444" t="str">
        <f>$D$204</f>
        <v>TOT_DEBT_TO_EBITDA</v>
      </c>
      <c r="E444" t="str">
        <f>$E$204</f>
        <v>动态</v>
      </c>
      <c r="F444" t="str">
        <f ca="1">BDH($B$204,$C$204,$B$256,$B$257,CONCATENATE("Per=",$B$254),"Dts=H","Dir=H",CONCATENATE("Points=",$B$255),"Sort=R","Days=A","Fill=B",CONCATENATE("FX=", $B$253) )</f>
        <v>#N/A Authorization</v>
      </c>
      <c r="BN444" t="str">
        <f>""</f>
        <v/>
      </c>
      <c r="BO444" t="str">
        <f>""</f>
        <v/>
      </c>
      <c r="BP444" t="str">
        <f>""</f>
        <v/>
      </c>
      <c r="BQ444" t="str">
        <f>""</f>
        <v/>
      </c>
      <c r="BR444" t="str">
        <f>""</f>
        <v/>
      </c>
      <c r="BS444" t="str">
        <f>""</f>
        <v/>
      </c>
      <c r="BT444" t="str">
        <f>""</f>
        <v/>
      </c>
      <c r="BU444" t="str">
        <f>""</f>
        <v/>
      </c>
      <c r="BV444" t="str">
        <f>""</f>
        <v/>
      </c>
      <c r="BW444" t="str">
        <f>""</f>
        <v/>
      </c>
      <c r="BX444" t="str">
        <f>""</f>
        <v/>
      </c>
      <c r="BY444" t="str">
        <f>""</f>
        <v/>
      </c>
      <c r="BZ444" t="str">
        <f>""</f>
        <v/>
      </c>
      <c r="CA444" t="str">
        <f>""</f>
        <v/>
      </c>
      <c r="CB444" t="str">
        <f>""</f>
        <v/>
      </c>
      <c r="CC444" t="str">
        <f>""</f>
        <v/>
      </c>
      <c r="CD444" t="str">
        <f>""</f>
        <v/>
      </c>
      <c r="CE444" t="str">
        <f>""</f>
        <v/>
      </c>
      <c r="CF444" t="str">
        <f>""</f>
        <v/>
      </c>
      <c r="CG444" t="str">
        <f>""</f>
        <v/>
      </c>
      <c r="CH444" t="str">
        <f>""</f>
        <v/>
      </c>
      <c r="CI444" t="str">
        <f>""</f>
        <v/>
      </c>
      <c r="CJ444" t="str">
        <f>""</f>
        <v/>
      </c>
      <c r="CK444" t="str">
        <f>""</f>
        <v/>
      </c>
      <c r="CL444" t="str">
        <f>""</f>
        <v/>
      </c>
      <c r="CM444" t="str">
        <f>""</f>
        <v/>
      </c>
      <c r="CN444" t="str">
        <f>""</f>
        <v/>
      </c>
      <c r="CO444" t="str">
        <f>""</f>
        <v/>
      </c>
      <c r="CP444" t="str">
        <f>""</f>
        <v/>
      </c>
      <c r="CQ444" t="str">
        <f>""</f>
        <v/>
      </c>
      <c r="CR444" t="str">
        <f>""</f>
        <v/>
      </c>
      <c r="CS444" t="str">
        <f>""</f>
        <v/>
      </c>
      <c r="CT444" t="str">
        <f>""</f>
        <v/>
      </c>
      <c r="CU444" t="str">
        <f>""</f>
        <v/>
      </c>
      <c r="CV444" t="str">
        <f>""</f>
        <v/>
      </c>
      <c r="CW444" t="str">
        <f>""</f>
        <v/>
      </c>
      <c r="CX444" t="str">
        <f>""</f>
        <v/>
      </c>
      <c r="CY444" t="str">
        <f>""</f>
        <v/>
      </c>
      <c r="CZ444" t="str">
        <f>""</f>
        <v/>
      </c>
      <c r="DA444" t="str">
        <f>""</f>
        <v/>
      </c>
      <c r="DB444" t="str">
        <f>""</f>
        <v/>
      </c>
      <c r="DC444" t="str">
        <f>""</f>
        <v/>
      </c>
      <c r="DD444" t="str">
        <f>""</f>
        <v/>
      </c>
      <c r="DE444" t="str">
        <f>""</f>
        <v/>
      </c>
      <c r="DF444" t="str">
        <f>""</f>
        <v/>
      </c>
      <c r="DG444" t="str">
        <f>""</f>
        <v/>
      </c>
      <c r="DH444" t="str">
        <f>""</f>
        <v/>
      </c>
      <c r="DI444" t="str">
        <f>""</f>
        <v/>
      </c>
      <c r="DJ444" t="str">
        <f>""</f>
        <v/>
      </c>
      <c r="DK444" t="str">
        <f>""</f>
        <v/>
      </c>
      <c r="DL444" t="str">
        <f>""</f>
        <v/>
      </c>
      <c r="DM444" t="str">
        <f>""</f>
        <v/>
      </c>
      <c r="DN444" t="str">
        <f>""</f>
        <v/>
      </c>
      <c r="DO444" t="str">
        <f>""</f>
        <v/>
      </c>
      <c r="DP444" t="str">
        <f>""</f>
        <v/>
      </c>
      <c r="DQ444" t="str">
        <f>""</f>
        <v/>
      </c>
      <c r="DR444" t="str">
        <f>""</f>
        <v/>
      </c>
      <c r="DS444" t="str">
        <f>""</f>
        <v/>
      </c>
      <c r="DT444" t="str">
        <f>""</f>
        <v/>
      </c>
      <c r="DU444" t="str">
        <f>""</f>
        <v/>
      </c>
    </row>
    <row r="445" spans="1:125">
      <c r="A445" t="str">
        <f>$A$205</f>
        <v xml:space="preserve">    Ventas Inc</v>
      </c>
      <c r="B445" t="str">
        <f>$B$205</f>
        <v>VTR US Equity</v>
      </c>
      <c r="C445" t="str">
        <f>$C$205</f>
        <v>RR052</v>
      </c>
      <c r="D445" t="str">
        <f>$D$205</f>
        <v>TOT_DEBT_TO_EBITDA</v>
      </c>
      <c r="E445" t="str">
        <f>$E$205</f>
        <v>动态</v>
      </c>
      <c r="F445" t="str">
        <f ca="1">BDH($B$205,$C$205,$B$256,$B$257,CONCATENATE("Per=",$B$254),"Dts=H","Dir=H",CONCATENATE("Points=",$B$255),"Sort=R","Days=A","Fill=B",CONCATENATE("FX=", $B$253) )</f>
        <v>#N/A Authorization</v>
      </c>
      <c r="BN445" t="str">
        <f>""</f>
        <v/>
      </c>
      <c r="BO445" t="str">
        <f>""</f>
        <v/>
      </c>
      <c r="BP445" t="str">
        <f>""</f>
        <v/>
      </c>
      <c r="BQ445" t="str">
        <f>""</f>
        <v/>
      </c>
      <c r="BR445" t="str">
        <f>""</f>
        <v/>
      </c>
      <c r="BS445" t="str">
        <f>""</f>
        <v/>
      </c>
      <c r="BT445" t="str">
        <f>""</f>
        <v/>
      </c>
      <c r="BU445" t="str">
        <f>""</f>
        <v/>
      </c>
      <c r="BV445" t="str">
        <f>""</f>
        <v/>
      </c>
      <c r="BW445" t="str">
        <f>""</f>
        <v/>
      </c>
      <c r="BX445" t="str">
        <f>""</f>
        <v/>
      </c>
      <c r="BY445" t="str">
        <f>""</f>
        <v/>
      </c>
      <c r="BZ445" t="str">
        <f>""</f>
        <v/>
      </c>
      <c r="CA445" t="str">
        <f>""</f>
        <v/>
      </c>
      <c r="CB445" t="str">
        <f>""</f>
        <v/>
      </c>
      <c r="CC445" t="str">
        <f>""</f>
        <v/>
      </c>
      <c r="CD445" t="str">
        <f>""</f>
        <v/>
      </c>
      <c r="CE445" t="str">
        <f>""</f>
        <v/>
      </c>
      <c r="CF445" t="str">
        <f>""</f>
        <v/>
      </c>
      <c r="CG445" t="str">
        <f>""</f>
        <v/>
      </c>
      <c r="CH445" t="str">
        <f>""</f>
        <v/>
      </c>
      <c r="CI445" t="str">
        <f>""</f>
        <v/>
      </c>
      <c r="CJ445" t="str">
        <f>""</f>
        <v/>
      </c>
      <c r="CK445" t="str">
        <f>""</f>
        <v/>
      </c>
      <c r="CL445" t="str">
        <f>""</f>
        <v/>
      </c>
      <c r="CM445" t="str">
        <f>""</f>
        <v/>
      </c>
      <c r="CN445" t="str">
        <f>""</f>
        <v/>
      </c>
      <c r="CO445" t="str">
        <f>""</f>
        <v/>
      </c>
      <c r="CP445" t="str">
        <f>""</f>
        <v/>
      </c>
      <c r="CQ445" t="str">
        <f>""</f>
        <v/>
      </c>
      <c r="CR445" t="str">
        <f>""</f>
        <v/>
      </c>
      <c r="CS445" t="str">
        <f>""</f>
        <v/>
      </c>
      <c r="CT445" t="str">
        <f>""</f>
        <v/>
      </c>
      <c r="CU445" t="str">
        <f>""</f>
        <v/>
      </c>
      <c r="CV445" t="str">
        <f>""</f>
        <v/>
      </c>
      <c r="CW445" t="str">
        <f>""</f>
        <v/>
      </c>
      <c r="CX445" t="str">
        <f>""</f>
        <v/>
      </c>
      <c r="CY445" t="str">
        <f>""</f>
        <v/>
      </c>
      <c r="CZ445" t="str">
        <f>""</f>
        <v/>
      </c>
      <c r="DA445" t="str">
        <f>""</f>
        <v/>
      </c>
      <c r="DB445" t="str">
        <f>""</f>
        <v/>
      </c>
      <c r="DC445" t="str">
        <f>""</f>
        <v/>
      </c>
      <c r="DD445" t="str">
        <f>""</f>
        <v/>
      </c>
      <c r="DE445" t="str">
        <f>""</f>
        <v/>
      </c>
      <c r="DF445" t="str">
        <f>""</f>
        <v/>
      </c>
      <c r="DG445" t="str">
        <f>""</f>
        <v/>
      </c>
      <c r="DH445" t="str">
        <f>""</f>
        <v/>
      </c>
      <c r="DI445" t="str">
        <f>""</f>
        <v/>
      </c>
      <c r="DJ445" t="str">
        <f>""</f>
        <v/>
      </c>
      <c r="DK445" t="str">
        <f>""</f>
        <v/>
      </c>
      <c r="DL445" t="str">
        <f>""</f>
        <v/>
      </c>
      <c r="DM445" t="str">
        <f>""</f>
        <v/>
      </c>
      <c r="DN445" t="str">
        <f>""</f>
        <v/>
      </c>
      <c r="DO445" t="str">
        <f>""</f>
        <v/>
      </c>
      <c r="DP445" t="str">
        <f>""</f>
        <v/>
      </c>
      <c r="DQ445" t="str">
        <f>""</f>
        <v/>
      </c>
      <c r="DR445" t="str">
        <f>""</f>
        <v/>
      </c>
      <c r="DS445" t="str">
        <f>""</f>
        <v/>
      </c>
      <c r="DT445" t="str">
        <f>""</f>
        <v/>
      </c>
      <c r="DU445" t="str">
        <f>""</f>
        <v/>
      </c>
    </row>
    <row r="446" spans="1:125">
      <c r="A446" t="str">
        <f>$A$206</f>
        <v xml:space="preserve">    Welltower Inc</v>
      </c>
      <c r="B446" t="str">
        <f>$B$206</f>
        <v>HCN US Equity</v>
      </c>
      <c r="C446" t="str">
        <f>$C$206</f>
        <v>RR052</v>
      </c>
      <c r="D446" t="str">
        <f>$D$206</f>
        <v>TOT_DEBT_TO_EBITDA</v>
      </c>
      <c r="E446" t="str">
        <f>$E$206</f>
        <v>动态</v>
      </c>
      <c r="F446" t="str">
        <f ca="1">BDH($B$206,$C$206,$B$256,$B$257,CONCATENATE("Per=",$B$254),"Dts=H","Dir=H",CONCATENATE("Points=",$B$255),"Sort=R","Days=A","Fill=B",CONCATENATE("FX=", $B$253) )</f>
        <v>#N/A Authorization</v>
      </c>
      <c r="BN446" t="str">
        <f>""</f>
        <v/>
      </c>
      <c r="BO446" t="str">
        <f>""</f>
        <v/>
      </c>
      <c r="BP446" t="str">
        <f>""</f>
        <v/>
      </c>
      <c r="BQ446" t="str">
        <f>""</f>
        <v/>
      </c>
      <c r="BR446" t="str">
        <f>""</f>
        <v/>
      </c>
      <c r="BS446" t="str">
        <f>""</f>
        <v/>
      </c>
      <c r="BT446" t="str">
        <f>""</f>
        <v/>
      </c>
      <c r="BU446" t="str">
        <f>""</f>
        <v/>
      </c>
      <c r="BV446" t="str">
        <f>""</f>
        <v/>
      </c>
      <c r="BW446" t="str">
        <f>""</f>
        <v/>
      </c>
      <c r="BX446" t="str">
        <f>""</f>
        <v/>
      </c>
      <c r="BY446" t="str">
        <f>""</f>
        <v/>
      </c>
      <c r="BZ446" t="str">
        <f>""</f>
        <v/>
      </c>
      <c r="CA446" t="str">
        <f>""</f>
        <v/>
      </c>
      <c r="CB446" t="str">
        <f>""</f>
        <v/>
      </c>
      <c r="CC446" t="str">
        <f>""</f>
        <v/>
      </c>
      <c r="CD446" t="str">
        <f>""</f>
        <v/>
      </c>
      <c r="CE446" t="str">
        <f>""</f>
        <v/>
      </c>
      <c r="CF446" t="str">
        <f>""</f>
        <v/>
      </c>
      <c r="CG446" t="str">
        <f>""</f>
        <v/>
      </c>
      <c r="CH446" t="str">
        <f>""</f>
        <v/>
      </c>
      <c r="CI446" t="str">
        <f>""</f>
        <v/>
      </c>
      <c r="CJ446" t="str">
        <f>""</f>
        <v/>
      </c>
      <c r="CK446" t="str">
        <f>""</f>
        <v/>
      </c>
      <c r="CL446" t="str">
        <f>""</f>
        <v/>
      </c>
      <c r="CM446" t="str">
        <f>""</f>
        <v/>
      </c>
      <c r="CN446" t="str">
        <f>""</f>
        <v/>
      </c>
      <c r="CO446" t="str">
        <f>""</f>
        <v/>
      </c>
      <c r="CP446" t="str">
        <f>""</f>
        <v/>
      </c>
      <c r="CQ446" t="str">
        <f>""</f>
        <v/>
      </c>
      <c r="CR446" t="str">
        <f>""</f>
        <v/>
      </c>
      <c r="CS446" t="str">
        <f>""</f>
        <v/>
      </c>
      <c r="CT446" t="str">
        <f>""</f>
        <v/>
      </c>
      <c r="CU446" t="str">
        <f>""</f>
        <v/>
      </c>
      <c r="CV446" t="str">
        <f>""</f>
        <v/>
      </c>
      <c r="CW446" t="str">
        <f>""</f>
        <v/>
      </c>
      <c r="CX446" t="str">
        <f>""</f>
        <v/>
      </c>
      <c r="CY446" t="str">
        <f>""</f>
        <v/>
      </c>
      <c r="CZ446" t="str">
        <f>""</f>
        <v/>
      </c>
      <c r="DA446" t="str">
        <f>""</f>
        <v/>
      </c>
      <c r="DB446" t="str">
        <f>""</f>
        <v/>
      </c>
      <c r="DC446" t="str">
        <f>""</f>
        <v/>
      </c>
      <c r="DD446" t="str">
        <f>""</f>
        <v/>
      </c>
      <c r="DE446" t="str">
        <f>""</f>
        <v/>
      </c>
      <c r="DF446" t="str">
        <f>""</f>
        <v/>
      </c>
      <c r="DG446" t="str">
        <f>""</f>
        <v/>
      </c>
      <c r="DH446" t="str">
        <f>""</f>
        <v/>
      </c>
      <c r="DI446" t="str">
        <f>""</f>
        <v/>
      </c>
      <c r="DJ446" t="str">
        <f>""</f>
        <v/>
      </c>
      <c r="DK446" t="str">
        <f>""</f>
        <v/>
      </c>
      <c r="DL446" t="str">
        <f>""</f>
        <v/>
      </c>
      <c r="DM446" t="str">
        <f>""</f>
        <v/>
      </c>
      <c r="DN446" t="str">
        <f>""</f>
        <v/>
      </c>
      <c r="DO446" t="str">
        <f>""</f>
        <v/>
      </c>
      <c r="DP446" t="str">
        <f>""</f>
        <v/>
      </c>
      <c r="DQ446" t="str">
        <f>""</f>
        <v/>
      </c>
      <c r="DR446" t="str">
        <f>""</f>
        <v/>
      </c>
      <c r="DS446" t="str">
        <f>""</f>
        <v/>
      </c>
      <c r="DT446" t="str">
        <f>""</f>
        <v/>
      </c>
      <c r="DU446" t="str">
        <f>""</f>
        <v/>
      </c>
    </row>
    <row r="447" spans="1:125">
      <c r="A447" t="str">
        <f>$A$208</f>
        <v xml:space="preserve">    Alexandria Real Estate Equitie</v>
      </c>
      <c r="B447" t="str">
        <f>$B$208</f>
        <v>ARE US Equity</v>
      </c>
      <c r="C447" t="str">
        <f>$C$208</f>
        <v>RR253</v>
      </c>
      <c r="D447" t="str">
        <f>$D$208</f>
        <v>CASH_AND_MARKETABLE_SECURITIES</v>
      </c>
      <c r="E447" t="str">
        <f>$E$208</f>
        <v>动态</v>
      </c>
      <c r="F447" t="str">
        <f ca="1">BDH($B$208,$C$208,$B$256,$B$257,CONCATENATE("Per=",$B$254),"Dts=H","Dir=H",CONCATENATE("Points=",$B$255),"Sort=R","Days=A","Fill=B",CONCATENATE("FX=", $B$253) )</f>
        <v>#N/A Authorization</v>
      </c>
      <c r="BN447" t="str">
        <f>""</f>
        <v/>
      </c>
      <c r="BO447" t="str">
        <f>""</f>
        <v/>
      </c>
      <c r="BP447" t="str">
        <f>""</f>
        <v/>
      </c>
      <c r="BQ447" t="str">
        <f>""</f>
        <v/>
      </c>
      <c r="BR447" t="str">
        <f>""</f>
        <v/>
      </c>
      <c r="BS447" t="str">
        <f>""</f>
        <v/>
      </c>
      <c r="BT447" t="str">
        <f>""</f>
        <v/>
      </c>
      <c r="BU447" t="str">
        <f>""</f>
        <v/>
      </c>
      <c r="BV447" t="str">
        <f>""</f>
        <v/>
      </c>
      <c r="BW447" t="str">
        <f>""</f>
        <v/>
      </c>
      <c r="BX447" t="str">
        <f>""</f>
        <v/>
      </c>
      <c r="BY447" t="str">
        <f>""</f>
        <v/>
      </c>
      <c r="BZ447" t="str">
        <f>""</f>
        <v/>
      </c>
      <c r="CA447" t="str">
        <f>""</f>
        <v/>
      </c>
      <c r="CB447" t="str">
        <f>""</f>
        <v/>
      </c>
      <c r="CC447" t="str">
        <f>""</f>
        <v/>
      </c>
      <c r="CD447" t="str">
        <f>""</f>
        <v/>
      </c>
      <c r="CE447" t="str">
        <f>""</f>
        <v/>
      </c>
      <c r="CF447" t="str">
        <f>""</f>
        <v/>
      </c>
      <c r="CG447" t="str">
        <f>""</f>
        <v/>
      </c>
      <c r="CH447" t="str">
        <f>""</f>
        <v/>
      </c>
      <c r="CI447" t="str">
        <f>""</f>
        <v/>
      </c>
      <c r="CJ447" t="str">
        <f>""</f>
        <v/>
      </c>
      <c r="CK447" t="str">
        <f>""</f>
        <v/>
      </c>
      <c r="CL447" t="str">
        <f>""</f>
        <v/>
      </c>
      <c r="CM447" t="str">
        <f>""</f>
        <v/>
      </c>
      <c r="CN447" t="str">
        <f>""</f>
        <v/>
      </c>
      <c r="CO447" t="str">
        <f>""</f>
        <v/>
      </c>
      <c r="CP447" t="str">
        <f>""</f>
        <v/>
      </c>
      <c r="CQ447" t="str">
        <f>""</f>
        <v/>
      </c>
      <c r="CR447" t="str">
        <f>""</f>
        <v/>
      </c>
      <c r="CS447" t="str">
        <f>""</f>
        <v/>
      </c>
      <c r="CT447" t="str">
        <f>""</f>
        <v/>
      </c>
      <c r="CU447" t="str">
        <f>""</f>
        <v/>
      </c>
      <c r="CV447" t="str">
        <f>""</f>
        <v/>
      </c>
      <c r="CW447" t="str">
        <f>""</f>
        <v/>
      </c>
      <c r="CX447" t="str">
        <f>""</f>
        <v/>
      </c>
      <c r="CY447" t="str">
        <f>""</f>
        <v/>
      </c>
      <c r="CZ447" t="str">
        <f>""</f>
        <v/>
      </c>
      <c r="DA447" t="str">
        <f>""</f>
        <v/>
      </c>
      <c r="DB447" t="str">
        <f>""</f>
        <v/>
      </c>
      <c r="DC447" t="str">
        <f>""</f>
        <v/>
      </c>
      <c r="DD447" t="str">
        <f>""</f>
        <v/>
      </c>
      <c r="DE447" t="str">
        <f>""</f>
        <v/>
      </c>
      <c r="DF447" t="str">
        <f>""</f>
        <v/>
      </c>
      <c r="DG447" t="str">
        <f>""</f>
        <v/>
      </c>
      <c r="DH447" t="str">
        <f>""</f>
        <v/>
      </c>
      <c r="DI447" t="str">
        <f>""</f>
        <v/>
      </c>
      <c r="DJ447" t="str">
        <f>""</f>
        <v/>
      </c>
      <c r="DK447" t="str">
        <f>""</f>
        <v/>
      </c>
      <c r="DL447" t="str">
        <f>""</f>
        <v/>
      </c>
      <c r="DM447" t="str">
        <f>""</f>
        <v/>
      </c>
      <c r="DN447" t="str">
        <f>""</f>
        <v/>
      </c>
      <c r="DO447" t="str">
        <f>""</f>
        <v/>
      </c>
      <c r="DP447" t="str">
        <f>""</f>
        <v/>
      </c>
      <c r="DQ447" t="str">
        <f>""</f>
        <v/>
      </c>
      <c r="DR447" t="str">
        <f>""</f>
        <v/>
      </c>
      <c r="DS447" t="str">
        <f>""</f>
        <v/>
      </c>
      <c r="DT447" t="str">
        <f>""</f>
        <v/>
      </c>
      <c r="DU447" t="str">
        <f>""</f>
        <v/>
      </c>
    </row>
    <row r="448" spans="1:125">
      <c r="A448" t="str">
        <f>$A$209</f>
        <v xml:space="preserve">    Care Capital Properties Inc</v>
      </c>
      <c r="B448" t="str">
        <f>$B$209</f>
        <v>CCP US Equity</v>
      </c>
      <c r="C448" t="str">
        <f>$C$209</f>
        <v>RR253</v>
      </c>
      <c r="D448" t="str">
        <f>$D$209</f>
        <v>CASH_AND_MARKETABLE_SECURITIES</v>
      </c>
      <c r="E448" t="str">
        <f>$E$209</f>
        <v>动态</v>
      </c>
      <c r="F448" t="str">
        <f ca="1">BDH($B$209,$C$209,$B$256,$B$257,CONCATENATE("Per=",$B$254),"Dts=H","Dir=H",CONCATENATE("Points=",$B$255),"Sort=R","Days=A","Fill=B",CONCATENATE("FX=", $B$253) )</f>
        <v>#N/A Authorization</v>
      </c>
      <c r="BN448" t="str">
        <f>""</f>
        <v/>
      </c>
      <c r="BO448" t="str">
        <f>""</f>
        <v/>
      </c>
      <c r="BP448" t="str">
        <f>""</f>
        <v/>
      </c>
      <c r="BQ448" t="str">
        <f>""</f>
        <v/>
      </c>
      <c r="BR448" t="str">
        <f>""</f>
        <v/>
      </c>
      <c r="BS448" t="str">
        <f>""</f>
        <v/>
      </c>
      <c r="BT448" t="str">
        <f>""</f>
        <v/>
      </c>
      <c r="BU448" t="str">
        <f>""</f>
        <v/>
      </c>
      <c r="BV448" t="str">
        <f>""</f>
        <v/>
      </c>
      <c r="BW448" t="str">
        <f>""</f>
        <v/>
      </c>
      <c r="BX448" t="str">
        <f>""</f>
        <v/>
      </c>
      <c r="BY448" t="str">
        <f>""</f>
        <v/>
      </c>
      <c r="BZ448" t="str">
        <f>""</f>
        <v/>
      </c>
      <c r="CA448" t="str">
        <f>""</f>
        <v/>
      </c>
      <c r="CB448" t="str">
        <f>""</f>
        <v/>
      </c>
      <c r="CC448" t="str">
        <f>""</f>
        <v/>
      </c>
      <c r="CD448" t="str">
        <f>""</f>
        <v/>
      </c>
      <c r="CE448" t="str">
        <f>""</f>
        <v/>
      </c>
      <c r="CF448" t="str">
        <f>""</f>
        <v/>
      </c>
      <c r="CG448" t="str">
        <f>""</f>
        <v/>
      </c>
      <c r="CH448" t="str">
        <f>""</f>
        <v/>
      </c>
      <c r="CI448" t="str">
        <f>""</f>
        <v/>
      </c>
      <c r="CJ448" t="str">
        <f>""</f>
        <v/>
      </c>
      <c r="CK448" t="str">
        <f>""</f>
        <v/>
      </c>
      <c r="CL448" t="str">
        <f>""</f>
        <v/>
      </c>
      <c r="CM448" t="str">
        <f>""</f>
        <v/>
      </c>
      <c r="CN448" t="str">
        <f>""</f>
        <v/>
      </c>
      <c r="CO448" t="str">
        <f>""</f>
        <v/>
      </c>
      <c r="CP448" t="str">
        <f>""</f>
        <v/>
      </c>
      <c r="CQ448" t="str">
        <f>""</f>
        <v/>
      </c>
      <c r="CR448" t="str">
        <f>""</f>
        <v/>
      </c>
      <c r="CS448" t="str">
        <f>""</f>
        <v/>
      </c>
      <c r="CT448" t="str">
        <f>""</f>
        <v/>
      </c>
      <c r="CU448" t="str">
        <f>""</f>
        <v/>
      </c>
      <c r="CV448" t="str">
        <f>""</f>
        <v/>
      </c>
      <c r="CW448" t="str">
        <f>""</f>
        <v/>
      </c>
      <c r="CX448" t="str">
        <f>""</f>
        <v/>
      </c>
      <c r="CY448" t="str">
        <f>""</f>
        <v/>
      </c>
      <c r="CZ448" t="str">
        <f>""</f>
        <v/>
      </c>
      <c r="DA448" t="str">
        <f>""</f>
        <v/>
      </c>
      <c r="DB448" t="str">
        <f>""</f>
        <v/>
      </c>
      <c r="DC448" t="str">
        <f>""</f>
        <v/>
      </c>
      <c r="DD448" t="str">
        <f>""</f>
        <v/>
      </c>
      <c r="DE448" t="str">
        <f>""</f>
        <v/>
      </c>
      <c r="DF448" t="str">
        <f>""</f>
        <v/>
      </c>
      <c r="DG448" t="str">
        <f>""</f>
        <v/>
      </c>
      <c r="DH448" t="str">
        <f>""</f>
        <v/>
      </c>
      <c r="DI448" t="str">
        <f>""</f>
        <v/>
      </c>
      <c r="DJ448" t="str">
        <f>""</f>
        <v/>
      </c>
      <c r="DK448" t="str">
        <f>""</f>
        <v/>
      </c>
      <c r="DL448" t="str">
        <f>""</f>
        <v/>
      </c>
      <c r="DM448" t="str">
        <f>""</f>
        <v/>
      </c>
      <c r="DN448" t="str">
        <f>""</f>
        <v/>
      </c>
      <c r="DO448" t="str">
        <f>""</f>
        <v/>
      </c>
      <c r="DP448" t="str">
        <f>""</f>
        <v/>
      </c>
      <c r="DQ448" t="str">
        <f>""</f>
        <v/>
      </c>
      <c r="DR448" t="str">
        <f>""</f>
        <v/>
      </c>
      <c r="DS448" t="str">
        <f>""</f>
        <v/>
      </c>
      <c r="DT448" t="str">
        <f>""</f>
        <v/>
      </c>
      <c r="DU448" t="str">
        <f>""</f>
        <v/>
      </c>
    </row>
    <row r="449" spans="1:125">
      <c r="A449" t="str">
        <f>$A$210</f>
        <v xml:space="preserve">    HCP Inc</v>
      </c>
      <c r="B449" t="str">
        <f>$B$210</f>
        <v>HCP US Equity</v>
      </c>
      <c r="C449" t="str">
        <f>$C$210</f>
        <v>RR253</v>
      </c>
      <c r="D449" t="str">
        <f>$D$210</f>
        <v>CASH_AND_MARKETABLE_SECURITIES</v>
      </c>
      <c r="E449" t="str">
        <f>$E$210</f>
        <v>动态</v>
      </c>
      <c r="F449" t="str">
        <f ca="1">BDH($B$210,$C$210,$B$256,$B$257,CONCATENATE("Per=",$B$254),"Dts=H","Dir=H",CONCATENATE("Points=",$B$255),"Sort=R","Days=A","Fill=B",CONCATENATE("FX=", $B$253) )</f>
        <v>#N/A Authorization</v>
      </c>
      <c r="BN449" t="str">
        <f>""</f>
        <v/>
      </c>
      <c r="BO449" t="str">
        <f>""</f>
        <v/>
      </c>
      <c r="BP449" t="str">
        <f>""</f>
        <v/>
      </c>
      <c r="BQ449" t="str">
        <f>""</f>
        <v/>
      </c>
      <c r="BR449" t="str">
        <f>""</f>
        <v/>
      </c>
      <c r="BS449" t="str">
        <f>""</f>
        <v/>
      </c>
      <c r="BT449" t="str">
        <f>""</f>
        <v/>
      </c>
      <c r="BU449" t="str">
        <f>""</f>
        <v/>
      </c>
      <c r="BV449" t="str">
        <f>""</f>
        <v/>
      </c>
      <c r="BW449" t="str">
        <f>""</f>
        <v/>
      </c>
      <c r="BX449" t="str">
        <f>""</f>
        <v/>
      </c>
      <c r="BY449" t="str">
        <f>""</f>
        <v/>
      </c>
      <c r="BZ449" t="str">
        <f>""</f>
        <v/>
      </c>
      <c r="CA449" t="str">
        <f>""</f>
        <v/>
      </c>
      <c r="CB449" t="str">
        <f>""</f>
        <v/>
      </c>
      <c r="CC449" t="str">
        <f>""</f>
        <v/>
      </c>
      <c r="CD449" t="str">
        <f>""</f>
        <v/>
      </c>
      <c r="CE449" t="str">
        <f>""</f>
        <v/>
      </c>
      <c r="CF449" t="str">
        <f>""</f>
        <v/>
      </c>
      <c r="CG449" t="str">
        <f>""</f>
        <v/>
      </c>
      <c r="CH449" t="str">
        <f>""</f>
        <v/>
      </c>
      <c r="CI449" t="str">
        <f>""</f>
        <v/>
      </c>
      <c r="CJ449" t="str">
        <f>""</f>
        <v/>
      </c>
      <c r="CK449" t="str">
        <f>""</f>
        <v/>
      </c>
      <c r="CL449" t="str">
        <f>""</f>
        <v/>
      </c>
      <c r="CM449" t="str">
        <f>""</f>
        <v/>
      </c>
      <c r="CN449" t="str">
        <f>""</f>
        <v/>
      </c>
      <c r="CO449" t="str">
        <f>""</f>
        <v/>
      </c>
      <c r="CP449" t="str">
        <f>""</f>
        <v/>
      </c>
      <c r="CQ449" t="str">
        <f>""</f>
        <v/>
      </c>
      <c r="CR449" t="str">
        <f>""</f>
        <v/>
      </c>
      <c r="CS449" t="str">
        <f>""</f>
        <v/>
      </c>
      <c r="CT449" t="str">
        <f>""</f>
        <v/>
      </c>
      <c r="CU449" t="str">
        <f>""</f>
        <v/>
      </c>
      <c r="CV449" t="str">
        <f>""</f>
        <v/>
      </c>
      <c r="CW449" t="str">
        <f>""</f>
        <v/>
      </c>
      <c r="CX449" t="str">
        <f>""</f>
        <v/>
      </c>
      <c r="CY449" t="str">
        <f>""</f>
        <v/>
      </c>
      <c r="CZ449" t="str">
        <f>""</f>
        <v/>
      </c>
      <c r="DA449" t="str">
        <f>""</f>
        <v/>
      </c>
      <c r="DB449" t="str">
        <f>""</f>
        <v/>
      </c>
      <c r="DC449" t="str">
        <f>""</f>
        <v/>
      </c>
      <c r="DD449" t="str">
        <f>""</f>
        <v/>
      </c>
      <c r="DE449" t="str">
        <f>""</f>
        <v/>
      </c>
      <c r="DF449" t="str">
        <f>""</f>
        <v/>
      </c>
      <c r="DG449" t="str">
        <f>""</f>
        <v/>
      </c>
      <c r="DH449" t="str">
        <f>""</f>
        <v/>
      </c>
      <c r="DI449" t="str">
        <f>""</f>
        <v/>
      </c>
      <c r="DJ449" t="str">
        <f>""</f>
        <v/>
      </c>
      <c r="DK449" t="str">
        <f>""</f>
        <v/>
      </c>
      <c r="DL449" t="str">
        <f>""</f>
        <v/>
      </c>
      <c r="DM449" t="str">
        <f>""</f>
        <v/>
      </c>
      <c r="DN449" t="str">
        <f>""</f>
        <v/>
      </c>
      <c r="DO449" t="str">
        <f>""</f>
        <v/>
      </c>
      <c r="DP449" t="str">
        <f>""</f>
        <v/>
      </c>
      <c r="DQ449" t="str">
        <f>""</f>
        <v/>
      </c>
      <c r="DR449" t="str">
        <f>""</f>
        <v/>
      </c>
      <c r="DS449" t="str">
        <f>""</f>
        <v/>
      </c>
      <c r="DT449" t="str">
        <f>""</f>
        <v/>
      </c>
      <c r="DU449" t="str">
        <f>""</f>
        <v/>
      </c>
    </row>
    <row r="450" spans="1:125">
      <c r="A450" t="str">
        <f>$A$211</f>
        <v xml:space="preserve">    Healthcare Realty Trust Inc</v>
      </c>
      <c r="B450" t="str">
        <f>$B$211</f>
        <v>HR US Equity</v>
      </c>
      <c r="C450" t="str">
        <f>$C$211</f>
        <v>RR253</v>
      </c>
      <c r="D450" t="str">
        <f>$D$211</f>
        <v>CASH_AND_MARKETABLE_SECURITIES</v>
      </c>
      <c r="E450" t="str">
        <f>$E$211</f>
        <v>动态</v>
      </c>
      <c r="F450" t="str">
        <f ca="1">BDH($B$211,$C$211,$B$256,$B$257,CONCATENATE("Per=",$B$254),"Dts=H","Dir=H",CONCATENATE("Points=",$B$255),"Sort=R","Days=A","Fill=B",CONCATENATE("FX=", $B$253) )</f>
        <v>#N/A Authorization</v>
      </c>
      <c r="BN450" t="str">
        <f>""</f>
        <v/>
      </c>
      <c r="BO450" t="str">
        <f>""</f>
        <v/>
      </c>
      <c r="BP450" t="str">
        <f>""</f>
        <v/>
      </c>
      <c r="BQ450" t="str">
        <f>""</f>
        <v/>
      </c>
      <c r="BR450" t="str">
        <f>""</f>
        <v/>
      </c>
      <c r="BS450" t="str">
        <f>""</f>
        <v/>
      </c>
      <c r="BT450" t="str">
        <f>""</f>
        <v/>
      </c>
      <c r="BU450" t="str">
        <f>""</f>
        <v/>
      </c>
      <c r="BV450" t="str">
        <f>""</f>
        <v/>
      </c>
      <c r="BW450" t="str">
        <f>""</f>
        <v/>
      </c>
      <c r="BX450" t="str">
        <f>""</f>
        <v/>
      </c>
      <c r="BY450" t="str">
        <f>""</f>
        <v/>
      </c>
      <c r="BZ450" t="str">
        <f>""</f>
        <v/>
      </c>
      <c r="CA450" t="str">
        <f>""</f>
        <v/>
      </c>
      <c r="CB450" t="str">
        <f>""</f>
        <v/>
      </c>
      <c r="CC450" t="str">
        <f>""</f>
        <v/>
      </c>
      <c r="CD450" t="str">
        <f>""</f>
        <v/>
      </c>
      <c r="CE450" t="str">
        <f>""</f>
        <v/>
      </c>
      <c r="CF450" t="str">
        <f>""</f>
        <v/>
      </c>
      <c r="CG450" t="str">
        <f>""</f>
        <v/>
      </c>
      <c r="CH450" t="str">
        <f>""</f>
        <v/>
      </c>
      <c r="CI450" t="str">
        <f>""</f>
        <v/>
      </c>
      <c r="CJ450" t="str">
        <f>""</f>
        <v/>
      </c>
      <c r="CK450" t="str">
        <f>""</f>
        <v/>
      </c>
      <c r="CL450" t="str">
        <f>""</f>
        <v/>
      </c>
      <c r="CM450" t="str">
        <f>""</f>
        <v/>
      </c>
      <c r="CN450" t="str">
        <f>""</f>
        <v/>
      </c>
      <c r="CO450" t="str">
        <f>""</f>
        <v/>
      </c>
      <c r="CP450" t="str">
        <f>""</f>
        <v/>
      </c>
      <c r="CQ450" t="str">
        <f>""</f>
        <v/>
      </c>
      <c r="CR450" t="str">
        <f>""</f>
        <v/>
      </c>
      <c r="CS450" t="str">
        <f>""</f>
        <v/>
      </c>
      <c r="CT450" t="str">
        <f>""</f>
        <v/>
      </c>
      <c r="CU450" t="str">
        <f>""</f>
        <v/>
      </c>
      <c r="CV450" t="str">
        <f>""</f>
        <v/>
      </c>
      <c r="CW450" t="str">
        <f>""</f>
        <v/>
      </c>
      <c r="CX450" t="str">
        <f>""</f>
        <v/>
      </c>
      <c r="CY450" t="str">
        <f>""</f>
        <v/>
      </c>
      <c r="CZ450" t="str">
        <f>""</f>
        <v/>
      </c>
      <c r="DA450" t="str">
        <f>""</f>
        <v/>
      </c>
      <c r="DB450" t="str">
        <f>""</f>
        <v/>
      </c>
      <c r="DC450" t="str">
        <f>""</f>
        <v/>
      </c>
      <c r="DD450" t="str">
        <f>""</f>
        <v/>
      </c>
      <c r="DE450" t="str">
        <f>""</f>
        <v/>
      </c>
      <c r="DF450" t="str">
        <f>""</f>
        <v/>
      </c>
      <c r="DG450" t="str">
        <f>""</f>
        <v/>
      </c>
      <c r="DH450" t="str">
        <f>""</f>
        <v/>
      </c>
      <c r="DI450" t="str">
        <f>""</f>
        <v/>
      </c>
      <c r="DJ450" t="str">
        <f>""</f>
        <v/>
      </c>
      <c r="DK450" t="str">
        <f>""</f>
        <v/>
      </c>
      <c r="DL450" t="str">
        <f>""</f>
        <v/>
      </c>
      <c r="DM450" t="str">
        <f>""</f>
        <v/>
      </c>
      <c r="DN450" t="str">
        <f>""</f>
        <v/>
      </c>
      <c r="DO450" t="str">
        <f>""</f>
        <v/>
      </c>
      <c r="DP450" t="str">
        <f>""</f>
        <v/>
      </c>
      <c r="DQ450" t="str">
        <f>""</f>
        <v/>
      </c>
      <c r="DR450" t="str">
        <f>""</f>
        <v/>
      </c>
      <c r="DS450" t="str">
        <f>""</f>
        <v/>
      </c>
      <c r="DT450" t="str">
        <f>""</f>
        <v/>
      </c>
      <c r="DU450" t="str">
        <f>""</f>
        <v/>
      </c>
    </row>
    <row r="451" spans="1:125">
      <c r="A451" t="str">
        <f>$A$212</f>
        <v xml:space="preserve">    Healthcare Trust of America In</v>
      </c>
      <c r="B451" t="str">
        <f>$B$212</f>
        <v>HTA US Equity</v>
      </c>
      <c r="C451" t="str">
        <f>$C$212</f>
        <v>RR253</v>
      </c>
      <c r="D451" t="str">
        <f>$D$212</f>
        <v>CASH_AND_MARKETABLE_SECURITIES</v>
      </c>
      <c r="E451" t="str">
        <f>$E$212</f>
        <v>动态</v>
      </c>
      <c r="F451" t="str">
        <f ca="1">BDH($B$212,$C$212,$B$256,$B$257,CONCATENATE("Per=",$B$254),"Dts=H","Dir=H",CONCATENATE("Points=",$B$255),"Sort=R","Days=A","Fill=B",CONCATENATE("FX=", $B$253) )</f>
        <v>#N/A Authorization</v>
      </c>
      <c r="BN451" t="str">
        <f>""</f>
        <v/>
      </c>
      <c r="BO451" t="str">
        <f>""</f>
        <v/>
      </c>
      <c r="BP451" t="str">
        <f>""</f>
        <v/>
      </c>
      <c r="BQ451" t="str">
        <f>""</f>
        <v/>
      </c>
      <c r="BR451" t="str">
        <f>""</f>
        <v/>
      </c>
      <c r="BS451" t="str">
        <f>""</f>
        <v/>
      </c>
      <c r="BT451" t="str">
        <f>""</f>
        <v/>
      </c>
      <c r="BU451" t="str">
        <f>""</f>
        <v/>
      </c>
      <c r="BV451" t="str">
        <f>""</f>
        <v/>
      </c>
      <c r="BW451" t="str">
        <f>""</f>
        <v/>
      </c>
      <c r="BX451" t="str">
        <f>""</f>
        <v/>
      </c>
      <c r="BY451" t="str">
        <f>""</f>
        <v/>
      </c>
      <c r="BZ451" t="str">
        <f>""</f>
        <v/>
      </c>
      <c r="CA451" t="str">
        <f>""</f>
        <v/>
      </c>
      <c r="CB451" t="str">
        <f>""</f>
        <v/>
      </c>
      <c r="CC451" t="str">
        <f>""</f>
        <v/>
      </c>
      <c r="CD451" t="str">
        <f>""</f>
        <v/>
      </c>
      <c r="CE451" t="str">
        <f>""</f>
        <v/>
      </c>
      <c r="CF451" t="str">
        <f>""</f>
        <v/>
      </c>
      <c r="CG451" t="str">
        <f>""</f>
        <v/>
      </c>
      <c r="CH451" t="str">
        <f>""</f>
        <v/>
      </c>
      <c r="CI451" t="str">
        <f>""</f>
        <v/>
      </c>
      <c r="CJ451" t="str">
        <f>""</f>
        <v/>
      </c>
      <c r="CK451" t="str">
        <f>""</f>
        <v/>
      </c>
      <c r="CL451" t="str">
        <f>""</f>
        <v/>
      </c>
      <c r="CM451" t="str">
        <f>""</f>
        <v/>
      </c>
      <c r="CN451" t="str">
        <f>""</f>
        <v/>
      </c>
      <c r="CO451" t="str">
        <f>""</f>
        <v/>
      </c>
      <c r="CP451" t="str">
        <f>""</f>
        <v/>
      </c>
      <c r="CQ451" t="str">
        <f>""</f>
        <v/>
      </c>
      <c r="CR451" t="str">
        <f>""</f>
        <v/>
      </c>
      <c r="CS451" t="str">
        <f>""</f>
        <v/>
      </c>
      <c r="CT451" t="str">
        <f>""</f>
        <v/>
      </c>
      <c r="CU451" t="str">
        <f>""</f>
        <v/>
      </c>
      <c r="CV451" t="str">
        <f>""</f>
        <v/>
      </c>
      <c r="CW451" t="str">
        <f>""</f>
        <v/>
      </c>
      <c r="CX451" t="str">
        <f>""</f>
        <v/>
      </c>
      <c r="CY451" t="str">
        <f>""</f>
        <v/>
      </c>
      <c r="CZ451" t="str">
        <f>""</f>
        <v/>
      </c>
      <c r="DA451" t="str">
        <f>""</f>
        <v/>
      </c>
      <c r="DB451" t="str">
        <f>""</f>
        <v/>
      </c>
      <c r="DC451" t="str">
        <f>""</f>
        <v/>
      </c>
      <c r="DD451" t="str">
        <f>""</f>
        <v/>
      </c>
      <c r="DE451" t="str">
        <f>""</f>
        <v/>
      </c>
      <c r="DF451" t="str">
        <f>""</f>
        <v/>
      </c>
      <c r="DG451" t="str">
        <f>""</f>
        <v/>
      </c>
      <c r="DH451" t="str">
        <f>""</f>
        <v/>
      </c>
      <c r="DI451" t="str">
        <f>""</f>
        <v/>
      </c>
      <c r="DJ451" t="str">
        <f>""</f>
        <v/>
      </c>
      <c r="DK451" t="str">
        <f>""</f>
        <v/>
      </c>
      <c r="DL451" t="str">
        <f>""</f>
        <v/>
      </c>
      <c r="DM451" t="str">
        <f>""</f>
        <v/>
      </c>
      <c r="DN451" t="str">
        <f>""</f>
        <v/>
      </c>
      <c r="DO451" t="str">
        <f>""</f>
        <v/>
      </c>
      <c r="DP451" t="str">
        <f>""</f>
        <v/>
      </c>
      <c r="DQ451" t="str">
        <f>""</f>
        <v/>
      </c>
      <c r="DR451" t="str">
        <f>""</f>
        <v/>
      </c>
      <c r="DS451" t="str">
        <f>""</f>
        <v/>
      </c>
      <c r="DT451" t="str">
        <f>""</f>
        <v/>
      </c>
      <c r="DU451" t="str">
        <f>""</f>
        <v/>
      </c>
    </row>
    <row r="452" spans="1:125">
      <c r="A452" t="str">
        <f>$A$213</f>
        <v xml:space="preserve">    Medical Properties Trust Inc</v>
      </c>
      <c r="B452" t="str">
        <f>$B$213</f>
        <v>MPW US Equity</v>
      </c>
      <c r="C452" t="str">
        <f>$C$213</f>
        <v>RR253</v>
      </c>
      <c r="D452" t="str">
        <f>$D$213</f>
        <v>CASH_AND_MARKETABLE_SECURITIES</v>
      </c>
      <c r="E452" t="str">
        <f>$E$213</f>
        <v>动态</v>
      </c>
      <c r="F452" t="str">
        <f ca="1">BDH($B$213,$C$213,$B$256,$B$257,CONCATENATE("Per=",$B$254),"Dts=H","Dir=H",CONCATENATE("Points=",$B$255),"Sort=R","Days=A","Fill=B",CONCATENATE("FX=", $B$253) )</f>
        <v>#N/A Authorization</v>
      </c>
      <c r="BN452" t="str">
        <f>""</f>
        <v/>
      </c>
      <c r="BO452" t="str">
        <f>""</f>
        <v/>
      </c>
      <c r="BP452" t="str">
        <f>""</f>
        <v/>
      </c>
      <c r="BQ452" t="str">
        <f>""</f>
        <v/>
      </c>
      <c r="BR452" t="str">
        <f>""</f>
        <v/>
      </c>
      <c r="BS452" t="str">
        <f>""</f>
        <v/>
      </c>
      <c r="BT452" t="str">
        <f>""</f>
        <v/>
      </c>
      <c r="BU452" t="str">
        <f>""</f>
        <v/>
      </c>
      <c r="BV452" t="str">
        <f>""</f>
        <v/>
      </c>
      <c r="BW452" t="str">
        <f>""</f>
        <v/>
      </c>
      <c r="BX452" t="str">
        <f>""</f>
        <v/>
      </c>
      <c r="BY452" t="str">
        <f>""</f>
        <v/>
      </c>
      <c r="BZ452" t="str">
        <f>""</f>
        <v/>
      </c>
      <c r="CA452" t="str">
        <f>""</f>
        <v/>
      </c>
      <c r="CB452" t="str">
        <f>""</f>
        <v/>
      </c>
      <c r="CC452" t="str">
        <f>""</f>
        <v/>
      </c>
      <c r="CD452" t="str">
        <f>""</f>
        <v/>
      </c>
      <c r="CE452" t="str">
        <f>""</f>
        <v/>
      </c>
      <c r="CF452" t="str">
        <f>""</f>
        <v/>
      </c>
      <c r="CG452" t="str">
        <f>""</f>
        <v/>
      </c>
      <c r="CH452" t="str">
        <f>""</f>
        <v/>
      </c>
      <c r="CI452" t="str">
        <f>""</f>
        <v/>
      </c>
      <c r="CJ452" t="str">
        <f>""</f>
        <v/>
      </c>
      <c r="CK452" t="str">
        <f>""</f>
        <v/>
      </c>
      <c r="CL452" t="str">
        <f>""</f>
        <v/>
      </c>
      <c r="CM452" t="str">
        <f>""</f>
        <v/>
      </c>
      <c r="CN452" t="str">
        <f>""</f>
        <v/>
      </c>
      <c r="CO452" t="str">
        <f>""</f>
        <v/>
      </c>
      <c r="CP452" t="str">
        <f>""</f>
        <v/>
      </c>
      <c r="CQ452" t="str">
        <f>""</f>
        <v/>
      </c>
      <c r="CR452" t="str">
        <f>""</f>
        <v/>
      </c>
      <c r="CS452" t="str">
        <f>""</f>
        <v/>
      </c>
      <c r="CT452" t="str">
        <f>""</f>
        <v/>
      </c>
      <c r="CU452" t="str">
        <f>""</f>
        <v/>
      </c>
      <c r="CV452" t="str">
        <f>""</f>
        <v/>
      </c>
      <c r="CW452" t="str">
        <f>""</f>
        <v/>
      </c>
      <c r="CX452" t="str">
        <f>""</f>
        <v/>
      </c>
      <c r="CY452" t="str">
        <f>""</f>
        <v/>
      </c>
      <c r="CZ452" t="str">
        <f>""</f>
        <v/>
      </c>
      <c r="DA452" t="str">
        <f>""</f>
        <v/>
      </c>
      <c r="DB452" t="str">
        <f>""</f>
        <v/>
      </c>
      <c r="DC452" t="str">
        <f>""</f>
        <v/>
      </c>
      <c r="DD452" t="str">
        <f>""</f>
        <v/>
      </c>
      <c r="DE452" t="str">
        <f>""</f>
        <v/>
      </c>
      <c r="DF452" t="str">
        <f>""</f>
        <v/>
      </c>
      <c r="DG452" t="str">
        <f>""</f>
        <v/>
      </c>
      <c r="DH452" t="str">
        <f>""</f>
        <v/>
      </c>
      <c r="DI452" t="str">
        <f>""</f>
        <v/>
      </c>
      <c r="DJ452" t="str">
        <f>""</f>
        <v/>
      </c>
      <c r="DK452" t="str">
        <f>""</f>
        <v/>
      </c>
      <c r="DL452" t="str">
        <f>""</f>
        <v/>
      </c>
      <c r="DM452" t="str">
        <f>""</f>
        <v/>
      </c>
      <c r="DN452" t="str">
        <f>""</f>
        <v/>
      </c>
      <c r="DO452" t="str">
        <f>""</f>
        <v/>
      </c>
      <c r="DP452" t="str">
        <f>""</f>
        <v/>
      </c>
      <c r="DQ452" t="str">
        <f>""</f>
        <v/>
      </c>
      <c r="DR452" t="str">
        <f>""</f>
        <v/>
      </c>
      <c r="DS452" t="str">
        <f>""</f>
        <v/>
      </c>
      <c r="DT452" t="str">
        <f>""</f>
        <v/>
      </c>
      <c r="DU452" t="str">
        <f>""</f>
        <v/>
      </c>
    </row>
    <row r="453" spans="1:125">
      <c r="A453" t="str">
        <f>$A$214</f>
        <v xml:space="preserve">    Omega Healthcare Investors Inc</v>
      </c>
      <c r="B453" t="str">
        <f>$B$214</f>
        <v>OHI US Equity</v>
      </c>
      <c r="C453" t="str">
        <f>$C$214</f>
        <v>RR253</v>
      </c>
      <c r="D453" t="str">
        <f>$D$214</f>
        <v>CASH_AND_MARKETABLE_SECURITIES</v>
      </c>
      <c r="E453" t="str">
        <f>$E$214</f>
        <v>动态</v>
      </c>
      <c r="F453" t="str">
        <f ca="1">BDH($B$214,$C$214,$B$256,$B$257,CONCATENATE("Per=",$B$254),"Dts=H","Dir=H",CONCATENATE("Points=",$B$255),"Sort=R","Days=A","Fill=B",CONCATENATE("FX=", $B$253) )</f>
        <v>#N/A Authorization</v>
      </c>
      <c r="BN453" t="str">
        <f>""</f>
        <v/>
      </c>
      <c r="BO453" t="str">
        <f>""</f>
        <v/>
      </c>
      <c r="BP453" t="str">
        <f>""</f>
        <v/>
      </c>
      <c r="BQ453" t="str">
        <f>""</f>
        <v/>
      </c>
      <c r="BR453" t="str">
        <f>""</f>
        <v/>
      </c>
      <c r="BS453" t="str">
        <f>""</f>
        <v/>
      </c>
      <c r="BT453" t="str">
        <f>""</f>
        <v/>
      </c>
      <c r="BU453" t="str">
        <f>""</f>
        <v/>
      </c>
      <c r="BV453" t="str">
        <f>""</f>
        <v/>
      </c>
      <c r="BW453" t="str">
        <f>""</f>
        <v/>
      </c>
      <c r="BX453" t="str">
        <f>""</f>
        <v/>
      </c>
      <c r="BY453" t="str">
        <f>""</f>
        <v/>
      </c>
      <c r="BZ453" t="str">
        <f>""</f>
        <v/>
      </c>
      <c r="CA453" t="str">
        <f>""</f>
        <v/>
      </c>
      <c r="CB453" t="str">
        <f>""</f>
        <v/>
      </c>
      <c r="CC453" t="str">
        <f>""</f>
        <v/>
      </c>
      <c r="CD453" t="str">
        <f>""</f>
        <v/>
      </c>
      <c r="CE453" t="str">
        <f>""</f>
        <v/>
      </c>
      <c r="CF453" t="str">
        <f>""</f>
        <v/>
      </c>
      <c r="CG453" t="str">
        <f>""</f>
        <v/>
      </c>
      <c r="CH453" t="str">
        <f>""</f>
        <v/>
      </c>
      <c r="CI453" t="str">
        <f>""</f>
        <v/>
      </c>
      <c r="CJ453" t="str">
        <f>""</f>
        <v/>
      </c>
      <c r="CK453" t="str">
        <f>""</f>
        <v/>
      </c>
      <c r="CL453" t="str">
        <f>""</f>
        <v/>
      </c>
      <c r="CM453" t="str">
        <f>""</f>
        <v/>
      </c>
      <c r="CN453" t="str">
        <f>""</f>
        <v/>
      </c>
      <c r="CO453" t="str">
        <f>""</f>
        <v/>
      </c>
      <c r="CP453" t="str">
        <f>""</f>
        <v/>
      </c>
      <c r="CQ453" t="str">
        <f>""</f>
        <v/>
      </c>
      <c r="CR453" t="str">
        <f>""</f>
        <v/>
      </c>
      <c r="CS453" t="str">
        <f>""</f>
        <v/>
      </c>
      <c r="CT453" t="str">
        <f>""</f>
        <v/>
      </c>
      <c r="CU453" t="str">
        <f>""</f>
        <v/>
      </c>
      <c r="CV453" t="str">
        <f>""</f>
        <v/>
      </c>
      <c r="CW453" t="str">
        <f>""</f>
        <v/>
      </c>
      <c r="CX453" t="str">
        <f>""</f>
        <v/>
      </c>
      <c r="CY453" t="str">
        <f>""</f>
        <v/>
      </c>
      <c r="CZ453" t="str">
        <f>""</f>
        <v/>
      </c>
      <c r="DA453" t="str">
        <f>""</f>
        <v/>
      </c>
      <c r="DB453" t="str">
        <f>""</f>
        <v/>
      </c>
      <c r="DC453" t="str">
        <f>""</f>
        <v/>
      </c>
      <c r="DD453" t="str">
        <f>""</f>
        <v/>
      </c>
      <c r="DE453" t="str">
        <f>""</f>
        <v/>
      </c>
      <c r="DF453" t="str">
        <f>""</f>
        <v/>
      </c>
      <c r="DG453" t="str">
        <f>""</f>
        <v/>
      </c>
      <c r="DH453" t="str">
        <f>""</f>
        <v/>
      </c>
      <c r="DI453" t="str">
        <f>""</f>
        <v/>
      </c>
      <c r="DJ453" t="str">
        <f>""</f>
        <v/>
      </c>
      <c r="DK453" t="str">
        <f>""</f>
        <v/>
      </c>
      <c r="DL453" t="str">
        <f>""</f>
        <v/>
      </c>
      <c r="DM453" t="str">
        <f>""</f>
        <v/>
      </c>
      <c r="DN453" t="str">
        <f>""</f>
        <v/>
      </c>
      <c r="DO453" t="str">
        <f>""</f>
        <v/>
      </c>
      <c r="DP453" t="str">
        <f>""</f>
        <v/>
      </c>
      <c r="DQ453" t="str">
        <f>""</f>
        <v/>
      </c>
      <c r="DR453" t="str">
        <f>""</f>
        <v/>
      </c>
      <c r="DS453" t="str">
        <f>""</f>
        <v/>
      </c>
      <c r="DT453" t="str">
        <f>""</f>
        <v/>
      </c>
      <c r="DU453" t="str">
        <f>""</f>
        <v/>
      </c>
    </row>
    <row r="454" spans="1:125">
      <c r="A454" t="str">
        <f>$A$215</f>
        <v xml:space="preserve">    Sabra Health Care REIT Inc</v>
      </c>
      <c r="B454" t="str">
        <f>$B$215</f>
        <v>SBRA US Equity</v>
      </c>
      <c r="C454" t="str">
        <f>$C$215</f>
        <v>RR253</v>
      </c>
      <c r="D454" t="str">
        <f>$D$215</f>
        <v>CASH_AND_MARKETABLE_SECURITIES</v>
      </c>
      <c r="E454" t="str">
        <f>$E$215</f>
        <v>动态</v>
      </c>
      <c r="F454" t="str">
        <f ca="1">BDH($B$215,$C$215,$B$256,$B$257,CONCATENATE("Per=",$B$254),"Dts=H","Dir=H",CONCATENATE("Points=",$B$255),"Sort=R","Days=A","Fill=B",CONCATENATE("FX=", $B$253) )</f>
        <v>#N/A Authorization</v>
      </c>
      <c r="BN454" t="str">
        <f>""</f>
        <v/>
      </c>
      <c r="BO454" t="str">
        <f>""</f>
        <v/>
      </c>
      <c r="BP454" t="str">
        <f>""</f>
        <v/>
      </c>
      <c r="BQ454" t="str">
        <f>""</f>
        <v/>
      </c>
      <c r="BR454" t="str">
        <f>""</f>
        <v/>
      </c>
      <c r="BS454" t="str">
        <f>""</f>
        <v/>
      </c>
      <c r="BT454" t="str">
        <f>""</f>
        <v/>
      </c>
      <c r="BU454" t="str">
        <f>""</f>
        <v/>
      </c>
      <c r="BV454" t="str">
        <f>""</f>
        <v/>
      </c>
      <c r="BW454" t="str">
        <f>""</f>
        <v/>
      </c>
      <c r="BX454" t="str">
        <f>""</f>
        <v/>
      </c>
      <c r="BY454" t="str">
        <f>""</f>
        <v/>
      </c>
      <c r="BZ454" t="str">
        <f>""</f>
        <v/>
      </c>
      <c r="CA454" t="str">
        <f>""</f>
        <v/>
      </c>
      <c r="CB454" t="str">
        <f>""</f>
        <v/>
      </c>
      <c r="CC454" t="str">
        <f>""</f>
        <v/>
      </c>
      <c r="CD454" t="str">
        <f>""</f>
        <v/>
      </c>
      <c r="CE454" t="str">
        <f>""</f>
        <v/>
      </c>
      <c r="CF454" t="str">
        <f>""</f>
        <v/>
      </c>
      <c r="CG454" t="str">
        <f>""</f>
        <v/>
      </c>
      <c r="CH454" t="str">
        <f>""</f>
        <v/>
      </c>
      <c r="CI454" t="str">
        <f>""</f>
        <v/>
      </c>
      <c r="CJ454" t="str">
        <f>""</f>
        <v/>
      </c>
      <c r="CK454" t="str">
        <f>""</f>
        <v/>
      </c>
      <c r="CL454" t="str">
        <f>""</f>
        <v/>
      </c>
      <c r="CM454" t="str">
        <f>""</f>
        <v/>
      </c>
      <c r="CN454" t="str">
        <f>""</f>
        <v/>
      </c>
      <c r="CO454" t="str">
        <f>""</f>
        <v/>
      </c>
      <c r="CP454" t="str">
        <f>""</f>
        <v/>
      </c>
      <c r="CQ454" t="str">
        <f>""</f>
        <v/>
      </c>
      <c r="CR454" t="str">
        <f>""</f>
        <v/>
      </c>
      <c r="CS454" t="str">
        <f>""</f>
        <v/>
      </c>
      <c r="CT454" t="str">
        <f>""</f>
        <v/>
      </c>
      <c r="CU454" t="str">
        <f>""</f>
        <v/>
      </c>
      <c r="CV454" t="str">
        <f>""</f>
        <v/>
      </c>
      <c r="CW454" t="str">
        <f>""</f>
        <v/>
      </c>
      <c r="CX454" t="str">
        <f>""</f>
        <v/>
      </c>
      <c r="CY454" t="str">
        <f>""</f>
        <v/>
      </c>
      <c r="CZ454" t="str">
        <f>""</f>
        <v/>
      </c>
      <c r="DA454" t="str">
        <f>""</f>
        <v/>
      </c>
      <c r="DB454" t="str">
        <f>""</f>
        <v/>
      </c>
      <c r="DC454" t="str">
        <f>""</f>
        <v/>
      </c>
      <c r="DD454" t="str">
        <f>""</f>
        <v/>
      </c>
      <c r="DE454" t="str">
        <f>""</f>
        <v/>
      </c>
      <c r="DF454" t="str">
        <f>""</f>
        <v/>
      </c>
      <c r="DG454" t="str">
        <f>""</f>
        <v/>
      </c>
      <c r="DH454" t="str">
        <f>""</f>
        <v/>
      </c>
      <c r="DI454" t="str">
        <f>""</f>
        <v/>
      </c>
      <c r="DJ454" t="str">
        <f>""</f>
        <v/>
      </c>
      <c r="DK454" t="str">
        <f>""</f>
        <v/>
      </c>
      <c r="DL454" t="str">
        <f>""</f>
        <v/>
      </c>
      <c r="DM454" t="str">
        <f>""</f>
        <v/>
      </c>
      <c r="DN454" t="str">
        <f>""</f>
        <v/>
      </c>
      <c r="DO454" t="str">
        <f>""</f>
        <v/>
      </c>
      <c r="DP454" t="str">
        <f>""</f>
        <v/>
      </c>
      <c r="DQ454" t="str">
        <f>""</f>
        <v/>
      </c>
      <c r="DR454" t="str">
        <f>""</f>
        <v/>
      </c>
      <c r="DS454" t="str">
        <f>""</f>
        <v/>
      </c>
      <c r="DT454" t="str">
        <f>""</f>
        <v/>
      </c>
      <c r="DU454" t="str">
        <f>""</f>
        <v/>
      </c>
    </row>
    <row r="455" spans="1:125">
      <c r="A455" t="str">
        <f>$A$216</f>
        <v xml:space="preserve">    Senior Housing Properties Trus</v>
      </c>
      <c r="B455" t="str">
        <f>$B$216</f>
        <v>SNH US Equity</v>
      </c>
      <c r="C455" t="str">
        <f>$C$216</f>
        <v>RR253</v>
      </c>
      <c r="D455" t="str">
        <f>$D$216</f>
        <v>CASH_AND_MARKETABLE_SECURITIES</v>
      </c>
      <c r="E455" t="str">
        <f>$E$216</f>
        <v>动态</v>
      </c>
      <c r="F455" t="str">
        <f ca="1">BDH($B$216,$C$216,$B$256,$B$257,CONCATENATE("Per=",$B$254),"Dts=H","Dir=H",CONCATENATE("Points=",$B$255),"Sort=R","Days=A","Fill=B",CONCATENATE("FX=", $B$253) )</f>
        <v>#N/A Authorization</v>
      </c>
      <c r="BN455" t="str">
        <f>""</f>
        <v/>
      </c>
      <c r="BO455" t="str">
        <f>""</f>
        <v/>
      </c>
      <c r="BP455" t="str">
        <f>""</f>
        <v/>
      </c>
      <c r="BQ455" t="str">
        <f>""</f>
        <v/>
      </c>
      <c r="BR455" t="str">
        <f>""</f>
        <v/>
      </c>
      <c r="BS455" t="str">
        <f>""</f>
        <v/>
      </c>
      <c r="BT455" t="str">
        <f>""</f>
        <v/>
      </c>
      <c r="BU455" t="str">
        <f>""</f>
        <v/>
      </c>
      <c r="BV455" t="str">
        <f>""</f>
        <v/>
      </c>
      <c r="BW455" t="str">
        <f>""</f>
        <v/>
      </c>
      <c r="BX455" t="str">
        <f>""</f>
        <v/>
      </c>
      <c r="BY455" t="str">
        <f>""</f>
        <v/>
      </c>
      <c r="BZ455" t="str">
        <f>""</f>
        <v/>
      </c>
      <c r="CA455" t="str">
        <f>""</f>
        <v/>
      </c>
      <c r="CB455" t="str">
        <f>""</f>
        <v/>
      </c>
      <c r="CC455" t="str">
        <f>""</f>
        <v/>
      </c>
      <c r="CD455" t="str">
        <f>""</f>
        <v/>
      </c>
      <c r="CE455" t="str">
        <f>""</f>
        <v/>
      </c>
      <c r="CF455" t="str">
        <f>""</f>
        <v/>
      </c>
      <c r="CG455" t="str">
        <f>""</f>
        <v/>
      </c>
      <c r="CH455" t="str">
        <f>""</f>
        <v/>
      </c>
      <c r="CI455" t="str">
        <f>""</f>
        <v/>
      </c>
      <c r="CJ455" t="str">
        <f>""</f>
        <v/>
      </c>
      <c r="CK455" t="str">
        <f>""</f>
        <v/>
      </c>
      <c r="CL455" t="str">
        <f>""</f>
        <v/>
      </c>
      <c r="CM455" t="str">
        <f>""</f>
        <v/>
      </c>
      <c r="CN455" t="str">
        <f>""</f>
        <v/>
      </c>
      <c r="CO455" t="str">
        <f>""</f>
        <v/>
      </c>
      <c r="CP455" t="str">
        <f>""</f>
        <v/>
      </c>
      <c r="CQ455" t="str">
        <f>""</f>
        <v/>
      </c>
      <c r="CR455" t="str">
        <f>""</f>
        <v/>
      </c>
      <c r="CS455" t="str">
        <f>""</f>
        <v/>
      </c>
      <c r="CT455" t="str">
        <f>""</f>
        <v/>
      </c>
      <c r="CU455" t="str">
        <f>""</f>
        <v/>
      </c>
      <c r="CV455" t="str">
        <f>""</f>
        <v/>
      </c>
      <c r="CW455" t="str">
        <f>""</f>
        <v/>
      </c>
      <c r="CX455" t="str">
        <f>""</f>
        <v/>
      </c>
      <c r="CY455" t="str">
        <f>""</f>
        <v/>
      </c>
      <c r="CZ455" t="str">
        <f>""</f>
        <v/>
      </c>
      <c r="DA455" t="str">
        <f>""</f>
        <v/>
      </c>
      <c r="DB455" t="str">
        <f>""</f>
        <v/>
      </c>
      <c r="DC455" t="str">
        <f>""</f>
        <v/>
      </c>
      <c r="DD455" t="str">
        <f>""</f>
        <v/>
      </c>
      <c r="DE455" t="str">
        <f>""</f>
        <v/>
      </c>
      <c r="DF455" t="str">
        <f>""</f>
        <v/>
      </c>
      <c r="DG455" t="str">
        <f>""</f>
        <v/>
      </c>
      <c r="DH455" t="str">
        <f>""</f>
        <v/>
      </c>
      <c r="DI455" t="str">
        <f>""</f>
        <v/>
      </c>
      <c r="DJ455" t="str">
        <f>""</f>
        <v/>
      </c>
      <c r="DK455" t="str">
        <f>""</f>
        <v/>
      </c>
      <c r="DL455" t="str">
        <f>""</f>
        <v/>
      </c>
      <c r="DM455" t="str">
        <f>""</f>
        <v/>
      </c>
      <c r="DN455" t="str">
        <f>""</f>
        <v/>
      </c>
      <c r="DO455" t="str">
        <f>""</f>
        <v/>
      </c>
      <c r="DP455" t="str">
        <f>""</f>
        <v/>
      </c>
      <c r="DQ455" t="str">
        <f>""</f>
        <v/>
      </c>
      <c r="DR455" t="str">
        <f>""</f>
        <v/>
      </c>
      <c r="DS455" t="str">
        <f>""</f>
        <v/>
      </c>
      <c r="DT455" t="str">
        <f>""</f>
        <v/>
      </c>
      <c r="DU455" t="str">
        <f>""</f>
        <v/>
      </c>
    </row>
    <row r="456" spans="1:125">
      <c r="A456" t="str">
        <f>$A$217</f>
        <v xml:space="preserve">    Ventas Inc</v>
      </c>
      <c r="B456" t="str">
        <f>$B$217</f>
        <v>VTR US Equity</v>
      </c>
      <c r="C456" t="str">
        <f>$C$217</f>
        <v>RR253</v>
      </c>
      <c r="D456" t="str">
        <f>$D$217</f>
        <v>CASH_AND_MARKETABLE_SECURITIES</v>
      </c>
      <c r="E456" t="str">
        <f>$E$217</f>
        <v>动态</v>
      </c>
      <c r="F456" t="str">
        <f ca="1">BDH($B$217,$C$217,$B$256,$B$257,CONCATENATE("Per=",$B$254),"Dts=H","Dir=H",CONCATENATE("Points=",$B$255),"Sort=R","Days=A","Fill=B",CONCATENATE("FX=", $B$253) )</f>
        <v>#N/A Authorization</v>
      </c>
      <c r="BN456" t="str">
        <f>""</f>
        <v/>
      </c>
      <c r="BO456" t="str">
        <f>""</f>
        <v/>
      </c>
      <c r="BP456" t="str">
        <f>""</f>
        <v/>
      </c>
      <c r="BQ456" t="str">
        <f>""</f>
        <v/>
      </c>
      <c r="BR456" t="str">
        <f>""</f>
        <v/>
      </c>
      <c r="BS456" t="str">
        <f>""</f>
        <v/>
      </c>
      <c r="BT456" t="str">
        <f>""</f>
        <v/>
      </c>
      <c r="BU456" t="str">
        <f>""</f>
        <v/>
      </c>
      <c r="BV456" t="str">
        <f>""</f>
        <v/>
      </c>
      <c r="BW456" t="str">
        <f>""</f>
        <v/>
      </c>
      <c r="BX456" t="str">
        <f>""</f>
        <v/>
      </c>
      <c r="BY456" t="str">
        <f>""</f>
        <v/>
      </c>
      <c r="BZ456" t="str">
        <f>""</f>
        <v/>
      </c>
      <c r="CA456" t="str">
        <f>""</f>
        <v/>
      </c>
      <c r="CB456" t="str">
        <f>""</f>
        <v/>
      </c>
      <c r="CC456" t="str">
        <f>""</f>
        <v/>
      </c>
      <c r="CD456" t="str">
        <f>""</f>
        <v/>
      </c>
      <c r="CE456" t="str">
        <f>""</f>
        <v/>
      </c>
      <c r="CF456" t="str">
        <f>""</f>
        <v/>
      </c>
      <c r="CG456" t="str">
        <f>""</f>
        <v/>
      </c>
      <c r="CH456" t="str">
        <f>""</f>
        <v/>
      </c>
      <c r="CI456" t="str">
        <f>""</f>
        <v/>
      </c>
      <c r="CJ456" t="str">
        <f>""</f>
        <v/>
      </c>
      <c r="CK456" t="str">
        <f>""</f>
        <v/>
      </c>
      <c r="CL456" t="str">
        <f>""</f>
        <v/>
      </c>
      <c r="CM456" t="str">
        <f>""</f>
        <v/>
      </c>
      <c r="CN456" t="str">
        <f>""</f>
        <v/>
      </c>
      <c r="CO456" t="str">
        <f>""</f>
        <v/>
      </c>
      <c r="CP456" t="str">
        <f>""</f>
        <v/>
      </c>
      <c r="CQ456" t="str">
        <f>""</f>
        <v/>
      </c>
      <c r="CR456" t="str">
        <f>""</f>
        <v/>
      </c>
      <c r="CS456" t="str">
        <f>""</f>
        <v/>
      </c>
      <c r="CT456" t="str">
        <f>""</f>
        <v/>
      </c>
      <c r="CU456" t="str">
        <f>""</f>
        <v/>
      </c>
      <c r="CV456" t="str">
        <f>""</f>
        <v/>
      </c>
      <c r="CW456" t="str">
        <f>""</f>
        <v/>
      </c>
      <c r="CX456" t="str">
        <f>""</f>
        <v/>
      </c>
      <c r="CY456" t="str">
        <f>""</f>
        <v/>
      </c>
      <c r="CZ456" t="str">
        <f>""</f>
        <v/>
      </c>
      <c r="DA456" t="str">
        <f>""</f>
        <v/>
      </c>
      <c r="DB456" t="str">
        <f>""</f>
        <v/>
      </c>
      <c r="DC456" t="str">
        <f>""</f>
        <v/>
      </c>
      <c r="DD456" t="str">
        <f>""</f>
        <v/>
      </c>
      <c r="DE456" t="str">
        <f>""</f>
        <v/>
      </c>
      <c r="DF456" t="str">
        <f>""</f>
        <v/>
      </c>
      <c r="DG456" t="str">
        <f>""</f>
        <v/>
      </c>
      <c r="DH456" t="str">
        <f>""</f>
        <v/>
      </c>
      <c r="DI456" t="str">
        <f>""</f>
        <v/>
      </c>
      <c r="DJ456" t="str">
        <f>""</f>
        <v/>
      </c>
      <c r="DK456" t="str">
        <f>""</f>
        <v/>
      </c>
      <c r="DL456" t="str">
        <f>""</f>
        <v/>
      </c>
      <c r="DM456" t="str">
        <f>""</f>
        <v/>
      </c>
      <c r="DN456" t="str">
        <f>""</f>
        <v/>
      </c>
      <c r="DO456" t="str">
        <f>""</f>
        <v/>
      </c>
      <c r="DP456" t="str">
        <f>""</f>
        <v/>
      </c>
      <c r="DQ456" t="str">
        <f>""</f>
        <v/>
      </c>
      <c r="DR456" t="str">
        <f>""</f>
        <v/>
      </c>
      <c r="DS456" t="str">
        <f>""</f>
        <v/>
      </c>
      <c r="DT456" t="str">
        <f>""</f>
        <v/>
      </c>
      <c r="DU456" t="str">
        <f>""</f>
        <v/>
      </c>
    </row>
    <row r="457" spans="1:125">
      <c r="A457" t="str">
        <f>$A$218</f>
        <v xml:space="preserve">    Welltower Inc</v>
      </c>
      <c r="B457" t="str">
        <f>$B$218</f>
        <v>HCN US Equity</v>
      </c>
      <c r="C457" t="str">
        <f>$C$218</f>
        <v>RR253</v>
      </c>
      <c r="D457" t="str">
        <f>$D$218</f>
        <v>CASH_AND_MARKETABLE_SECURITIES</v>
      </c>
      <c r="E457" t="str">
        <f>$E$218</f>
        <v>动态</v>
      </c>
      <c r="F457" t="str">
        <f ca="1">BDH($B$218,$C$218,$B$256,$B$257,CONCATENATE("Per=",$B$254),"Dts=H","Dir=H",CONCATENATE("Points=",$B$255),"Sort=R","Days=A","Fill=B",CONCATENATE("FX=", $B$253) )</f>
        <v>#N/A Authorization</v>
      </c>
      <c r="BN457" t="str">
        <f>""</f>
        <v/>
      </c>
      <c r="BO457" t="str">
        <f>""</f>
        <v/>
      </c>
      <c r="BP457" t="str">
        <f>""</f>
        <v/>
      </c>
      <c r="BQ457" t="str">
        <f>""</f>
        <v/>
      </c>
      <c r="BR457" t="str">
        <f>""</f>
        <v/>
      </c>
      <c r="BS457" t="str">
        <f>""</f>
        <v/>
      </c>
      <c r="BT457" t="str">
        <f>""</f>
        <v/>
      </c>
      <c r="BU457" t="str">
        <f>""</f>
        <v/>
      </c>
      <c r="BV457" t="str">
        <f>""</f>
        <v/>
      </c>
      <c r="BW457" t="str">
        <f>""</f>
        <v/>
      </c>
      <c r="BX457" t="str">
        <f>""</f>
        <v/>
      </c>
      <c r="BY457" t="str">
        <f>""</f>
        <v/>
      </c>
      <c r="BZ457" t="str">
        <f>""</f>
        <v/>
      </c>
      <c r="CA457" t="str">
        <f>""</f>
        <v/>
      </c>
      <c r="CB457" t="str">
        <f>""</f>
        <v/>
      </c>
      <c r="CC457" t="str">
        <f>""</f>
        <v/>
      </c>
      <c r="CD457" t="str">
        <f>""</f>
        <v/>
      </c>
      <c r="CE457" t="str">
        <f>""</f>
        <v/>
      </c>
      <c r="CF457" t="str">
        <f>""</f>
        <v/>
      </c>
      <c r="CG457" t="str">
        <f>""</f>
        <v/>
      </c>
      <c r="CH457" t="str">
        <f>""</f>
        <v/>
      </c>
      <c r="CI457" t="str">
        <f>""</f>
        <v/>
      </c>
      <c r="CJ457" t="str">
        <f>""</f>
        <v/>
      </c>
      <c r="CK457" t="str">
        <f>""</f>
        <v/>
      </c>
      <c r="CL457" t="str">
        <f>""</f>
        <v/>
      </c>
      <c r="CM457" t="str">
        <f>""</f>
        <v/>
      </c>
      <c r="CN457" t="str">
        <f>""</f>
        <v/>
      </c>
      <c r="CO457" t="str">
        <f>""</f>
        <v/>
      </c>
      <c r="CP457" t="str">
        <f>""</f>
        <v/>
      </c>
      <c r="CQ457" t="str">
        <f>""</f>
        <v/>
      </c>
      <c r="CR457" t="str">
        <f>""</f>
        <v/>
      </c>
      <c r="CS457" t="str">
        <f>""</f>
        <v/>
      </c>
      <c r="CT457" t="str">
        <f>""</f>
        <v/>
      </c>
      <c r="CU457" t="str">
        <f>""</f>
        <v/>
      </c>
      <c r="CV457" t="str">
        <f>""</f>
        <v/>
      </c>
      <c r="CW457" t="str">
        <f>""</f>
        <v/>
      </c>
      <c r="CX457" t="str">
        <f>""</f>
        <v/>
      </c>
      <c r="CY457" t="str">
        <f>""</f>
        <v/>
      </c>
      <c r="CZ457" t="str">
        <f>""</f>
        <v/>
      </c>
      <c r="DA457" t="str">
        <f>""</f>
        <v/>
      </c>
      <c r="DB457" t="str">
        <f>""</f>
        <v/>
      </c>
      <c r="DC457" t="str">
        <f>""</f>
        <v/>
      </c>
      <c r="DD457" t="str">
        <f>""</f>
        <v/>
      </c>
      <c r="DE457" t="str">
        <f>""</f>
        <v/>
      </c>
      <c r="DF457" t="str">
        <f>""</f>
        <v/>
      </c>
      <c r="DG457" t="str">
        <f>""</f>
        <v/>
      </c>
      <c r="DH457" t="str">
        <f>""</f>
        <v/>
      </c>
      <c r="DI457" t="str">
        <f>""</f>
        <v/>
      </c>
      <c r="DJ457" t="str">
        <f>""</f>
        <v/>
      </c>
      <c r="DK457" t="str">
        <f>""</f>
        <v/>
      </c>
      <c r="DL457" t="str">
        <f>""</f>
        <v/>
      </c>
      <c r="DM457" t="str">
        <f>""</f>
        <v/>
      </c>
      <c r="DN457" t="str">
        <f>""</f>
        <v/>
      </c>
      <c r="DO457" t="str">
        <f>""</f>
        <v/>
      </c>
      <c r="DP457" t="str">
        <f>""</f>
        <v/>
      </c>
      <c r="DQ457" t="str">
        <f>""</f>
        <v/>
      </c>
      <c r="DR457" t="str">
        <f>""</f>
        <v/>
      </c>
      <c r="DS457" t="str">
        <f>""</f>
        <v/>
      </c>
      <c r="DT457" t="str">
        <f>""</f>
        <v/>
      </c>
      <c r="DU457" t="str">
        <f>""</f>
        <v/>
      </c>
    </row>
    <row r="458" spans="1:125">
      <c r="A458" t="str">
        <f>$A$220</f>
        <v xml:space="preserve">    Alexandria Real Estate Equitie</v>
      </c>
      <c r="B458" t="str">
        <f>$B$220</f>
        <v>ARE US Equity</v>
      </c>
      <c r="C458" t="str">
        <f>$C$220</f>
        <v>RR008</v>
      </c>
      <c r="D458" t="str">
        <f>$D$220</f>
        <v>CF_FREE_CASH_FLOW</v>
      </c>
      <c r="E458" t="str">
        <f>$E$220</f>
        <v>动态</v>
      </c>
      <c r="F458" t="str">
        <f ca="1">BDH($B$220,$C$220,$B$256,$B$257,CONCATENATE("Per=",$B$254),"Dts=H","Dir=H",CONCATENATE("Points=",$B$255),"Sort=R","Days=A","Fill=B",CONCATENATE("FX=", $B$253) )</f>
        <v>#N/A Authorization</v>
      </c>
      <c r="BN458" t="str">
        <f>""</f>
        <v/>
      </c>
      <c r="BO458" t="str">
        <f>""</f>
        <v/>
      </c>
      <c r="BP458" t="str">
        <f>""</f>
        <v/>
      </c>
      <c r="BQ458" t="str">
        <f>""</f>
        <v/>
      </c>
      <c r="BR458" t="str">
        <f>""</f>
        <v/>
      </c>
      <c r="BS458" t="str">
        <f>""</f>
        <v/>
      </c>
      <c r="BT458" t="str">
        <f>""</f>
        <v/>
      </c>
      <c r="BU458" t="str">
        <f>""</f>
        <v/>
      </c>
      <c r="BV458" t="str">
        <f>""</f>
        <v/>
      </c>
      <c r="BW458" t="str">
        <f>""</f>
        <v/>
      </c>
      <c r="BX458" t="str">
        <f>""</f>
        <v/>
      </c>
      <c r="BY458" t="str">
        <f>""</f>
        <v/>
      </c>
      <c r="BZ458" t="str">
        <f>""</f>
        <v/>
      </c>
      <c r="CA458" t="str">
        <f>""</f>
        <v/>
      </c>
      <c r="CB458" t="str">
        <f>""</f>
        <v/>
      </c>
      <c r="CC458" t="str">
        <f>""</f>
        <v/>
      </c>
      <c r="CD458" t="str">
        <f>""</f>
        <v/>
      </c>
      <c r="CE458" t="str">
        <f>""</f>
        <v/>
      </c>
      <c r="CF458" t="str">
        <f>""</f>
        <v/>
      </c>
      <c r="CG458" t="str">
        <f>""</f>
        <v/>
      </c>
      <c r="CH458" t="str">
        <f>""</f>
        <v/>
      </c>
      <c r="CI458" t="str">
        <f>""</f>
        <v/>
      </c>
      <c r="CJ458" t="str">
        <f>""</f>
        <v/>
      </c>
      <c r="CK458" t="str">
        <f>""</f>
        <v/>
      </c>
      <c r="CL458" t="str">
        <f>""</f>
        <v/>
      </c>
      <c r="CM458" t="str">
        <f>""</f>
        <v/>
      </c>
      <c r="CN458" t="str">
        <f>""</f>
        <v/>
      </c>
      <c r="CO458" t="str">
        <f>""</f>
        <v/>
      </c>
      <c r="CP458" t="str">
        <f>""</f>
        <v/>
      </c>
      <c r="CQ458" t="str">
        <f>""</f>
        <v/>
      </c>
      <c r="CR458" t="str">
        <f>""</f>
        <v/>
      </c>
      <c r="CS458" t="str">
        <f>""</f>
        <v/>
      </c>
      <c r="CT458" t="str">
        <f>""</f>
        <v/>
      </c>
      <c r="CU458" t="str">
        <f>""</f>
        <v/>
      </c>
      <c r="CV458" t="str">
        <f>""</f>
        <v/>
      </c>
      <c r="CW458" t="str">
        <f>""</f>
        <v/>
      </c>
      <c r="CX458" t="str">
        <f>""</f>
        <v/>
      </c>
      <c r="CY458" t="str">
        <f>""</f>
        <v/>
      </c>
      <c r="CZ458" t="str">
        <f>""</f>
        <v/>
      </c>
      <c r="DA458" t="str">
        <f>""</f>
        <v/>
      </c>
      <c r="DB458" t="str">
        <f>""</f>
        <v/>
      </c>
      <c r="DC458" t="str">
        <f>""</f>
        <v/>
      </c>
      <c r="DD458" t="str">
        <f>""</f>
        <v/>
      </c>
      <c r="DE458" t="str">
        <f>""</f>
        <v/>
      </c>
      <c r="DF458" t="str">
        <f>""</f>
        <v/>
      </c>
      <c r="DG458" t="str">
        <f>""</f>
        <v/>
      </c>
      <c r="DH458" t="str">
        <f>""</f>
        <v/>
      </c>
      <c r="DI458" t="str">
        <f>""</f>
        <v/>
      </c>
      <c r="DJ458" t="str">
        <f>""</f>
        <v/>
      </c>
      <c r="DK458" t="str">
        <f>""</f>
        <v/>
      </c>
      <c r="DL458" t="str">
        <f>""</f>
        <v/>
      </c>
      <c r="DM458" t="str">
        <f>""</f>
        <v/>
      </c>
      <c r="DN458" t="str">
        <f>""</f>
        <v/>
      </c>
      <c r="DO458" t="str">
        <f>""</f>
        <v/>
      </c>
      <c r="DP458" t="str">
        <f>""</f>
        <v/>
      </c>
      <c r="DQ458" t="str">
        <f>""</f>
        <v/>
      </c>
      <c r="DR458" t="str">
        <f>""</f>
        <v/>
      </c>
      <c r="DS458" t="str">
        <f>""</f>
        <v/>
      </c>
      <c r="DT458" t="str">
        <f>""</f>
        <v/>
      </c>
      <c r="DU458" t="str">
        <f>""</f>
        <v/>
      </c>
    </row>
    <row r="459" spans="1:125">
      <c r="A459" t="str">
        <f>$A$221</f>
        <v xml:space="preserve">    Care Capital Properties Inc</v>
      </c>
      <c r="B459" t="str">
        <f>$B$221</f>
        <v>CCP US Equity</v>
      </c>
      <c r="C459" t="str">
        <f>$C$221</f>
        <v>RR008</v>
      </c>
      <c r="D459" t="str">
        <f>$D$221</f>
        <v>CF_FREE_CASH_FLOW</v>
      </c>
      <c r="E459" t="str">
        <f>$E$221</f>
        <v>动态</v>
      </c>
      <c r="F459" t="str">
        <f ca="1">BDH($B$221,$C$221,$B$256,$B$257,CONCATENATE("Per=",$B$254),"Dts=H","Dir=H",CONCATENATE("Points=",$B$255),"Sort=R","Days=A","Fill=B",CONCATENATE("FX=", $B$253) )</f>
        <v>#N/A Authorization</v>
      </c>
      <c r="BN459" t="str">
        <f>""</f>
        <v/>
      </c>
      <c r="BO459" t="str">
        <f>""</f>
        <v/>
      </c>
      <c r="BP459" t="str">
        <f>""</f>
        <v/>
      </c>
      <c r="BQ459" t="str">
        <f>""</f>
        <v/>
      </c>
      <c r="BR459" t="str">
        <f>""</f>
        <v/>
      </c>
      <c r="BS459" t="str">
        <f>""</f>
        <v/>
      </c>
      <c r="BT459" t="str">
        <f>""</f>
        <v/>
      </c>
      <c r="BU459" t="str">
        <f>""</f>
        <v/>
      </c>
      <c r="BV459" t="str">
        <f>""</f>
        <v/>
      </c>
      <c r="BW459" t="str">
        <f>""</f>
        <v/>
      </c>
      <c r="BX459" t="str">
        <f>""</f>
        <v/>
      </c>
      <c r="BY459" t="str">
        <f>""</f>
        <v/>
      </c>
      <c r="BZ459" t="str">
        <f>""</f>
        <v/>
      </c>
      <c r="CA459" t="str">
        <f>""</f>
        <v/>
      </c>
      <c r="CB459" t="str">
        <f>""</f>
        <v/>
      </c>
      <c r="CC459" t="str">
        <f>""</f>
        <v/>
      </c>
      <c r="CD459" t="str">
        <f>""</f>
        <v/>
      </c>
      <c r="CE459" t="str">
        <f>""</f>
        <v/>
      </c>
      <c r="CF459" t="str">
        <f>""</f>
        <v/>
      </c>
      <c r="CG459" t="str">
        <f>""</f>
        <v/>
      </c>
      <c r="CH459" t="str">
        <f>""</f>
        <v/>
      </c>
      <c r="CI459" t="str">
        <f>""</f>
        <v/>
      </c>
      <c r="CJ459" t="str">
        <f>""</f>
        <v/>
      </c>
      <c r="CK459" t="str">
        <f>""</f>
        <v/>
      </c>
      <c r="CL459" t="str">
        <f>""</f>
        <v/>
      </c>
      <c r="CM459" t="str">
        <f>""</f>
        <v/>
      </c>
      <c r="CN459" t="str">
        <f>""</f>
        <v/>
      </c>
      <c r="CO459" t="str">
        <f>""</f>
        <v/>
      </c>
      <c r="CP459" t="str">
        <f>""</f>
        <v/>
      </c>
      <c r="CQ459" t="str">
        <f>""</f>
        <v/>
      </c>
      <c r="CR459" t="str">
        <f>""</f>
        <v/>
      </c>
      <c r="CS459" t="str">
        <f>""</f>
        <v/>
      </c>
      <c r="CT459" t="str">
        <f>""</f>
        <v/>
      </c>
      <c r="CU459" t="str">
        <f>""</f>
        <v/>
      </c>
      <c r="CV459" t="str">
        <f>""</f>
        <v/>
      </c>
      <c r="CW459" t="str">
        <f>""</f>
        <v/>
      </c>
      <c r="CX459" t="str">
        <f>""</f>
        <v/>
      </c>
      <c r="CY459" t="str">
        <f>""</f>
        <v/>
      </c>
      <c r="CZ459" t="str">
        <f>""</f>
        <v/>
      </c>
      <c r="DA459" t="str">
        <f>""</f>
        <v/>
      </c>
      <c r="DB459" t="str">
        <f>""</f>
        <v/>
      </c>
      <c r="DC459" t="str">
        <f>""</f>
        <v/>
      </c>
      <c r="DD459" t="str">
        <f>""</f>
        <v/>
      </c>
      <c r="DE459" t="str">
        <f>""</f>
        <v/>
      </c>
      <c r="DF459" t="str">
        <f>""</f>
        <v/>
      </c>
      <c r="DG459" t="str">
        <f>""</f>
        <v/>
      </c>
      <c r="DH459" t="str">
        <f>""</f>
        <v/>
      </c>
      <c r="DI459" t="str">
        <f>""</f>
        <v/>
      </c>
      <c r="DJ459" t="str">
        <f>""</f>
        <v/>
      </c>
      <c r="DK459" t="str">
        <f>""</f>
        <v/>
      </c>
      <c r="DL459" t="str">
        <f>""</f>
        <v/>
      </c>
      <c r="DM459" t="str">
        <f>""</f>
        <v/>
      </c>
      <c r="DN459" t="str">
        <f>""</f>
        <v/>
      </c>
      <c r="DO459" t="str">
        <f>""</f>
        <v/>
      </c>
      <c r="DP459" t="str">
        <f>""</f>
        <v/>
      </c>
      <c r="DQ459" t="str">
        <f>""</f>
        <v/>
      </c>
      <c r="DR459" t="str">
        <f>""</f>
        <v/>
      </c>
      <c r="DS459" t="str">
        <f>""</f>
        <v/>
      </c>
      <c r="DT459" t="str">
        <f>""</f>
        <v/>
      </c>
      <c r="DU459" t="str">
        <f>""</f>
        <v/>
      </c>
    </row>
    <row r="460" spans="1:125">
      <c r="A460" t="str">
        <f>$A$222</f>
        <v xml:space="preserve">    HCP Inc</v>
      </c>
      <c r="B460" t="str">
        <f>$B$222</f>
        <v>HCP US Equity</v>
      </c>
      <c r="C460" t="str">
        <f>$C$222</f>
        <v>RR008</v>
      </c>
      <c r="D460" t="str">
        <f>$D$222</f>
        <v>CF_FREE_CASH_FLOW</v>
      </c>
      <c r="E460" t="str">
        <f>$E$222</f>
        <v>动态</v>
      </c>
      <c r="F460" t="str">
        <f ca="1">BDH($B$222,$C$222,$B$256,$B$257,CONCATENATE("Per=",$B$254),"Dts=H","Dir=H",CONCATENATE("Points=",$B$255),"Sort=R","Days=A","Fill=B",CONCATENATE("FX=", $B$253) )</f>
        <v>#N/A Authorization</v>
      </c>
      <c r="BN460" t="str">
        <f>""</f>
        <v/>
      </c>
      <c r="BO460" t="str">
        <f>""</f>
        <v/>
      </c>
      <c r="BP460" t="str">
        <f>""</f>
        <v/>
      </c>
      <c r="BQ460" t="str">
        <f>""</f>
        <v/>
      </c>
      <c r="BR460" t="str">
        <f>""</f>
        <v/>
      </c>
      <c r="BS460" t="str">
        <f>""</f>
        <v/>
      </c>
      <c r="BT460" t="str">
        <f>""</f>
        <v/>
      </c>
      <c r="BU460" t="str">
        <f>""</f>
        <v/>
      </c>
      <c r="BV460" t="str">
        <f>""</f>
        <v/>
      </c>
      <c r="BW460" t="str">
        <f>""</f>
        <v/>
      </c>
      <c r="BX460" t="str">
        <f>""</f>
        <v/>
      </c>
      <c r="BY460" t="str">
        <f>""</f>
        <v/>
      </c>
      <c r="BZ460" t="str">
        <f>""</f>
        <v/>
      </c>
      <c r="CA460" t="str">
        <f>""</f>
        <v/>
      </c>
      <c r="CB460" t="str">
        <f>""</f>
        <v/>
      </c>
      <c r="CC460" t="str">
        <f>""</f>
        <v/>
      </c>
      <c r="CD460" t="str">
        <f>""</f>
        <v/>
      </c>
      <c r="CE460" t="str">
        <f>""</f>
        <v/>
      </c>
      <c r="CF460" t="str">
        <f>""</f>
        <v/>
      </c>
      <c r="CG460" t="str">
        <f>""</f>
        <v/>
      </c>
      <c r="CH460" t="str">
        <f>""</f>
        <v/>
      </c>
      <c r="CI460" t="str">
        <f>""</f>
        <v/>
      </c>
      <c r="CJ460" t="str">
        <f>""</f>
        <v/>
      </c>
      <c r="CK460" t="str">
        <f>""</f>
        <v/>
      </c>
      <c r="CL460" t="str">
        <f>""</f>
        <v/>
      </c>
      <c r="CM460" t="str">
        <f>""</f>
        <v/>
      </c>
      <c r="CN460" t="str">
        <f>""</f>
        <v/>
      </c>
      <c r="CO460" t="str">
        <f>""</f>
        <v/>
      </c>
      <c r="CP460" t="str">
        <f>""</f>
        <v/>
      </c>
      <c r="CQ460" t="str">
        <f>""</f>
        <v/>
      </c>
      <c r="CR460" t="str">
        <f>""</f>
        <v/>
      </c>
      <c r="CS460" t="str">
        <f>""</f>
        <v/>
      </c>
      <c r="CT460" t="str">
        <f>""</f>
        <v/>
      </c>
      <c r="CU460" t="str">
        <f>""</f>
        <v/>
      </c>
      <c r="CV460" t="str">
        <f>""</f>
        <v/>
      </c>
      <c r="CW460" t="str">
        <f>""</f>
        <v/>
      </c>
      <c r="CX460" t="str">
        <f>""</f>
        <v/>
      </c>
      <c r="CY460" t="str">
        <f>""</f>
        <v/>
      </c>
      <c r="CZ460" t="str">
        <f>""</f>
        <v/>
      </c>
      <c r="DA460" t="str">
        <f>""</f>
        <v/>
      </c>
      <c r="DB460" t="str">
        <f>""</f>
        <v/>
      </c>
      <c r="DC460" t="str">
        <f>""</f>
        <v/>
      </c>
      <c r="DD460" t="str">
        <f>""</f>
        <v/>
      </c>
      <c r="DE460" t="str">
        <f>""</f>
        <v/>
      </c>
      <c r="DF460" t="str">
        <f>""</f>
        <v/>
      </c>
      <c r="DG460" t="str">
        <f>""</f>
        <v/>
      </c>
      <c r="DH460" t="str">
        <f>""</f>
        <v/>
      </c>
      <c r="DI460" t="str">
        <f>""</f>
        <v/>
      </c>
      <c r="DJ460" t="str">
        <f>""</f>
        <v/>
      </c>
      <c r="DK460" t="str">
        <f>""</f>
        <v/>
      </c>
      <c r="DL460" t="str">
        <f>""</f>
        <v/>
      </c>
      <c r="DM460" t="str">
        <f>""</f>
        <v/>
      </c>
      <c r="DN460" t="str">
        <f>""</f>
        <v/>
      </c>
      <c r="DO460" t="str">
        <f>""</f>
        <v/>
      </c>
      <c r="DP460" t="str">
        <f>""</f>
        <v/>
      </c>
      <c r="DQ460" t="str">
        <f>""</f>
        <v/>
      </c>
      <c r="DR460" t="str">
        <f>""</f>
        <v/>
      </c>
      <c r="DS460" t="str">
        <f>""</f>
        <v/>
      </c>
      <c r="DT460" t="str">
        <f>""</f>
        <v/>
      </c>
      <c r="DU460" t="str">
        <f>""</f>
        <v/>
      </c>
    </row>
    <row r="461" spans="1:125">
      <c r="A461" t="str">
        <f>$A$223</f>
        <v xml:space="preserve">    Healthcare Realty Trust Inc</v>
      </c>
      <c r="B461" t="str">
        <f>$B$223</f>
        <v>HR US Equity</v>
      </c>
      <c r="C461" t="str">
        <f>$C$223</f>
        <v>RR008</v>
      </c>
      <c r="D461" t="str">
        <f>$D$223</f>
        <v>CF_FREE_CASH_FLOW</v>
      </c>
      <c r="E461" t="str">
        <f>$E$223</f>
        <v>动态</v>
      </c>
      <c r="F461" t="str">
        <f ca="1">BDH($B$223,$C$223,$B$256,$B$257,CONCATENATE("Per=",$B$254),"Dts=H","Dir=H",CONCATENATE("Points=",$B$255),"Sort=R","Days=A","Fill=B",CONCATENATE("FX=", $B$253) )</f>
        <v>#N/A Authorization</v>
      </c>
      <c r="BN461" t="str">
        <f>""</f>
        <v/>
      </c>
      <c r="BO461" t="str">
        <f>""</f>
        <v/>
      </c>
      <c r="BP461" t="str">
        <f>""</f>
        <v/>
      </c>
      <c r="BQ461" t="str">
        <f>""</f>
        <v/>
      </c>
      <c r="BR461" t="str">
        <f>""</f>
        <v/>
      </c>
      <c r="BS461" t="str">
        <f>""</f>
        <v/>
      </c>
      <c r="BT461" t="str">
        <f>""</f>
        <v/>
      </c>
      <c r="BU461" t="str">
        <f>""</f>
        <v/>
      </c>
      <c r="BV461" t="str">
        <f>""</f>
        <v/>
      </c>
      <c r="BW461" t="str">
        <f>""</f>
        <v/>
      </c>
      <c r="BX461" t="str">
        <f>""</f>
        <v/>
      </c>
      <c r="BY461" t="str">
        <f>""</f>
        <v/>
      </c>
      <c r="BZ461" t="str">
        <f>""</f>
        <v/>
      </c>
      <c r="CA461" t="str">
        <f>""</f>
        <v/>
      </c>
      <c r="CB461" t="str">
        <f>""</f>
        <v/>
      </c>
      <c r="CC461" t="str">
        <f>""</f>
        <v/>
      </c>
      <c r="CD461" t="str">
        <f>""</f>
        <v/>
      </c>
      <c r="CE461" t="str">
        <f>""</f>
        <v/>
      </c>
      <c r="CF461" t="str">
        <f>""</f>
        <v/>
      </c>
      <c r="CG461" t="str">
        <f>""</f>
        <v/>
      </c>
      <c r="CH461" t="str">
        <f>""</f>
        <v/>
      </c>
      <c r="CI461" t="str">
        <f>""</f>
        <v/>
      </c>
      <c r="CJ461" t="str">
        <f>""</f>
        <v/>
      </c>
      <c r="CK461" t="str">
        <f>""</f>
        <v/>
      </c>
      <c r="CL461" t="str">
        <f>""</f>
        <v/>
      </c>
      <c r="CM461" t="str">
        <f>""</f>
        <v/>
      </c>
      <c r="CN461" t="str">
        <f>""</f>
        <v/>
      </c>
      <c r="CO461" t="str">
        <f>""</f>
        <v/>
      </c>
      <c r="CP461" t="str">
        <f>""</f>
        <v/>
      </c>
      <c r="CQ461" t="str">
        <f>""</f>
        <v/>
      </c>
      <c r="CR461" t="str">
        <f>""</f>
        <v/>
      </c>
      <c r="CS461" t="str">
        <f>""</f>
        <v/>
      </c>
      <c r="CT461" t="str">
        <f>""</f>
        <v/>
      </c>
      <c r="CU461" t="str">
        <f>""</f>
        <v/>
      </c>
      <c r="CV461" t="str">
        <f>""</f>
        <v/>
      </c>
      <c r="CW461" t="str">
        <f>""</f>
        <v/>
      </c>
      <c r="CX461" t="str">
        <f>""</f>
        <v/>
      </c>
      <c r="CY461" t="str">
        <f>""</f>
        <v/>
      </c>
      <c r="CZ461" t="str">
        <f>""</f>
        <v/>
      </c>
      <c r="DA461" t="str">
        <f>""</f>
        <v/>
      </c>
      <c r="DB461" t="str">
        <f>""</f>
        <v/>
      </c>
      <c r="DC461" t="str">
        <f>""</f>
        <v/>
      </c>
      <c r="DD461" t="str">
        <f>""</f>
        <v/>
      </c>
      <c r="DE461" t="str">
        <f>""</f>
        <v/>
      </c>
      <c r="DF461" t="str">
        <f>""</f>
        <v/>
      </c>
      <c r="DG461" t="str">
        <f>""</f>
        <v/>
      </c>
      <c r="DH461" t="str">
        <f>""</f>
        <v/>
      </c>
      <c r="DI461" t="str">
        <f>""</f>
        <v/>
      </c>
      <c r="DJ461" t="str">
        <f>""</f>
        <v/>
      </c>
      <c r="DK461" t="str">
        <f>""</f>
        <v/>
      </c>
      <c r="DL461" t="str">
        <f>""</f>
        <v/>
      </c>
      <c r="DM461" t="str">
        <f>""</f>
        <v/>
      </c>
      <c r="DN461" t="str">
        <f>""</f>
        <v/>
      </c>
      <c r="DO461" t="str">
        <f>""</f>
        <v/>
      </c>
      <c r="DP461" t="str">
        <f>""</f>
        <v/>
      </c>
      <c r="DQ461" t="str">
        <f>""</f>
        <v/>
      </c>
      <c r="DR461" t="str">
        <f>""</f>
        <v/>
      </c>
      <c r="DS461" t="str">
        <f>""</f>
        <v/>
      </c>
      <c r="DT461" t="str">
        <f>""</f>
        <v/>
      </c>
      <c r="DU461" t="str">
        <f>""</f>
        <v/>
      </c>
    </row>
    <row r="462" spans="1:125">
      <c r="A462" t="str">
        <f>$A$224</f>
        <v xml:space="preserve">    Healthcare Trust of America In</v>
      </c>
      <c r="B462" t="str">
        <f>$B$224</f>
        <v>HTA US Equity</v>
      </c>
      <c r="C462" t="str">
        <f>$C$224</f>
        <v>RR008</v>
      </c>
      <c r="D462" t="str">
        <f>$D$224</f>
        <v>CF_FREE_CASH_FLOW</v>
      </c>
      <c r="E462" t="str">
        <f>$E$224</f>
        <v>动态</v>
      </c>
      <c r="F462" t="str">
        <f ca="1">BDH($B$224,$C$224,$B$256,$B$257,CONCATENATE("Per=",$B$254),"Dts=H","Dir=H",CONCATENATE("Points=",$B$255),"Sort=R","Days=A","Fill=B",CONCATENATE("FX=", $B$253) )</f>
        <v>#N/A Authorization</v>
      </c>
      <c r="BN462" t="str">
        <f>""</f>
        <v/>
      </c>
      <c r="BO462" t="str">
        <f>""</f>
        <v/>
      </c>
      <c r="BP462" t="str">
        <f>""</f>
        <v/>
      </c>
      <c r="BQ462" t="str">
        <f>""</f>
        <v/>
      </c>
      <c r="BR462" t="str">
        <f>""</f>
        <v/>
      </c>
      <c r="BS462" t="str">
        <f>""</f>
        <v/>
      </c>
      <c r="BT462" t="str">
        <f>""</f>
        <v/>
      </c>
      <c r="BU462" t="str">
        <f>""</f>
        <v/>
      </c>
      <c r="BV462" t="str">
        <f>""</f>
        <v/>
      </c>
      <c r="BW462" t="str">
        <f>""</f>
        <v/>
      </c>
      <c r="BX462" t="str">
        <f>""</f>
        <v/>
      </c>
      <c r="BY462" t="str">
        <f>""</f>
        <v/>
      </c>
      <c r="BZ462" t="str">
        <f>""</f>
        <v/>
      </c>
      <c r="CA462" t="str">
        <f>""</f>
        <v/>
      </c>
      <c r="CB462" t="str">
        <f>""</f>
        <v/>
      </c>
      <c r="CC462" t="str">
        <f>""</f>
        <v/>
      </c>
      <c r="CD462" t="str">
        <f>""</f>
        <v/>
      </c>
      <c r="CE462" t="str">
        <f>""</f>
        <v/>
      </c>
      <c r="CF462" t="str">
        <f>""</f>
        <v/>
      </c>
      <c r="CG462" t="str">
        <f>""</f>
        <v/>
      </c>
      <c r="CH462" t="str">
        <f>""</f>
        <v/>
      </c>
      <c r="CI462" t="str">
        <f>""</f>
        <v/>
      </c>
      <c r="CJ462" t="str">
        <f>""</f>
        <v/>
      </c>
      <c r="CK462" t="str">
        <f>""</f>
        <v/>
      </c>
      <c r="CL462" t="str">
        <f>""</f>
        <v/>
      </c>
      <c r="CM462" t="str">
        <f>""</f>
        <v/>
      </c>
      <c r="CN462" t="str">
        <f>""</f>
        <v/>
      </c>
      <c r="CO462" t="str">
        <f>""</f>
        <v/>
      </c>
      <c r="CP462" t="str">
        <f>""</f>
        <v/>
      </c>
      <c r="CQ462" t="str">
        <f>""</f>
        <v/>
      </c>
      <c r="CR462" t="str">
        <f>""</f>
        <v/>
      </c>
      <c r="CS462" t="str">
        <f>""</f>
        <v/>
      </c>
      <c r="CT462" t="str">
        <f>""</f>
        <v/>
      </c>
      <c r="CU462" t="str">
        <f>""</f>
        <v/>
      </c>
      <c r="CV462" t="str">
        <f>""</f>
        <v/>
      </c>
      <c r="CW462" t="str">
        <f>""</f>
        <v/>
      </c>
      <c r="CX462" t="str">
        <f>""</f>
        <v/>
      </c>
      <c r="CY462" t="str">
        <f>""</f>
        <v/>
      </c>
      <c r="CZ462" t="str">
        <f>""</f>
        <v/>
      </c>
      <c r="DA462" t="str">
        <f>""</f>
        <v/>
      </c>
      <c r="DB462" t="str">
        <f>""</f>
        <v/>
      </c>
      <c r="DC462" t="str">
        <f>""</f>
        <v/>
      </c>
      <c r="DD462" t="str">
        <f>""</f>
        <v/>
      </c>
      <c r="DE462" t="str">
        <f>""</f>
        <v/>
      </c>
      <c r="DF462" t="str">
        <f>""</f>
        <v/>
      </c>
      <c r="DG462" t="str">
        <f>""</f>
        <v/>
      </c>
      <c r="DH462" t="str">
        <f>""</f>
        <v/>
      </c>
      <c r="DI462" t="str">
        <f>""</f>
        <v/>
      </c>
      <c r="DJ462" t="str">
        <f>""</f>
        <v/>
      </c>
      <c r="DK462" t="str">
        <f>""</f>
        <v/>
      </c>
      <c r="DL462" t="str">
        <f>""</f>
        <v/>
      </c>
      <c r="DM462" t="str">
        <f>""</f>
        <v/>
      </c>
      <c r="DN462" t="str">
        <f>""</f>
        <v/>
      </c>
      <c r="DO462" t="str">
        <f>""</f>
        <v/>
      </c>
      <c r="DP462" t="str">
        <f>""</f>
        <v/>
      </c>
      <c r="DQ462" t="str">
        <f>""</f>
        <v/>
      </c>
      <c r="DR462" t="str">
        <f>""</f>
        <v/>
      </c>
      <c r="DS462" t="str">
        <f>""</f>
        <v/>
      </c>
      <c r="DT462" t="str">
        <f>""</f>
        <v/>
      </c>
      <c r="DU462" t="str">
        <f>""</f>
        <v/>
      </c>
    </row>
    <row r="463" spans="1:125">
      <c r="A463" t="str">
        <f>$A$225</f>
        <v xml:space="preserve">    Medical Properties Trust Inc</v>
      </c>
      <c r="B463" t="str">
        <f>$B$225</f>
        <v>MPW US Equity</v>
      </c>
      <c r="C463" t="str">
        <f>$C$225</f>
        <v>RR008</v>
      </c>
      <c r="D463" t="str">
        <f>$D$225</f>
        <v>CF_FREE_CASH_FLOW</v>
      </c>
      <c r="E463" t="str">
        <f>$E$225</f>
        <v>动态</v>
      </c>
      <c r="F463" t="str">
        <f ca="1">BDH($B$225,$C$225,$B$256,$B$257,CONCATENATE("Per=",$B$254),"Dts=H","Dir=H",CONCATENATE("Points=",$B$255),"Sort=R","Days=A","Fill=B",CONCATENATE("FX=", $B$253) )</f>
        <v>#N/A Authorization</v>
      </c>
      <c r="BN463" t="str">
        <f>""</f>
        <v/>
      </c>
      <c r="BO463" t="str">
        <f>""</f>
        <v/>
      </c>
      <c r="BP463" t="str">
        <f>""</f>
        <v/>
      </c>
      <c r="BQ463" t="str">
        <f>""</f>
        <v/>
      </c>
      <c r="BR463" t="str">
        <f>""</f>
        <v/>
      </c>
      <c r="BS463" t="str">
        <f>""</f>
        <v/>
      </c>
      <c r="BT463" t="str">
        <f>""</f>
        <v/>
      </c>
      <c r="BU463" t="str">
        <f>""</f>
        <v/>
      </c>
      <c r="BV463" t="str">
        <f>""</f>
        <v/>
      </c>
      <c r="BW463" t="str">
        <f>""</f>
        <v/>
      </c>
      <c r="BX463" t="str">
        <f>""</f>
        <v/>
      </c>
      <c r="BY463" t="str">
        <f>""</f>
        <v/>
      </c>
      <c r="BZ463" t="str">
        <f>""</f>
        <v/>
      </c>
      <c r="CA463" t="str">
        <f>""</f>
        <v/>
      </c>
      <c r="CB463" t="str">
        <f>""</f>
        <v/>
      </c>
      <c r="CC463" t="str">
        <f>""</f>
        <v/>
      </c>
      <c r="CD463" t="str">
        <f>""</f>
        <v/>
      </c>
      <c r="CE463" t="str">
        <f>""</f>
        <v/>
      </c>
      <c r="CF463" t="str">
        <f>""</f>
        <v/>
      </c>
      <c r="CG463" t="str">
        <f>""</f>
        <v/>
      </c>
      <c r="CH463" t="str">
        <f>""</f>
        <v/>
      </c>
      <c r="CI463" t="str">
        <f>""</f>
        <v/>
      </c>
      <c r="CJ463" t="str">
        <f>""</f>
        <v/>
      </c>
      <c r="CK463" t="str">
        <f>""</f>
        <v/>
      </c>
      <c r="CL463" t="str">
        <f>""</f>
        <v/>
      </c>
      <c r="CM463" t="str">
        <f>""</f>
        <v/>
      </c>
      <c r="CN463" t="str">
        <f>""</f>
        <v/>
      </c>
      <c r="CO463" t="str">
        <f>""</f>
        <v/>
      </c>
      <c r="CP463" t="str">
        <f>""</f>
        <v/>
      </c>
      <c r="CQ463" t="str">
        <f>""</f>
        <v/>
      </c>
      <c r="CR463" t="str">
        <f>""</f>
        <v/>
      </c>
      <c r="CS463" t="str">
        <f>""</f>
        <v/>
      </c>
      <c r="CT463" t="str">
        <f>""</f>
        <v/>
      </c>
      <c r="CU463" t="str">
        <f>""</f>
        <v/>
      </c>
      <c r="CV463" t="str">
        <f>""</f>
        <v/>
      </c>
      <c r="CW463" t="str">
        <f>""</f>
        <v/>
      </c>
      <c r="CX463" t="str">
        <f>""</f>
        <v/>
      </c>
      <c r="CY463" t="str">
        <f>""</f>
        <v/>
      </c>
      <c r="CZ463" t="str">
        <f>""</f>
        <v/>
      </c>
      <c r="DA463" t="str">
        <f>""</f>
        <v/>
      </c>
      <c r="DB463" t="str">
        <f>""</f>
        <v/>
      </c>
      <c r="DC463" t="str">
        <f>""</f>
        <v/>
      </c>
      <c r="DD463" t="str">
        <f>""</f>
        <v/>
      </c>
      <c r="DE463" t="str">
        <f>""</f>
        <v/>
      </c>
      <c r="DF463" t="str">
        <f>""</f>
        <v/>
      </c>
      <c r="DG463" t="str">
        <f>""</f>
        <v/>
      </c>
      <c r="DH463" t="str">
        <f>""</f>
        <v/>
      </c>
      <c r="DI463" t="str">
        <f>""</f>
        <v/>
      </c>
      <c r="DJ463" t="str">
        <f>""</f>
        <v/>
      </c>
      <c r="DK463" t="str">
        <f>""</f>
        <v/>
      </c>
      <c r="DL463" t="str">
        <f>""</f>
        <v/>
      </c>
      <c r="DM463" t="str">
        <f>""</f>
        <v/>
      </c>
      <c r="DN463" t="str">
        <f>""</f>
        <v/>
      </c>
      <c r="DO463" t="str">
        <f>""</f>
        <v/>
      </c>
      <c r="DP463" t="str">
        <f>""</f>
        <v/>
      </c>
      <c r="DQ463" t="str">
        <f>""</f>
        <v/>
      </c>
      <c r="DR463" t="str">
        <f>""</f>
        <v/>
      </c>
      <c r="DS463" t="str">
        <f>""</f>
        <v/>
      </c>
      <c r="DT463" t="str">
        <f>""</f>
        <v/>
      </c>
      <c r="DU463" t="str">
        <f>""</f>
        <v/>
      </c>
    </row>
    <row r="464" spans="1:125">
      <c r="A464" t="str">
        <f>$A$226</f>
        <v xml:space="preserve">    Omega Healthcare Investors Inc</v>
      </c>
      <c r="B464" t="str">
        <f>$B$226</f>
        <v>OHI US Equity</v>
      </c>
      <c r="C464" t="str">
        <f>$C$226</f>
        <v>RR008</v>
      </c>
      <c r="D464" t="str">
        <f>$D$226</f>
        <v>CF_FREE_CASH_FLOW</v>
      </c>
      <c r="E464" t="str">
        <f>$E$226</f>
        <v>动态</v>
      </c>
      <c r="F464" t="str">
        <f ca="1">BDH($B$226,$C$226,$B$256,$B$257,CONCATENATE("Per=",$B$254),"Dts=H","Dir=H",CONCATENATE("Points=",$B$255),"Sort=R","Days=A","Fill=B",CONCATENATE("FX=", $B$253) )</f>
        <v>#N/A Authorization</v>
      </c>
      <c r="BN464" t="str">
        <f>""</f>
        <v/>
      </c>
      <c r="BO464" t="str">
        <f>""</f>
        <v/>
      </c>
      <c r="BP464" t="str">
        <f>""</f>
        <v/>
      </c>
      <c r="BQ464" t="str">
        <f>""</f>
        <v/>
      </c>
      <c r="BR464" t="str">
        <f>""</f>
        <v/>
      </c>
      <c r="BS464" t="str">
        <f>""</f>
        <v/>
      </c>
      <c r="BT464" t="str">
        <f>""</f>
        <v/>
      </c>
      <c r="BU464" t="str">
        <f>""</f>
        <v/>
      </c>
      <c r="BV464" t="str">
        <f>""</f>
        <v/>
      </c>
      <c r="BW464" t="str">
        <f>""</f>
        <v/>
      </c>
      <c r="BX464" t="str">
        <f>""</f>
        <v/>
      </c>
      <c r="BY464" t="str">
        <f>""</f>
        <v/>
      </c>
      <c r="BZ464" t="str">
        <f>""</f>
        <v/>
      </c>
      <c r="CA464" t="str">
        <f>""</f>
        <v/>
      </c>
      <c r="CB464" t="str">
        <f>""</f>
        <v/>
      </c>
      <c r="CC464" t="str">
        <f>""</f>
        <v/>
      </c>
      <c r="CD464" t="str">
        <f>""</f>
        <v/>
      </c>
      <c r="CE464" t="str">
        <f>""</f>
        <v/>
      </c>
      <c r="CF464" t="str">
        <f>""</f>
        <v/>
      </c>
      <c r="CG464" t="str">
        <f>""</f>
        <v/>
      </c>
      <c r="CH464" t="str">
        <f>""</f>
        <v/>
      </c>
      <c r="CI464" t="str">
        <f>""</f>
        <v/>
      </c>
      <c r="CJ464" t="str">
        <f>""</f>
        <v/>
      </c>
      <c r="CK464" t="str">
        <f>""</f>
        <v/>
      </c>
      <c r="CL464" t="str">
        <f>""</f>
        <v/>
      </c>
      <c r="CM464" t="str">
        <f>""</f>
        <v/>
      </c>
      <c r="CN464" t="str">
        <f>""</f>
        <v/>
      </c>
      <c r="CO464" t="str">
        <f>""</f>
        <v/>
      </c>
      <c r="CP464" t="str">
        <f>""</f>
        <v/>
      </c>
      <c r="CQ464" t="str">
        <f>""</f>
        <v/>
      </c>
      <c r="CR464" t="str">
        <f>""</f>
        <v/>
      </c>
      <c r="CS464" t="str">
        <f>""</f>
        <v/>
      </c>
      <c r="CT464" t="str">
        <f>""</f>
        <v/>
      </c>
      <c r="CU464" t="str">
        <f>""</f>
        <v/>
      </c>
      <c r="CV464" t="str">
        <f>""</f>
        <v/>
      </c>
      <c r="CW464" t="str">
        <f>""</f>
        <v/>
      </c>
      <c r="CX464" t="str">
        <f>""</f>
        <v/>
      </c>
      <c r="CY464" t="str">
        <f>""</f>
        <v/>
      </c>
      <c r="CZ464" t="str">
        <f>""</f>
        <v/>
      </c>
      <c r="DA464" t="str">
        <f>""</f>
        <v/>
      </c>
      <c r="DB464" t="str">
        <f>""</f>
        <v/>
      </c>
      <c r="DC464" t="str">
        <f>""</f>
        <v/>
      </c>
      <c r="DD464" t="str">
        <f>""</f>
        <v/>
      </c>
      <c r="DE464" t="str">
        <f>""</f>
        <v/>
      </c>
      <c r="DF464" t="str">
        <f>""</f>
        <v/>
      </c>
      <c r="DG464" t="str">
        <f>""</f>
        <v/>
      </c>
      <c r="DH464" t="str">
        <f>""</f>
        <v/>
      </c>
      <c r="DI464" t="str">
        <f>""</f>
        <v/>
      </c>
      <c r="DJ464" t="str">
        <f>""</f>
        <v/>
      </c>
      <c r="DK464" t="str">
        <f>""</f>
        <v/>
      </c>
      <c r="DL464" t="str">
        <f>""</f>
        <v/>
      </c>
      <c r="DM464" t="str">
        <f>""</f>
        <v/>
      </c>
      <c r="DN464" t="str">
        <f>""</f>
        <v/>
      </c>
      <c r="DO464" t="str">
        <f>""</f>
        <v/>
      </c>
      <c r="DP464" t="str">
        <f>""</f>
        <v/>
      </c>
      <c r="DQ464" t="str">
        <f>""</f>
        <v/>
      </c>
      <c r="DR464" t="str">
        <f>""</f>
        <v/>
      </c>
      <c r="DS464" t="str">
        <f>""</f>
        <v/>
      </c>
      <c r="DT464" t="str">
        <f>""</f>
        <v/>
      </c>
      <c r="DU464" t="str">
        <f>""</f>
        <v/>
      </c>
    </row>
    <row r="465" spans="1:125">
      <c r="A465" t="str">
        <f>$A$227</f>
        <v xml:space="preserve">    Sabra Health Care REIT Inc</v>
      </c>
      <c r="B465" t="str">
        <f>$B$227</f>
        <v>SBRA US Equity</v>
      </c>
      <c r="C465" t="str">
        <f>$C$227</f>
        <v>RR008</v>
      </c>
      <c r="D465" t="str">
        <f>$D$227</f>
        <v>CF_FREE_CASH_FLOW</v>
      </c>
      <c r="E465" t="str">
        <f>$E$227</f>
        <v>动态</v>
      </c>
      <c r="F465" t="str">
        <f ca="1">BDH($B$227,$C$227,$B$256,$B$257,CONCATENATE("Per=",$B$254),"Dts=H","Dir=H",CONCATENATE("Points=",$B$255),"Sort=R","Days=A","Fill=B",CONCATENATE("FX=", $B$253) )</f>
        <v>#N/A Authorization</v>
      </c>
      <c r="BN465" t="str">
        <f>""</f>
        <v/>
      </c>
      <c r="BO465" t="str">
        <f>""</f>
        <v/>
      </c>
      <c r="BP465" t="str">
        <f>""</f>
        <v/>
      </c>
      <c r="BQ465" t="str">
        <f>""</f>
        <v/>
      </c>
      <c r="BR465" t="str">
        <f>""</f>
        <v/>
      </c>
      <c r="BS465" t="str">
        <f>""</f>
        <v/>
      </c>
      <c r="BT465" t="str">
        <f>""</f>
        <v/>
      </c>
      <c r="BU465" t="str">
        <f>""</f>
        <v/>
      </c>
      <c r="BV465" t="str">
        <f>""</f>
        <v/>
      </c>
      <c r="BW465" t="str">
        <f>""</f>
        <v/>
      </c>
      <c r="BX465" t="str">
        <f>""</f>
        <v/>
      </c>
      <c r="BY465" t="str">
        <f>""</f>
        <v/>
      </c>
      <c r="BZ465" t="str">
        <f>""</f>
        <v/>
      </c>
      <c r="CA465" t="str">
        <f>""</f>
        <v/>
      </c>
      <c r="CB465" t="str">
        <f>""</f>
        <v/>
      </c>
      <c r="CC465" t="str">
        <f>""</f>
        <v/>
      </c>
      <c r="CD465" t="str">
        <f>""</f>
        <v/>
      </c>
      <c r="CE465" t="str">
        <f>""</f>
        <v/>
      </c>
      <c r="CF465" t="str">
        <f>""</f>
        <v/>
      </c>
      <c r="CG465" t="str">
        <f>""</f>
        <v/>
      </c>
      <c r="CH465" t="str">
        <f>""</f>
        <v/>
      </c>
      <c r="CI465" t="str">
        <f>""</f>
        <v/>
      </c>
      <c r="CJ465" t="str">
        <f>""</f>
        <v/>
      </c>
      <c r="CK465" t="str">
        <f>""</f>
        <v/>
      </c>
      <c r="CL465" t="str">
        <f>""</f>
        <v/>
      </c>
      <c r="CM465" t="str">
        <f>""</f>
        <v/>
      </c>
      <c r="CN465" t="str">
        <f>""</f>
        <v/>
      </c>
      <c r="CO465" t="str">
        <f>""</f>
        <v/>
      </c>
      <c r="CP465" t="str">
        <f>""</f>
        <v/>
      </c>
      <c r="CQ465" t="str">
        <f>""</f>
        <v/>
      </c>
      <c r="CR465" t="str">
        <f>""</f>
        <v/>
      </c>
      <c r="CS465" t="str">
        <f>""</f>
        <v/>
      </c>
      <c r="CT465" t="str">
        <f>""</f>
        <v/>
      </c>
      <c r="CU465" t="str">
        <f>""</f>
        <v/>
      </c>
      <c r="CV465" t="str">
        <f>""</f>
        <v/>
      </c>
      <c r="CW465" t="str">
        <f>""</f>
        <v/>
      </c>
      <c r="CX465" t="str">
        <f>""</f>
        <v/>
      </c>
      <c r="CY465" t="str">
        <f>""</f>
        <v/>
      </c>
      <c r="CZ465" t="str">
        <f>""</f>
        <v/>
      </c>
      <c r="DA465" t="str">
        <f>""</f>
        <v/>
      </c>
      <c r="DB465" t="str">
        <f>""</f>
        <v/>
      </c>
      <c r="DC465" t="str">
        <f>""</f>
        <v/>
      </c>
      <c r="DD465" t="str">
        <f>""</f>
        <v/>
      </c>
      <c r="DE465" t="str">
        <f>""</f>
        <v/>
      </c>
      <c r="DF465" t="str">
        <f>""</f>
        <v/>
      </c>
      <c r="DG465" t="str">
        <f>""</f>
        <v/>
      </c>
      <c r="DH465" t="str">
        <f>""</f>
        <v/>
      </c>
      <c r="DI465" t="str">
        <f>""</f>
        <v/>
      </c>
      <c r="DJ465" t="str">
        <f>""</f>
        <v/>
      </c>
      <c r="DK465" t="str">
        <f>""</f>
        <v/>
      </c>
      <c r="DL465" t="str">
        <f>""</f>
        <v/>
      </c>
      <c r="DM465" t="str">
        <f>""</f>
        <v/>
      </c>
      <c r="DN465" t="str">
        <f>""</f>
        <v/>
      </c>
      <c r="DO465" t="str">
        <f>""</f>
        <v/>
      </c>
      <c r="DP465" t="str">
        <f>""</f>
        <v/>
      </c>
      <c r="DQ465" t="str">
        <f>""</f>
        <v/>
      </c>
      <c r="DR465" t="str">
        <f>""</f>
        <v/>
      </c>
      <c r="DS465" t="str">
        <f>""</f>
        <v/>
      </c>
      <c r="DT465" t="str">
        <f>""</f>
        <v/>
      </c>
      <c r="DU465" t="str">
        <f>""</f>
        <v/>
      </c>
    </row>
    <row r="466" spans="1:125">
      <c r="A466" t="str">
        <f>$A$228</f>
        <v xml:space="preserve">    Senior Housing Properties Trus</v>
      </c>
      <c r="B466" t="str">
        <f>$B$228</f>
        <v>SNH US Equity</v>
      </c>
      <c r="C466" t="str">
        <f>$C$228</f>
        <v>RR008</v>
      </c>
      <c r="D466" t="str">
        <f>$D$228</f>
        <v>CF_FREE_CASH_FLOW</v>
      </c>
      <c r="E466" t="str">
        <f>$E$228</f>
        <v>动态</v>
      </c>
      <c r="F466" t="str">
        <f ca="1">BDH($B$228,$C$228,$B$256,$B$257,CONCATENATE("Per=",$B$254),"Dts=H","Dir=H",CONCATENATE("Points=",$B$255),"Sort=R","Days=A","Fill=B",CONCATENATE("FX=", $B$253) )</f>
        <v>#N/A Authorization</v>
      </c>
      <c r="BN466" t="str">
        <f>""</f>
        <v/>
      </c>
      <c r="BO466" t="str">
        <f>""</f>
        <v/>
      </c>
      <c r="BP466" t="str">
        <f>""</f>
        <v/>
      </c>
      <c r="BQ466" t="str">
        <f>""</f>
        <v/>
      </c>
      <c r="BR466" t="str">
        <f>""</f>
        <v/>
      </c>
      <c r="BS466" t="str">
        <f>""</f>
        <v/>
      </c>
      <c r="BT466" t="str">
        <f>""</f>
        <v/>
      </c>
      <c r="BU466" t="str">
        <f>""</f>
        <v/>
      </c>
      <c r="BV466" t="str">
        <f>""</f>
        <v/>
      </c>
      <c r="BW466" t="str">
        <f>""</f>
        <v/>
      </c>
      <c r="BX466" t="str">
        <f>""</f>
        <v/>
      </c>
      <c r="BY466" t="str">
        <f>""</f>
        <v/>
      </c>
      <c r="BZ466" t="str">
        <f>""</f>
        <v/>
      </c>
      <c r="CA466" t="str">
        <f>""</f>
        <v/>
      </c>
      <c r="CB466" t="str">
        <f>""</f>
        <v/>
      </c>
      <c r="CC466" t="str">
        <f>""</f>
        <v/>
      </c>
      <c r="CD466" t="str">
        <f>""</f>
        <v/>
      </c>
      <c r="CE466" t="str">
        <f>""</f>
        <v/>
      </c>
      <c r="CF466" t="str">
        <f>""</f>
        <v/>
      </c>
      <c r="CG466" t="str">
        <f>""</f>
        <v/>
      </c>
      <c r="CH466" t="str">
        <f>""</f>
        <v/>
      </c>
      <c r="CI466" t="str">
        <f>""</f>
        <v/>
      </c>
      <c r="CJ466" t="str">
        <f>""</f>
        <v/>
      </c>
      <c r="CK466" t="str">
        <f>""</f>
        <v/>
      </c>
      <c r="CL466" t="str">
        <f>""</f>
        <v/>
      </c>
      <c r="CM466" t="str">
        <f>""</f>
        <v/>
      </c>
      <c r="CN466" t="str">
        <f>""</f>
        <v/>
      </c>
      <c r="CO466" t="str">
        <f>""</f>
        <v/>
      </c>
      <c r="CP466" t="str">
        <f>""</f>
        <v/>
      </c>
      <c r="CQ466" t="str">
        <f>""</f>
        <v/>
      </c>
      <c r="CR466" t="str">
        <f>""</f>
        <v/>
      </c>
      <c r="CS466" t="str">
        <f>""</f>
        <v/>
      </c>
      <c r="CT466" t="str">
        <f>""</f>
        <v/>
      </c>
      <c r="CU466" t="str">
        <f>""</f>
        <v/>
      </c>
      <c r="CV466" t="str">
        <f>""</f>
        <v/>
      </c>
      <c r="CW466" t="str">
        <f>""</f>
        <v/>
      </c>
      <c r="CX466" t="str">
        <f>""</f>
        <v/>
      </c>
      <c r="CY466" t="str">
        <f>""</f>
        <v/>
      </c>
      <c r="CZ466" t="str">
        <f>""</f>
        <v/>
      </c>
      <c r="DA466" t="str">
        <f>""</f>
        <v/>
      </c>
      <c r="DB466" t="str">
        <f>""</f>
        <v/>
      </c>
      <c r="DC466" t="str">
        <f>""</f>
        <v/>
      </c>
      <c r="DD466" t="str">
        <f>""</f>
        <v/>
      </c>
      <c r="DE466" t="str">
        <f>""</f>
        <v/>
      </c>
      <c r="DF466" t="str">
        <f>""</f>
        <v/>
      </c>
      <c r="DG466" t="str">
        <f>""</f>
        <v/>
      </c>
      <c r="DH466" t="str">
        <f>""</f>
        <v/>
      </c>
      <c r="DI466" t="str">
        <f>""</f>
        <v/>
      </c>
      <c r="DJ466" t="str">
        <f>""</f>
        <v/>
      </c>
      <c r="DK466" t="str">
        <f>""</f>
        <v/>
      </c>
      <c r="DL466" t="str">
        <f>""</f>
        <v/>
      </c>
      <c r="DM466" t="str">
        <f>""</f>
        <v/>
      </c>
      <c r="DN466" t="str">
        <f>""</f>
        <v/>
      </c>
      <c r="DO466" t="str">
        <f>""</f>
        <v/>
      </c>
      <c r="DP466" t="str">
        <f>""</f>
        <v/>
      </c>
      <c r="DQ466" t="str">
        <f>""</f>
        <v/>
      </c>
      <c r="DR466" t="str">
        <f>""</f>
        <v/>
      </c>
      <c r="DS466" t="str">
        <f>""</f>
        <v/>
      </c>
      <c r="DT466" t="str">
        <f>""</f>
        <v/>
      </c>
      <c r="DU466" t="str">
        <f>""</f>
        <v/>
      </c>
    </row>
    <row r="467" spans="1:125">
      <c r="A467" t="str">
        <f>$A$229</f>
        <v xml:space="preserve">    Ventas Inc</v>
      </c>
      <c r="B467" t="str">
        <f>$B$229</f>
        <v>VTR US Equity</v>
      </c>
      <c r="C467" t="str">
        <f>$C$229</f>
        <v>RR008</v>
      </c>
      <c r="D467" t="str">
        <f>$D$229</f>
        <v>CF_FREE_CASH_FLOW</v>
      </c>
      <c r="E467" t="str">
        <f>$E$229</f>
        <v>动态</v>
      </c>
      <c r="F467" t="str">
        <f ca="1">BDH($B$229,$C$229,$B$256,$B$257,CONCATENATE("Per=",$B$254),"Dts=H","Dir=H",CONCATENATE("Points=",$B$255),"Sort=R","Days=A","Fill=B",CONCATENATE("FX=", $B$253) )</f>
        <v>#N/A Authorization</v>
      </c>
      <c r="BN467" t="str">
        <f>""</f>
        <v/>
      </c>
      <c r="BO467" t="str">
        <f>""</f>
        <v/>
      </c>
      <c r="BP467" t="str">
        <f>""</f>
        <v/>
      </c>
      <c r="BQ467" t="str">
        <f>""</f>
        <v/>
      </c>
      <c r="BR467" t="str">
        <f>""</f>
        <v/>
      </c>
      <c r="BS467" t="str">
        <f>""</f>
        <v/>
      </c>
      <c r="BT467" t="str">
        <f>""</f>
        <v/>
      </c>
      <c r="BU467" t="str">
        <f>""</f>
        <v/>
      </c>
      <c r="BV467" t="str">
        <f>""</f>
        <v/>
      </c>
      <c r="BW467" t="str">
        <f>""</f>
        <v/>
      </c>
      <c r="BX467" t="str">
        <f>""</f>
        <v/>
      </c>
      <c r="BY467" t="str">
        <f>""</f>
        <v/>
      </c>
      <c r="BZ467" t="str">
        <f>""</f>
        <v/>
      </c>
      <c r="CA467" t="str">
        <f>""</f>
        <v/>
      </c>
      <c r="CB467" t="str">
        <f>""</f>
        <v/>
      </c>
      <c r="CC467" t="str">
        <f>""</f>
        <v/>
      </c>
      <c r="CD467" t="str">
        <f>""</f>
        <v/>
      </c>
      <c r="CE467" t="str">
        <f>""</f>
        <v/>
      </c>
      <c r="CF467" t="str">
        <f>""</f>
        <v/>
      </c>
      <c r="CG467" t="str">
        <f>""</f>
        <v/>
      </c>
      <c r="CH467" t="str">
        <f>""</f>
        <v/>
      </c>
      <c r="CI467" t="str">
        <f>""</f>
        <v/>
      </c>
      <c r="CJ467" t="str">
        <f>""</f>
        <v/>
      </c>
      <c r="CK467" t="str">
        <f>""</f>
        <v/>
      </c>
      <c r="CL467" t="str">
        <f>""</f>
        <v/>
      </c>
      <c r="CM467" t="str">
        <f>""</f>
        <v/>
      </c>
      <c r="CN467" t="str">
        <f>""</f>
        <v/>
      </c>
      <c r="CO467" t="str">
        <f>""</f>
        <v/>
      </c>
      <c r="CP467" t="str">
        <f>""</f>
        <v/>
      </c>
      <c r="CQ467" t="str">
        <f>""</f>
        <v/>
      </c>
      <c r="CR467" t="str">
        <f>""</f>
        <v/>
      </c>
      <c r="CS467" t="str">
        <f>""</f>
        <v/>
      </c>
      <c r="CT467" t="str">
        <f>""</f>
        <v/>
      </c>
      <c r="CU467" t="str">
        <f>""</f>
        <v/>
      </c>
      <c r="CV467" t="str">
        <f>""</f>
        <v/>
      </c>
      <c r="CW467" t="str">
        <f>""</f>
        <v/>
      </c>
      <c r="CX467" t="str">
        <f>""</f>
        <v/>
      </c>
      <c r="CY467" t="str">
        <f>""</f>
        <v/>
      </c>
      <c r="CZ467" t="str">
        <f>""</f>
        <v/>
      </c>
      <c r="DA467" t="str">
        <f>""</f>
        <v/>
      </c>
      <c r="DB467" t="str">
        <f>""</f>
        <v/>
      </c>
      <c r="DC467" t="str">
        <f>""</f>
        <v/>
      </c>
      <c r="DD467" t="str">
        <f>""</f>
        <v/>
      </c>
      <c r="DE467" t="str">
        <f>""</f>
        <v/>
      </c>
      <c r="DF467" t="str">
        <f>""</f>
        <v/>
      </c>
      <c r="DG467" t="str">
        <f>""</f>
        <v/>
      </c>
      <c r="DH467" t="str">
        <f>""</f>
        <v/>
      </c>
      <c r="DI467" t="str">
        <f>""</f>
        <v/>
      </c>
      <c r="DJ467" t="str">
        <f>""</f>
        <v/>
      </c>
      <c r="DK467" t="str">
        <f>""</f>
        <v/>
      </c>
      <c r="DL467" t="str">
        <f>""</f>
        <v/>
      </c>
      <c r="DM467" t="str">
        <f>""</f>
        <v/>
      </c>
      <c r="DN467" t="str">
        <f>""</f>
        <v/>
      </c>
      <c r="DO467" t="str">
        <f>""</f>
        <v/>
      </c>
      <c r="DP467" t="str">
        <f>""</f>
        <v/>
      </c>
      <c r="DQ467" t="str">
        <f>""</f>
        <v/>
      </c>
      <c r="DR467" t="str">
        <f>""</f>
        <v/>
      </c>
      <c r="DS467" t="str">
        <f>""</f>
        <v/>
      </c>
      <c r="DT467" t="str">
        <f>""</f>
        <v/>
      </c>
      <c r="DU467" t="str">
        <f>""</f>
        <v/>
      </c>
    </row>
    <row r="468" spans="1:125">
      <c r="A468" t="str">
        <f>$A$230</f>
        <v xml:space="preserve">    Welltower Inc</v>
      </c>
      <c r="B468" t="str">
        <f>$B$230</f>
        <v>HCN US Equity</v>
      </c>
      <c r="C468" t="str">
        <f>$C$230</f>
        <v>RR008</v>
      </c>
      <c r="D468" t="str">
        <f>$D$230</f>
        <v>CF_FREE_CASH_FLOW</v>
      </c>
      <c r="E468" t="str">
        <f>$E$230</f>
        <v>动态</v>
      </c>
      <c r="F468" t="str">
        <f ca="1">BDH($B$230,$C$230,$B$256,$B$257,CONCATENATE("Per=",$B$254),"Dts=H","Dir=H",CONCATENATE("Points=",$B$255),"Sort=R","Days=A","Fill=B",CONCATENATE("FX=", $B$253) )</f>
        <v>#N/A Authorization</v>
      </c>
      <c r="BN468" t="str">
        <f>""</f>
        <v/>
      </c>
      <c r="BO468" t="str">
        <f>""</f>
        <v/>
      </c>
      <c r="BP468" t="str">
        <f>""</f>
        <v/>
      </c>
      <c r="BQ468" t="str">
        <f>""</f>
        <v/>
      </c>
      <c r="BR468" t="str">
        <f>""</f>
        <v/>
      </c>
      <c r="BS468" t="str">
        <f>""</f>
        <v/>
      </c>
      <c r="BT468" t="str">
        <f>""</f>
        <v/>
      </c>
      <c r="BU468" t="str">
        <f>""</f>
        <v/>
      </c>
      <c r="BV468" t="str">
        <f>""</f>
        <v/>
      </c>
      <c r="BW468" t="str">
        <f>""</f>
        <v/>
      </c>
      <c r="BX468" t="str">
        <f>""</f>
        <v/>
      </c>
      <c r="BY468" t="str">
        <f>""</f>
        <v/>
      </c>
      <c r="BZ468" t="str">
        <f>""</f>
        <v/>
      </c>
      <c r="CA468" t="str">
        <f>""</f>
        <v/>
      </c>
      <c r="CB468" t="str">
        <f>""</f>
        <v/>
      </c>
      <c r="CC468" t="str">
        <f>""</f>
        <v/>
      </c>
      <c r="CD468" t="str">
        <f>""</f>
        <v/>
      </c>
      <c r="CE468" t="str">
        <f>""</f>
        <v/>
      </c>
      <c r="CF468" t="str">
        <f>""</f>
        <v/>
      </c>
      <c r="CG468" t="str">
        <f>""</f>
        <v/>
      </c>
      <c r="CH468" t="str">
        <f>""</f>
        <v/>
      </c>
      <c r="CI468" t="str">
        <f>""</f>
        <v/>
      </c>
      <c r="CJ468" t="str">
        <f>""</f>
        <v/>
      </c>
      <c r="CK468" t="str">
        <f>""</f>
        <v/>
      </c>
      <c r="CL468" t="str">
        <f>""</f>
        <v/>
      </c>
      <c r="CM468" t="str">
        <f>""</f>
        <v/>
      </c>
      <c r="CN468" t="str">
        <f>""</f>
        <v/>
      </c>
      <c r="CO468" t="str">
        <f>""</f>
        <v/>
      </c>
      <c r="CP468" t="str">
        <f>""</f>
        <v/>
      </c>
      <c r="CQ468" t="str">
        <f>""</f>
        <v/>
      </c>
      <c r="CR468" t="str">
        <f>""</f>
        <v/>
      </c>
      <c r="CS468" t="str">
        <f>""</f>
        <v/>
      </c>
      <c r="CT468" t="str">
        <f>""</f>
        <v/>
      </c>
      <c r="CU468" t="str">
        <f>""</f>
        <v/>
      </c>
      <c r="CV468" t="str">
        <f>""</f>
        <v/>
      </c>
      <c r="CW468" t="str">
        <f>""</f>
        <v/>
      </c>
      <c r="CX468" t="str">
        <f>""</f>
        <v/>
      </c>
      <c r="CY468" t="str">
        <f>""</f>
        <v/>
      </c>
      <c r="CZ468" t="str">
        <f>""</f>
        <v/>
      </c>
      <c r="DA468" t="str">
        <f>""</f>
        <v/>
      </c>
      <c r="DB468" t="str">
        <f>""</f>
        <v/>
      </c>
      <c r="DC468" t="str">
        <f>""</f>
        <v/>
      </c>
      <c r="DD468" t="str">
        <f>""</f>
        <v/>
      </c>
      <c r="DE468" t="str">
        <f>""</f>
        <v/>
      </c>
      <c r="DF468" t="str">
        <f>""</f>
        <v/>
      </c>
      <c r="DG468" t="str">
        <f>""</f>
        <v/>
      </c>
      <c r="DH468" t="str">
        <f>""</f>
        <v/>
      </c>
      <c r="DI468" t="str">
        <f>""</f>
        <v/>
      </c>
      <c r="DJ468" t="str">
        <f>""</f>
        <v/>
      </c>
      <c r="DK468" t="str">
        <f>""</f>
        <v/>
      </c>
      <c r="DL468" t="str">
        <f>""</f>
        <v/>
      </c>
      <c r="DM468" t="str">
        <f>""</f>
        <v/>
      </c>
      <c r="DN468" t="str">
        <f>""</f>
        <v/>
      </c>
      <c r="DO468" t="str">
        <f>""</f>
        <v/>
      </c>
      <c r="DP468" t="str">
        <f>""</f>
        <v/>
      </c>
      <c r="DQ468" t="str">
        <f>""</f>
        <v/>
      </c>
      <c r="DR468" t="str">
        <f>""</f>
        <v/>
      </c>
      <c r="DS468" t="str">
        <f>""</f>
        <v/>
      </c>
      <c r="DT468" t="str">
        <f>""</f>
        <v/>
      </c>
      <c r="DU468" t="str">
        <f>""</f>
        <v/>
      </c>
    </row>
    <row r="469" spans="1:125">
      <c r="A469" t="str">
        <f>$A$232</f>
        <v xml:space="preserve">    Alexandria Real Estate Equitie</v>
      </c>
      <c r="B469" t="str">
        <f>$B$232</f>
        <v>ARE US Equity</v>
      </c>
      <c r="C469" t="str">
        <f>$C$232</f>
        <v>RR106</v>
      </c>
      <c r="D469" t="str">
        <f>$D$232</f>
        <v>FFO_PAYOUT_RATIO</v>
      </c>
      <c r="E469" t="str">
        <f>$E$232</f>
        <v>动态</v>
      </c>
      <c r="F469" t="str">
        <f ca="1">BDH($B$232,$C$232,$B$256,$B$257,CONCATENATE("Per=",$B$254),"Dts=H","Dir=H",CONCATENATE("Points=",$B$255),"Sort=R","Days=A","Fill=B",CONCATENATE("FX=", $B$253) )</f>
        <v>#N/A Authorization</v>
      </c>
      <c r="BN469" t="str">
        <f>""</f>
        <v/>
      </c>
      <c r="BO469" t="str">
        <f>""</f>
        <v/>
      </c>
      <c r="BP469" t="str">
        <f>""</f>
        <v/>
      </c>
      <c r="BQ469" t="str">
        <f>""</f>
        <v/>
      </c>
      <c r="BR469" t="str">
        <f>""</f>
        <v/>
      </c>
      <c r="BS469" t="str">
        <f>""</f>
        <v/>
      </c>
      <c r="BT469" t="str">
        <f>""</f>
        <v/>
      </c>
      <c r="BU469" t="str">
        <f>""</f>
        <v/>
      </c>
      <c r="BV469" t="str">
        <f>""</f>
        <v/>
      </c>
      <c r="BW469" t="str">
        <f>""</f>
        <v/>
      </c>
      <c r="BX469" t="str">
        <f>""</f>
        <v/>
      </c>
      <c r="BY469" t="str">
        <f>""</f>
        <v/>
      </c>
      <c r="BZ469" t="str">
        <f>""</f>
        <v/>
      </c>
      <c r="CA469" t="str">
        <f>""</f>
        <v/>
      </c>
      <c r="CB469" t="str">
        <f>""</f>
        <v/>
      </c>
      <c r="CC469" t="str">
        <f>""</f>
        <v/>
      </c>
      <c r="CD469" t="str">
        <f>""</f>
        <v/>
      </c>
      <c r="CE469" t="str">
        <f>""</f>
        <v/>
      </c>
      <c r="CF469" t="str">
        <f>""</f>
        <v/>
      </c>
      <c r="CG469" t="str">
        <f>""</f>
        <v/>
      </c>
      <c r="CH469" t="str">
        <f>""</f>
        <v/>
      </c>
      <c r="CI469" t="str">
        <f>""</f>
        <v/>
      </c>
      <c r="CJ469" t="str">
        <f>""</f>
        <v/>
      </c>
      <c r="CK469" t="str">
        <f>""</f>
        <v/>
      </c>
      <c r="CL469" t="str">
        <f>""</f>
        <v/>
      </c>
      <c r="CM469" t="str">
        <f>""</f>
        <v/>
      </c>
      <c r="CN469" t="str">
        <f>""</f>
        <v/>
      </c>
      <c r="CO469" t="str">
        <f>""</f>
        <v/>
      </c>
      <c r="CP469" t="str">
        <f>""</f>
        <v/>
      </c>
      <c r="CQ469" t="str">
        <f>""</f>
        <v/>
      </c>
      <c r="CR469" t="str">
        <f>""</f>
        <v/>
      </c>
      <c r="CS469" t="str">
        <f>""</f>
        <v/>
      </c>
      <c r="CT469" t="str">
        <f>""</f>
        <v/>
      </c>
      <c r="CU469" t="str">
        <f>""</f>
        <v/>
      </c>
      <c r="CV469" t="str">
        <f>""</f>
        <v/>
      </c>
      <c r="CW469" t="str">
        <f>""</f>
        <v/>
      </c>
      <c r="CX469" t="str">
        <f>""</f>
        <v/>
      </c>
      <c r="CY469" t="str">
        <f>""</f>
        <v/>
      </c>
      <c r="CZ469" t="str">
        <f>""</f>
        <v/>
      </c>
      <c r="DA469" t="str">
        <f>""</f>
        <v/>
      </c>
      <c r="DB469" t="str">
        <f>""</f>
        <v/>
      </c>
      <c r="DC469" t="str">
        <f>""</f>
        <v/>
      </c>
      <c r="DD469" t="str">
        <f>""</f>
        <v/>
      </c>
      <c r="DE469" t="str">
        <f>""</f>
        <v/>
      </c>
      <c r="DF469" t="str">
        <f>""</f>
        <v/>
      </c>
      <c r="DG469" t="str">
        <f>""</f>
        <v/>
      </c>
      <c r="DH469" t="str">
        <f>""</f>
        <v/>
      </c>
      <c r="DI469" t="str">
        <f>""</f>
        <v/>
      </c>
      <c r="DJ469" t="str">
        <f>""</f>
        <v/>
      </c>
      <c r="DK469" t="str">
        <f>""</f>
        <v/>
      </c>
      <c r="DL469" t="str">
        <f>""</f>
        <v/>
      </c>
      <c r="DM469" t="str">
        <f>""</f>
        <v/>
      </c>
      <c r="DN469" t="str">
        <f>""</f>
        <v/>
      </c>
      <c r="DO469" t="str">
        <f>""</f>
        <v/>
      </c>
      <c r="DP469" t="str">
        <f>""</f>
        <v/>
      </c>
      <c r="DQ469" t="str">
        <f>""</f>
        <v/>
      </c>
      <c r="DR469" t="str">
        <f>""</f>
        <v/>
      </c>
      <c r="DS469" t="str">
        <f>""</f>
        <v/>
      </c>
      <c r="DT469" t="str">
        <f>""</f>
        <v/>
      </c>
      <c r="DU469" t="str">
        <f>""</f>
        <v/>
      </c>
    </row>
    <row r="470" spans="1:125">
      <c r="A470" t="str">
        <f>$A$233</f>
        <v xml:space="preserve">    Care Capital Properties Inc</v>
      </c>
      <c r="B470" t="str">
        <f>$B$233</f>
        <v>CCP US Equity</v>
      </c>
      <c r="C470" t="str">
        <f>$C$233</f>
        <v>RR106</v>
      </c>
      <c r="D470" t="str">
        <f>$D$233</f>
        <v>FFO_PAYOUT_RATIO</v>
      </c>
      <c r="E470" t="str">
        <f>$E$233</f>
        <v>动态</v>
      </c>
      <c r="F470" t="str">
        <f ca="1">BDH($B$233,$C$233,$B$256,$B$257,CONCATENATE("Per=",$B$254),"Dts=H","Dir=H",CONCATENATE("Points=",$B$255),"Sort=R","Days=A","Fill=B",CONCATENATE("FX=", $B$253) )</f>
        <v>#N/A Authorization</v>
      </c>
      <c r="BN470" t="str">
        <f>""</f>
        <v/>
      </c>
      <c r="BO470" t="str">
        <f>""</f>
        <v/>
      </c>
      <c r="BP470" t="str">
        <f>""</f>
        <v/>
      </c>
      <c r="BQ470" t="str">
        <f>""</f>
        <v/>
      </c>
      <c r="BR470" t="str">
        <f>""</f>
        <v/>
      </c>
      <c r="BS470" t="str">
        <f>""</f>
        <v/>
      </c>
      <c r="BT470" t="str">
        <f>""</f>
        <v/>
      </c>
      <c r="BU470" t="str">
        <f>""</f>
        <v/>
      </c>
      <c r="BV470" t="str">
        <f>""</f>
        <v/>
      </c>
      <c r="BW470" t="str">
        <f>""</f>
        <v/>
      </c>
      <c r="BX470" t="str">
        <f>""</f>
        <v/>
      </c>
      <c r="BY470" t="str">
        <f>""</f>
        <v/>
      </c>
      <c r="BZ470" t="str">
        <f>""</f>
        <v/>
      </c>
      <c r="CA470" t="str">
        <f>""</f>
        <v/>
      </c>
      <c r="CB470" t="str">
        <f>""</f>
        <v/>
      </c>
      <c r="CC470" t="str">
        <f>""</f>
        <v/>
      </c>
      <c r="CD470" t="str">
        <f>""</f>
        <v/>
      </c>
      <c r="CE470" t="str">
        <f>""</f>
        <v/>
      </c>
      <c r="CF470" t="str">
        <f>""</f>
        <v/>
      </c>
      <c r="CG470" t="str">
        <f>""</f>
        <v/>
      </c>
      <c r="CH470" t="str">
        <f>""</f>
        <v/>
      </c>
      <c r="CI470" t="str">
        <f>""</f>
        <v/>
      </c>
      <c r="CJ470" t="str">
        <f>""</f>
        <v/>
      </c>
      <c r="CK470" t="str">
        <f>""</f>
        <v/>
      </c>
      <c r="CL470" t="str">
        <f>""</f>
        <v/>
      </c>
      <c r="CM470" t="str">
        <f>""</f>
        <v/>
      </c>
      <c r="CN470" t="str">
        <f>""</f>
        <v/>
      </c>
      <c r="CO470" t="str">
        <f>""</f>
        <v/>
      </c>
      <c r="CP470" t="str">
        <f>""</f>
        <v/>
      </c>
      <c r="CQ470" t="str">
        <f>""</f>
        <v/>
      </c>
      <c r="CR470" t="str">
        <f>""</f>
        <v/>
      </c>
      <c r="CS470" t="str">
        <f>""</f>
        <v/>
      </c>
      <c r="CT470" t="str">
        <f>""</f>
        <v/>
      </c>
      <c r="CU470" t="str">
        <f>""</f>
        <v/>
      </c>
      <c r="CV470" t="str">
        <f>""</f>
        <v/>
      </c>
      <c r="CW470" t="str">
        <f>""</f>
        <v/>
      </c>
      <c r="CX470" t="str">
        <f>""</f>
        <v/>
      </c>
      <c r="CY470" t="str">
        <f>""</f>
        <v/>
      </c>
      <c r="CZ470" t="str">
        <f>""</f>
        <v/>
      </c>
      <c r="DA470" t="str">
        <f>""</f>
        <v/>
      </c>
      <c r="DB470" t="str">
        <f>""</f>
        <v/>
      </c>
      <c r="DC470" t="str">
        <f>""</f>
        <v/>
      </c>
      <c r="DD470" t="str">
        <f>""</f>
        <v/>
      </c>
      <c r="DE470" t="str">
        <f>""</f>
        <v/>
      </c>
      <c r="DF470" t="str">
        <f>""</f>
        <v/>
      </c>
      <c r="DG470" t="str">
        <f>""</f>
        <v/>
      </c>
      <c r="DH470" t="str">
        <f>""</f>
        <v/>
      </c>
      <c r="DI470" t="str">
        <f>""</f>
        <v/>
      </c>
      <c r="DJ470" t="str">
        <f>""</f>
        <v/>
      </c>
      <c r="DK470" t="str">
        <f>""</f>
        <v/>
      </c>
      <c r="DL470" t="str">
        <f>""</f>
        <v/>
      </c>
      <c r="DM470" t="str">
        <f>""</f>
        <v/>
      </c>
      <c r="DN470" t="str">
        <f>""</f>
        <v/>
      </c>
      <c r="DO470" t="str">
        <f>""</f>
        <v/>
      </c>
      <c r="DP470" t="str">
        <f>""</f>
        <v/>
      </c>
      <c r="DQ470" t="str">
        <f>""</f>
        <v/>
      </c>
      <c r="DR470" t="str">
        <f>""</f>
        <v/>
      </c>
      <c r="DS470" t="str">
        <f>""</f>
        <v/>
      </c>
      <c r="DT470" t="str">
        <f>""</f>
        <v/>
      </c>
      <c r="DU470" t="str">
        <f>""</f>
        <v/>
      </c>
    </row>
    <row r="471" spans="1:125">
      <c r="A471" t="str">
        <f>$A$234</f>
        <v xml:space="preserve">    HCP Inc</v>
      </c>
      <c r="B471" t="str">
        <f>$B$234</f>
        <v>HCP US Equity</v>
      </c>
      <c r="C471" t="str">
        <f>$C$234</f>
        <v>RR106</v>
      </c>
      <c r="D471" t="str">
        <f>$D$234</f>
        <v>FFO_PAYOUT_RATIO</v>
      </c>
      <c r="E471" t="str">
        <f>$E$234</f>
        <v>动态</v>
      </c>
      <c r="F471" t="str">
        <f ca="1">BDH($B$234,$C$234,$B$256,$B$257,CONCATENATE("Per=",$B$254),"Dts=H","Dir=H",CONCATENATE("Points=",$B$255),"Sort=R","Days=A","Fill=B",CONCATENATE("FX=", $B$253) )</f>
        <v>#N/A Authorization</v>
      </c>
      <c r="BN471" t="str">
        <f>""</f>
        <v/>
      </c>
      <c r="BO471" t="str">
        <f>""</f>
        <v/>
      </c>
      <c r="BP471" t="str">
        <f>""</f>
        <v/>
      </c>
      <c r="BQ471" t="str">
        <f>""</f>
        <v/>
      </c>
      <c r="BR471" t="str">
        <f>""</f>
        <v/>
      </c>
      <c r="BS471" t="str">
        <f>""</f>
        <v/>
      </c>
      <c r="BT471" t="str">
        <f>""</f>
        <v/>
      </c>
      <c r="BU471" t="str">
        <f>""</f>
        <v/>
      </c>
      <c r="BV471" t="str">
        <f>""</f>
        <v/>
      </c>
      <c r="BW471" t="str">
        <f>""</f>
        <v/>
      </c>
      <c r="BX471" t="str">
        <f>""</f>
        <v/>
      </c>
      <c r="BY471" t="str">
        <f>""</f>
        <v/>
      </c>
      <c r="BZ471" t="str">
        <f>""</f>
        <v/>
      </c>
      <c r="CA471" t="str">
        <f>""</f>
        <v/>
      </c>
      <c r="CB471" t="str">
        <f>""</f>
        <v/>
      </c>
      <c r="CC471" t="str">
        <f>""</f>
        <v/>
      </c>
      <c r="CD471" t="str">
        <f>""</f>
        <v/>
      </c>
      <c r="CE471" t="str">
        <f>""</f>
        <v/>
      </c>
      <c r="CF471" t="str">
        <f>""</f>
        <v/>
      </c>
      <c r="CG471" t="str">
        <f>""</f>
        <v/>
      </c>
      <c r="CH471" t="str">
        <f>""</f>
        <v/>
      </c>
      <c r="CI471" t="str">
        <f>""</f>
        <v/>
      </c>
      <c r="CJ471" t="str">
        <f>""</f>
        <v/>
      </c>
      <c r="CK471" t="str">
        <f>""</f>
        <v/>
      </c>
      <c r="CL471" t="str">
        <f>""</f>
        <v/>
      </c>
      <c r="CM471" t="str">
        <f>""</f>
        <v/>
      </c>
      <c r="CN471" t="str">
        <f>""</f>
        <v/>
      </c>
      <c r="CO471" t="str">
        <f>""</f>
        <v/>
      </c>
      <c r="CP471" t="str">
        <f>""</f>
        <v/>
      </c>
      <c r="CQ471" t="str">
        <f>""</f>
        <v/>
      </c>
      <c r="CR471" t="str">
        <f>""</f>
        <v/>
      </c>
      <c r="CS471" t="str">
        <f>""</f>
        <v/>
      </c>
      <c r="CT471" t="str">
        <f>""</f>
        <v/>
      </c>
      <c r="CU471" t="str">
        <f>""</f>
        <v/>
      </c>
      <c r="CV471" t="str">
        <f>""</f>
        <v/>
      </c>
      <c r="CW471" t="str">
        <f>""</f>
        <v/>
      </c>
      <c r="CX471" t="str">
        <f>""</f>
        <v/>
      </c>
      <c r="CY471" t="str">
        <f>""</f>
        <v/>
      </c>
      <c r="CZ471" t="str">
        <f>""</f>
        <v/>
      </c>
      <c r="DA471" t="str">
        <f>""</f>
        <v/>
      </c>
      <c r="DB471" t="str">
        <f>""</f>
        <v/>
      </c>
      <c r="DC471" t="str">
        <f>""</f>
        <v/>
      </c>
      <c r="DD471" t="str">
        <f>""</f>
        <v/>
      </c>
      <c r="DE471" t="str">
        <f>""</f>
        <v/>
      </c>
      <c r="DF471" t="str">
        <f>""</f>
        <v/>
      </c>
      <c r="DG471" t="str">
        <f>""</f>
        <v/>
      </c>
      <c r="DH471" t="str">
        <f>""</f>
        <v/>
      </c>
      <c r="DI471" t="str">
        <f>""</f>
        <v/>
      </c>
      <c r="DJ471" t="str">
        <f>""</f>
        <v/>
      </c>
      <c r="DK471" t="str">
        <f>""</f>
        <v/>
      </c>
      <c r="DL471" t="str">
        <f>""</f>
        <v/>
      </c>
      <c r="DM471" t="str">
        <f>""</f>
        <v/>
      </c>
      <c r="DN471" t="str">
        <f>""</f>
        <v/>
      </c>
      <c r="DO471" t="str">
        <f>""</f>
        <v/>
      </c>
      <c r="DP471" t="str">
        <f>""</f>
        <v/>
      </c>
      <c r="DQ471" t="str">
        <f>""</f>
        <v/>
      </c>
      <c r="DR471" t="str">
        <f>""</f>
        <v/>
      </c>
      <c r="DS471" t="str">
        <f>""</f>
        <v/>
      </c>
      <c r="DT471" t="str">
        <f>""</f>
        <v/>
      </c>
      <c r="DU471" t="str">
        <f>""</f>
        <v/>
      </c>
    </row>
    <row r="472" spans="1:125">
      <c r="A472" t="str">
        <f>$A$235</f>
        <v xml:space="preserve">    Healthcare Realty Trust Inc</v>
      </c>
      <c r="B472" t="str">
        <f>$B$235</f>
        <v>HR US Equity</v>
      </c>
      <c r="C472" t="str">
        <f>$C$235</f>
        <v>RR106</v>
      </c>
      <c r="D472" t="str">
        <f>$D$235</f>
        <v>FFO_PAYOUT_RATIO</v>
      </c>
      <c r="E472" t="str">
        <f>$E$235</f>
        <v>动态</v>
      </c>
      <c r="F472" t="str">
        <f ca="1">BDH($B$235,$C$235,$B$256,$B$257,CONCATENATE("Per=",$B$254),"Dts=H","Dir=H",CONCATENATE("Points=",$B$255),"Sort=R","Days=A","Fill=B",CONCATENATE("FX=", $B$253) )</f>
        <v>#N/A Authorization</v>
      </c>
      <c r="BN472" t="str">
        <f>""</f>
        <v/>
      </c>
      <c r="BO472" t="str">
        <f>""</f>
        <v/>
      </c>
      <c r="BP472" t="str">
        <f>""</f>
        <v/>
      </c>
      <c r="BQ472" t="str">
        <f>""</f>
        <v/>
      </c>
      <c r="BR472" t="str">
        <f>""</f>
        <v/>
      </c>
      <c r="BS472" t="str">
        <f>""</f>
        <v/>
      </c>
      <c r="BT472" t="str">
        <f>""</f>
        <v/>
      </c>
      <c r="BU472" t="str">
        <f>""</f>
        <v/>
      </c>
      <c r="BV472" t="str">
        <f>""</f>
        <v/>
      </c>
      <c r="BW472" t="str">
        <f>""</f>
        <v/>
      </c>
      <c r="BX472" t="str">
        <f>""</f>
        <v/>
      </c>
      <c r="BY472" t="str">
        <f>""</f>
        <v/>
      </c>
      <c r="BZ472" t="str">
        <f>""</f>
        <v/>
      </c>
      <c r="CA472" t="str">
        <f>""</f>
        <v/>
      </c>
      <c r="CB472" t="str">
        <f>""</f>
        <v/>
      </c>
      <c r="CC472" t="str">
        <f>""</f>
        <v/>
      </c>
      <c r="CD472" t="str">
        <f>""</f>
        <v/>
      </c>
      <c r="CE472" t="str">
        <f>""</f>
        <v/>
      </c>
      <c r="CF472" t="str">
        <f>""</f>
        <v/>
      </c>
      <c r="CG472" t="str">
        <f>""</f>
        <v/>
      </c>
      <c r="CH472" t="str">
        <f>""</f>
        <v/>
      </c>
      <c r="CI472" t="str">
        <f>""</f>
        <v/>
      </c>
      <c r="CJ472" t="str">
        <f>""</f>
        <v/>
      </c>
      <c r="CK472" t="str">
        <f>""</f>
        <v/>
      </c>
      <c r="CL472" t="str">
        <f>""</f>
        <v/>
      </c>
      <c r="CM472" t="str">
        <f>""</f>
        <v/>
      </c>
      <c r="CN472" t="str">
        <f>""</f>
        <v/>
      </c>
      <c r="CO472" t="str">
        <f>""</f>
        <v/>
      </c>
      <c r="CP472" t="str">
        <f>""</f>
        <v/>
      </c>
      <c r="CQ472" t="str">
        <f>""</f>
        <v/>
      </c>
      <c r="CR472" t="str">
        <f>""</f>
        <v/>
      </c>
      <c r="CS472" t="str">
        <f>""</f>
        <v/>
      </c>
      <c r="CT472" t="str">
        <f>""</f>
        <v/>
      </c>
      <c r="CU472" t="str">
        <f>""</f>
        <v/>
      </c>
      <c r="CV472" t="str">
        <f>""</f>
        <v/>
      </c>
      <c r="CW472" t="str">
        <f>""</f>
        <v/>
      </c>
      <c r="CX472" t="str">
        <f>""</f>
        <v/>
      </c>
      <c r="CY472" t="str">
        <f>""</f>
        <v/>
      </c>
      <c r="CZ472" t="str">
        <f>""</f>
        <v/>
      </c>
      <c r="DA472" t="str">
        <f>""</f>
        <v/>
      </c>
      <c r="DB472" t="str">
        <f>""</f>
        <v/>
      </c>
      <c r="DC472" t="str">
        <f>""</f>
        <v/>
      </c>
      <c r="DD472" t="str">
        <f>""</f>
        <v/>
      </c>
      <c r="DE472" t="str">
        <f>""</f>
        <v/>
      </c>
      <c r="DF472" t="str">
        <f>""</f>
        <v/>
      </c>
      <c r="DG472" t="str">
        <f>""</f>
        <v/>
      </c>
      <c r="DH472" t="str">
        <f>""</f>
        <v/>
      </c>
      <c r="DI472" t="str">
        <f>""</f>
        <v/>
      </c>
      <c r="DJ472" t="str">
        <f>""</f>
        <v/>
      </c>
      <c r="DK472" t="str">
        <f>""</f>
        <v/>
      </c>
      <c r="DL472" t="str">
        <f>""</f>
        <v/>
      </c>
      <c r="DM472" t="str">
        <f>""</f>
        <v/>
      </c>
      <c r="DN472" t="str">
        <f>""</f>
        <v/>
      </c>
      <c r="DO472" t="str">
        <f>""</f>
        <v/>
      </c>
      <c r="DP472" t="str">
        <f>""</f>
        <v/>
      </c>
      <c r="DQ472" t="str">
        <f>""</f>
        <v/>
      </c>
      <c r="DR472" t="str">
        <f>""</f>
        <v/>
      </c>
      <c r="DS472" t="str">
        <f>""</f>
        <v/>
      </c>
      <c r="DT472" t="str">
        <f>""</f>
        <v/>
      </c>
      <c r="DU472" t="str">
        <f>""</f>
        <v/>
      </c>
    </row>
    <row r="473" spans="1:125">
      <c r="A473" t="str">
        <f>$A$236</f>
        <v xml:space="preserve">    Healthcare Trust of America In</v>
      </c>
      <c r="B473" t="str">
        <f>$B$236</f>
        <v>HTA US Equity</v>
      </c>
      <c r="C473" t="str">
        <f>$C$236</f>
        <v>RR106</v>
      </c>
      <c r="D473" t="str">
        <f>$D$236</f>
        <v>FFO_PAYOUT_RATIO</v>
      </c>
      <c r="E473" t="str">
        <f>$E$236</f>
        <v>动态</v>
      </c>
      <c r="F473" t="str">
        <f ca="1">BDH($B$236,$C$236,$B$256,$B$257,CONCATENATE("Per=",$B$254),"Dts=H","Dir=H",CONCATENATE("Points=",$B$255),"Sort=R","Days=A","Fill=B",CONCATENATE("FX=", $B$253) )</f>
        <v>#N/A Authorization</v>
      </c>
      <c r="BN473" t="str">
        <f>""</f>
        <v/>
      </c>
      <c r="BO473" t="str">
        <f>""</f>
        <v/>
      </c>
      <c r="BP473" t="str">
        <f>""</f>
        <v/>
      </c>
      <c r="BQ473" t="str">
        <f>""</f>
        <v/>
      </c>
      <c r="BR473" t="str">
        <f>""</f>
        <v/>
      </c>
      <c r="BS473" t="str">
        <f>""</f>
        <v/>
      </c>
      <c r="BT473" t="str">
        <f>""</f>
        <v/>
      </c>
      <c r="BU473" t="str">
        <f>""</f>
        <v/>
      </c>
      <c r="BV473" t="str">
        <f>""</f>
        <v/>
      </c>
      <c r="BW473" t="str">
        <f>""</f>
        <v/>
      </c>
      <c r="BX473" t="str">
        <f>""</f>
        <v/>
      </c>
      <c r="BY473" t="str">
        <f>""</f>
        <v/>
      </c>
      <c r="BZ473" t="str">
        <f>""</f>
        <v/>
      </c>
      <c r="CA473" t="str">
        <f>""</f>
        <v/>
      </c>
      <c r="CB473" t="str">
        <f>""</f>
        <v/>
      </c>
      <c r="CC473" t="str">
        <f>""</f>
        <v/>
      </c>
      <c r="CD473" t="str">
        <f>""</f>
        <v/>
      </c>
      <c r="CE473" t="str">
        <f>""</f>
        <v/>
      </c>
      <c r="CF473" t="str">
        <f>""</f>
        <v/>
      </c>
      <c r="CG473" t="str">
        <f>""</f>
        <v/>
      </c>
      <c r="CH473" t="str">
        <f>""</f>
        <v/>
      </c>
      <c r="CI473" t="str">
        <f>""</f>
        <v/>
      </c>
      <c r="CJ473" t="str">
        <f>""</f>
        <v/>
      </c>
      <c r="CK473" t="str">
        <f>""</f>
        <v/>
      </c>
      <c r="CL473" t="str">
        <f>""</f>
        <v/>
      </c>
      <c r="CM473" t="str">
        <f>""</f>
        <v/>
      </c>
      <c r="CN473" t="str">
        <f>""</f>
        <v/>
      </c>
      <c r="CO473" t="str">
        <f>""</f>
        <v/>
      </c>
      <c r="CP473" t="str">
        <f>""</f>
        <v/>
      </c>
      <c r="CQ473" t="str">
        <f>""</f>
        <v/>
      </c>
      <c r="CR473" t="str">
        <f>""</f>
        <v/>
      </c>
      <c r="CS473" t="str">
        <f>""</f>
        <v/>
      </c>
      <c r="CT473" t="str">
        <f>""</f>
        <v/>
      </c>
      <c r="CU473" t="str">
        <f>""</f>
        <v/>
      </c>
      <c r="CV473" t="str">
        <f>""</f>
        <v/>
      </c>
      <c r="CW473" t="str">
        <f>""</f>
        <v/>
      </c>
      <c r="CX473" t="str">
        <f>""</f>
        <v/>
      </c>
      <c r="CY473" t="str">
        <f>""</f>
        <v/>
      </c>
      <c r="CZ473" t="str">
        <f>""</f>
        <v/>
      </c>
      <c r="DA473" t="str">
        <f>""</f>
        <v/>
      </c>
      <c r="DB473" t="str">
        <f>""</f>
        <v/>
      </c>
      <c r="DC473" t="str">
        <f>""</f>
        <v/>
      </c>
      <c r="DD473" t="str">
        <f>""</f>
        <v/>
      </c>
      <c r="DE473" t="str">
        <f>""</f>
        <v/>
      </c>
      <c r="DF473" t="str">
        <f>""</f>
        <v/>
      </c>
      <c r="DG473" t="str">
        <f>""</f>
        <v/>
      </c>
      <c r="DH473" t="str">
        <f>""</f>
        <v/>
      </c>
      <c r="DI473" t="str">
        <f>""</f>
        <v/>
      </c>
      <c r="DJ473" t="str">
        <f>""</f>
        <v/>
      </c>
      <c r="DK473" t="str">
        <f>""</f>
        <v/>
      </c>
      <c r="DL473" t="str">
        <f>""</f>
        <v/>
      </c>
      <c r="DM473" t="str">
        <f>""</f>
        <v/>
      </c>
      <c r="DN473" t="str">
        <f>""</f>
        <v/>
      </c>
      <c r="DO473" t="str">
        <f>""</f>
        <v/>
      </c>
      <c r="DP473" t="str">
        <f>""</f>
        <v/>
      </c>
      <c r="DQ473" t="str">
        <f>""</f>
        <v/>
      </c>
      <c r="DR473" t="str">
        <f>""</f>
        <v/>
      </c>
      <c r="DS473" t="str">
        <f>""</f>
        <v/>
      </c>
      <c r="DT473" t="str">
        <f>""</f>
        <v/>
      </c>
      <c r="DU473" t="str">
        <f>""</f>
        <v/>
      </c>
    </row>
    <row r="474" spans="1:125">
      <c r="A474" t="str">
        <f>$A$237</f>
        <v xml:space="preserve">    Medical Properties Trust Inc</v>
      </c>
      <c r="B474" t="str">
        <f>$B$237</f>
        <v>MPW US Equity</v>
      </c>
      <c r="C474" t="str">
        <f>$C$237</f>
        <v>RR106</v>
      </c>
      <c r="D474" t="str">
        <f>$D$237</f>
        <v>FFO_PAYOUT_RATIO</v>
      </c>
      <c r="E474" t="str">
        <f>$E$237</f>
        <v>动态</v>
      </c>
      <c r="F474" t="str">
        <f ca="1">BDH($B$237,$C$237,$B$256,$B$257,CONCATENATE("Per=",$B$254),"Dts=H","Dir=H",CONCATENATE("Points=",$B$255),"Sort=R","Days=A","Fill=B",CONCATENATE("FX=", $B$253) )</f>
        <v>#N/A Authorization</v>
      </c>
      <c r="BN474" t="str">
        <f>""</f>
        <v/>
      </c>
      <c r="BO474" t="str">
        <f>""</f>
        <v/>
      </c>
      <c r="BP474" t="str">
        <f>""</f>
        <v/>
      </c>
      <c r="BQ474" t="str">
        <f>""</f>
        <v/>
      </c>
      <c r="BR474" t="str">
        <f>""</f>
        <v/>
      </c>
      <c r="BS474" t="str">
        <f>""</f>
        <v/>
      </c>
      <c r="BT474" t="str">
        <f>""</f>
        <v/>
      </c>
      <c r="BU474" t="str">
        <f>""</f>
        <v/>
      </c>
      <c r="BV474" t="str">
        <f>""</f>
        <v/>
      </c>
      <c r="BW474" t="str">
        <f>""</f>
        <v/>
      </c>
      <c r="BX474" t="str">
        <f>""</f>
        <v/>
      </c>
      <c r="BY474" t="str">
        <f>""</f>
        <v/>
      </c>
      <c r="BZ474" t="str">
        <f>""</f>
        <v/>
      </c>
      <c r="CA474" t="str">
        <f>""</f>
        <v/>
      </c>
      <c r="CB474" t="str">
        <f>""</f>
        <v/>
      </c>
      <c r="CC474" t="str">
        <f>""</f>
        <v/>
      </c>
      <c r="CD474" t="str">
        <f>""</f>
        <v/>
      </c>
      <c r="CE474" t="str">
        <f>""</f>
        <v/>
      </c>
      <c r="CF474" t="str">
        <f>""</f>
        <v/>
      </c>
      <c r="CG474" t="str">
        <f>""</f>
        <v/>
      </c>
      <c r="CH474" t="str">
        <f>""</f>
        <v/>
      </c>
      <c r="CI474" t="str">
        <f>""</f>
        <v/>
      </c>
      <c r="CJ474" t="str">
        <f>""</f>
        <v/>
      </c>
      <c r="CK474" t="str">
        <f>""</f>
        <v/>
      </c>
      <c r="CL474" t="str">
        <f>""</f>
        <v/>
      </c>
      <c r="CM474" t="str">
        <f>""</f>
        <v/>
      </c>
      <c r="CN474" t="str">
        <f>""</f>
        <v/>
      </c>
      <c r="CO474" t="str">
        <f>""</f>
        <v/>
      </c>
      <c r="CP474" t="str">
        <f>""</f>
        <v/>
      </c>
      <c r="CQ474" t="str">
        <f>""</f>
        <v/>
      </c>
      <c r="CR474" t="str">
        <f>""</f>
        <v/>
      </c>
      <c r="CS474" t="str">
        <f>""</f>
        <v/>
      </c>
      <c r="CT474" t="str">
        <f>""</f>
        <v/>
      </c>
      <c r="CU474" t="str">
        <f>""</f>
        <v/>
      </c>
      <c r="CV474" t="str">
        <f>""</f>
        <v/>
      </c>
      <c r="CW474" t="str">
        <f>""</f>
        <v/>
      </c>
      <c r="CX474" t="str">
        <f>""</f>
        <v/>
      </c>
      <c r="CY474" t="str">
        <f>""</f>
        <v/>
      </c>
      <c r="CZ474" t="str">
        <f>""</f>
        <v/>
      </c>
      <c r="DA474" t="str">
        <f>""</f>
        <v/>
      </c>
      <c r="DB474" t="str">
        <f>""</f>
        <v/>
      </c>
      <c r="DC474" t="str">
        <f>""</f>
        <v/>
      </c>
      <c r="DD474" t="str">
        <f>""</f>
        <v/>
      </c>
      <c r="DE474" t="str">
        <f>""</f>
        <v/>
      </c>
      <c r="DF474" t="str">
        <f>""</f>
        <v/>
      </c>
      <c r="DG474" t="str">
        <f>""</f>
        <v/>
      </c>
      <c r="DH474" t="str">
        <f>""</f>
        <v/>
      </c>
      <c r="DI474" t="str">
        <f>""</f>
        <v/>
      </c>
      <c r="DJ474" t="str">
        <f>""</f>
        <v/>
      </c>
      <c r="DK474" t="str">
        <f>""</f>
        <v/>
      </c>
      <c r="DL474" t="str">
        <f>""</f>
        <v/>
      </c>
      <c r="DM474" t="str">
        <f>""</f>
        <v/>
      </c>
      <c r="DN474" t="str">
        <f>""</f>
        <v/>
      </c>
      <c r="DO474" t="str">
        <f>""</f>
        <v/>
      </c>
      <c r="DP474" t="str">
        <f>""</f>
        <v/>
      </c>
      <c r="DQ474" t="str">
        <f>""</f>
        <v/>
      </c>
      <c r="DR474" t="str">
        <f>""</f>
        <v/>
      </c>
      <c r="DS474" t="str">
        <f>""</f>
        <v/>
      </c>
      <c r="DT474" t="str">
        <f>""</f>
        <v/>
      </c>
      <c r="DU474" t="str">
        <f>""</f>
        <v/>
      </c>
    </row>
    <row r="475" spans="1:125">
      <c r="A475" t="str">
        <f>$A$238</f>
        <v xml:space="preserve">    Omega Healthcare Investors Inc</v>
      </c>
      <c r="B475" t="str">
        <f>$B$238</f>
        <v>OHI US Equity</v>
      </c>
      <c r="C475" t="str">
        <f>$C$238</f>
        <v>RR106</v>
      </c>
      <c r="D475" t="str">
        <f>$D$238</f>
        <v>FFO_PAYOUT_RATIO</v>
      </c>
      <c r="E475" t="str">
        <f>$E$238</f>
        <v>动态</v>
      </c>
      <c r="F475" t="str">
        <f ca="1">BDH($B$238,$C$238,$B$256,$B$257,CONCATENATE("Per=",$B$254),"Dts=H","Dir=H",CONCATENATE("Points=",$B$255),"Sort=R","Days=A","Fill=B",CONCATENATE("FX=", $B$253) )</f>
        <v>#N/A Authorization</v>
      </c>
      <c r="BN475" t="str">
        <f>""</f>
        <v/>
      </c>
      <c r="BO475" t="str">
        <f>""</f>
        <v/>
      </c>
      <c r="BP475" t="str">
        <f>""</f>
        <v/>
      </c>
      <c r="BQ475" t="str">
        <f>""</f>
        <v/>
      </c>
      <c r="BR475" t="str">
        <f>""</f>
        <v/>
      </c>
      <c r="BS475" t="str">
        <f>""</f>
        <v/>
      </c>
      <c r="BT475" t="str">
        <f>""</f>
        <v/>
      </c>
      <c r="BU475" t="str">
        <f>""</f>
        <v/>
      </c>
      <c r="BV475" t="str">
        <f>""</f>
        <v/>
      </c>
      <c r="BW475" t="str">
        <f>""</f>
        <v/>
      </c>
      <c r="BX475" t="str">
        <f>""</f>
        <v/>
      </c>
      <c r="BY475" t="str">
        <f>""</f>
        <v/>
      </c>
      <c r="BZ475" t="str">
        <f>""</f>
        <v/>
      </c>
      <c r="CA475" t="str">
        <f>""</f>
        <v/>
      </c>
      <c r="CB475" t="str">
        <f>""</f>
        <v/>
      </c>
      <c r="CC475" t="str">
        <f>""</f>
        <v/>
      </c>
      <c r="CD475" t="str">
        <f>""</f>
        <v/>
      </c>
      <c r="CE475" t="str">
        <f>""</f>
        <v/>
      </c>
      <c r="CF475" t="str">
        <f>""</f>
        <v/>
      </c>
      <c r="CG475" t="str">
        <f>""</f>
        <v/>
      </c>
      <c r="CH475" t="str">
        <f>""</f>
        <v/>
      </c>
      <c r="CI475" t="str">
        <f>""</f>
        <v/>
      </c>
      <c r="CJ475" t="str">
        <f>""</f>
        <v/>
      </c>
      <c r="CK475" t="str">
        <f>""</f>
        <v/>
      </c>
      <c r="CL475" t="str">
        <f>""</f>
        <v/>
      </c>
      <c r="CM475" t="str">
        <f>""</f>
        <v/>
      </c>
      <c r="CN475" t="str">
        <f>""</f>
        <v/>
      </c>
      <c r="CO475" t="str">
        <f>""</f>
        <v/>
      </c>
      <c r="CP475" t="str">
        <f>""</f>
        <v/>
      </c>
      <c r="CQ475" t="str">
        <f>""</f>
        <v/>
      </c>
      <c r="CR475" t="str">
        <f>""</f>
        <v/>
      </c>
      <c r="CS475" t="str">
        <f>""</f>
        <v/>
      </c>
      <c r="CT475" t="str">
        <f>""</f>
        <v/>
      </c>
      <c r="CU475" t="str">
        <f>""</f>
        <v/>
      </c>
      <c r="CV475" t="str">
        <f>""</f>
        <v/>
      </c>
      <c r="CW475" t="str">
        <f>""</f>
        <v/>
      </c>
      <c r="CX475" t="str">
        <f>""</f>
        <v/>
      </c>
      <c r="CY475" t="str">
        <f>""</f>
        <v/>
      </c>
      <c r="CZ475" t="str">
        <f>""</f>
        <v/>
      </c>
      <c r="DA475" t="str">
        <f>""</f>
        <v/>
      </c>
      <c r="DB475" t="str">
        <f>""</f>
        <v/>
      </c>
      <c r="DC475" t="str">
        <f>""</f>
        <v/>
      </c>
      <c r="DD475" t="str">
        <f>""</f>
        <v/>
      </c>
      <c r="DE475" t="str">
        <f>""</f>
        <v/>
      </c>
      <c r="DF475" t="str">
        <f>""</f>
        <v/>
      </c>
      <c r="DG475" t="str">
        <f>""</f>
        <v/>
      </c>
      <c r="DH475" t="str">
        <f>""</f>
        <v/>
      </c>
      <c r="DI475" t="str">
        <f>""</f>
        <v/>
      </c>
      <c r="DJ475" t="str">
        <f>""</f>
        <v/>
      </c>
      <c r="DK475" t="str">
        <f>""</f>
        <v/>
      </c>
      <c r="DL475" t="str">
        <f>""</f>
        <v/>
      </c>
      <c r="DM475" t="str">
        <f>""</f>
        <v/>
      </c>
      <c r="DN475" t="str">
        <f>""</f>
        <v/>
      </c>
      <c r="DO475" t="str">
        <f>""</f>
        <v/>
      </c>
      <c r="DP475" t="str">
        <f>""</f>
        <v/>
      </c>
      <c r="DQ475" t="str">
        <f>""</f>
        <v/>
      </c>
      <c r="DR475" t="str">
        <f>""</f>
        <v/>
      </c>
      <c r="DS475" t="str">
        <f>""</f>
        <v/>
      </c>
      <c r="DT475" t="str">
        <f>""</f>
        <v/>
      </c>
      <c r="DU475" t="str">
        <f>""</f>
        <v/>
      </c>
    </row>
    <row r="476" spans="1:125">
      <c r="A476" t="str">
        <f>$A$239</f>
        <v xml:space="preserve">    Sabra Health Care REIT Inc</v>
      </c>
      <c r="B476" t="str">
        <f>$B$239</f>
        <v>SBRA US Equity</v>
      </c>
      <c r="C476" t="str">
        <f>$C$239</f>
        <v>RR106</v>
      </c>
      <c r="D476" t="str">
        <f>$D$239</f>
        <v>FFO_PAYOUT_RATIO</v>
      </c>
      <c r="E476" t="str">
        <f>$E$239</f>
        <v>动态</v>
      </c>
      <c r="F476" t="str">
        <f ca="1">BDH($B$239,$C$239,$B$256,$B$257,CONCATENATE("Per=",$B$254),"Dts=H","Dir=H",CONCATENATE("Points=",$B$255),"Sort=R","Days=A","Fill=B",CONCATENATE("FX=", $B$253) )</f>
        <v>#N/A Authorization</v>
      </c>
      <c r="BN476" t="str">
        <f>""</f>
        <v/>
      </c>
      <c r="BO476" t="str">
        <f>""</f>
        <v/>
      </c>
      <c r="BP476" t="str">
        <f>""</f>
        <v/>
      </c>
      <c r="BQ476" t="str">
        <f>""</f>
        <v/>
      </c>
      <c r="BR476" t="str">
        <f>""</f>
        <v/>
      </c>
      <c r="BS476" t="str">
        <f>""</f>
        <v/>
      </c>
      <c r="BT476" t="str">
        <f>""</f>
        <v/>
      </c>
      <c r="BU476" t="str">
        <f>""</f>
        <v/>
      </c>
      <c r="BV476" t="str">
        <f>""</f>
        <v/>
      </c>
      <c r="BW476" t="str">
        <f>""</f>
        <v/>
      </c>
      <c r="BX476" t="str">
        <f>""</f>
        <v/>
      </c>
      <c r="BY476" t="str">
        <f>""</f>
        <v/>
      </c>
      <c r="BZ476" t="str">
        <f>""</f>
        <v/>
      </c>
      <c r="CA476" t="str">
        <f>""</f>
        <v/>
      </c>
      <c r="CB476" t="str">
        <f>""</f>
        <v/>
      </c>
      <c r="CC476" t="str">
        <f>""</f>
        <v/>
      </c>
      <c r="CD476" t="str">
        <f>""</f>
        <v/>
      </c>
      <c r="CE476" t="str">
        <f>""</f>
        <v/>
      </c>
      <c r="CF476" t="str">
        <f>""</f>
        <v/>
      </c>
      <c r="CG476" t="str">
        <f>""</f>
        <v/>
      </c>
      <c r="CH476" t="str">
        <f>""</f>
        <v/>
      </c>
      <c r="CI476" t="str">
        <f>""</f>
        <v/>
      </c>
      <c r="CJ476" t="str">
        <f>""</f>
        <v/>
      </c>
      <c r="CK476" t="str">
        <f>""</f>
        <v/>
      </c>
      <c r="CL476" t="str">
        <f>""</f>
        <v/>
      </c>
      <c r="CM476" t="str">
        <f>""</f>
        <v/>
      </c>
      <c r="CN476" t="str">
        <f>""</f>
        <v/>
      </c>
      <c r="CO476" t="str">
        <f>""</f>
        <v/>
      </c>
      <c r="CP476" t="str">
        <f>""</f>
        <v/>
      </c>
      <c r="CQ476" t="str">
        <f>""</f>
        <v/>
      </c>
      <c r="CR476" t="str">
        <f>""</f>
        <v/>
      </c>
      <c r="CS476" t="str">
        <f>""</f>
        <v/>
      </c>
      <c r="CT476" t="str">
        <f>""</f>
        <v/>
      </c>
      <c r="CU476" t="str">
        <f>""</f>
        <v/>
      </c>
      <c r="CV476" t="str">
        <f>""</f>
        <v/>
      </c>
      <c r="CW476" t="str">
        <f>""</f>
        <v/>
      </c>
      <c r="CX476" t="str">
        <f>""</f>
        <v/>
      </c>
      <c r="CY476" t="str">
        <f>""</f>
        <v/>
      </c>
      <c r="CZ476" t="str">
        <f>""</f>
        <v/>
      </c>
      <c r="DA476" t="str">
        <f>""</f>
        <v/>
      </c>
      <c r="DB476" t="str">
        <f>""</f>
        <v/>
      </c>
      <c r="DC476" t="str">
        <f>""</f>
        <v/>
      </c>
      <c r="DD476" t="str">
        <f>""</f>
        <v/>
      </c>
      <c r="DE476" t="str">
        <f>""</f>
        <v/>
      </c>
      <c r="DF476" t="str">
        <f>""</f>
        <v/>
      </c>
      <c r="DG476" t="str">
        <f>""</f>
        <v/>
      </c>
      <c r="DH476" t="str">
        <f>""</f>
        <v/>
      </c>
      <c r="DI476" t="str">
        <f>""</f>
        <v/>
      </c>
      <c r="DJ476" t="str">
        <f>""</f>
        <v/>
      </c>
      <c r="DK476" t="str">
        <f>""</f>
        <v/>
      </c>
      <c r="DL476" t="str">
        <f>""</f>
        <v/>
      </c>
      <c r="DM476" t="str">
        <f>""</f>
        <v/>
      </c>
      <c r="DN476" t="str">
        <f>""</f>
        <v/>
      </c>
      <c r="DO476" t="str">
        <f>""</f>
        <v/>
      </c>
      <c r="DP476" t="str">
        <f>""</f>
        <v/>
      </c>
      <c r="DQ476" t="str">
        <f>""</f>
        <v/>
      </c>
      <c r="DR476" t="str">
        <f>""</f>
        <v/>
      </c>
      <c r="DS476" t="str">
        <f>""</f>
        <v/>
      </c>
      <c r="DT476" t="str">
        <f>""</f>
        <v/>
      </c>
      <c r="DU476" t="str">
        <f>""</f>
        <v/>
      </c>
    </row>
    <row r="477" spans="1:125">
      <c r="A477" t="str">
        <f>$A$240</f>
        <v xml:space="preserve">    Senior Housing Properties Trus</v>
      </c>
      <c r="B477" t="str">
        <f>$B$240</f>
        <v>SNH US Equity</v>
      </c>
      <c r="C477" t="str">
        <f>$C$240</f>
        <v>RR106</v>
      </c>
      <c r="D477" t="str">
        <f>$D$240</f>
        <v>FFO_PAYOUT_RATIO</v>
      </c>
      <c r="E477" t="str">
        <f>$E$240</f>
        <v>动态</v>
      </c>
      <c r="F477" t="str">
        <f ca="1">BDH($B$240,$C$240,$B$256,$B$257,CONCATENATE("Per=",$B$254),"Dts=H","Dir=H",CONCATENATE("Points=",$B$255),"Sort=R","Days=A","Fill=B",CONCATENATE("FX=", $B$253) )</f>
        <v>#N/A Authorization</v>
      </c>
      <c r="BN477" t="str">
        <f>""</f>
        <v/>
      </c>
      <c r="BO477" t="str">
        <f>""</f>
        <v/>
      </c>
      <c r="BP477" t="str">
        <f>""</f>
        <v/>
      </c>
      <c r="BQ477" t="str">
        <f>""</f>
        <v/>
      </c>
      <c r="BR477" t="str">
        <f>""</f>
        <v/>
      </c>
      <c r="BS477" t="str">
        <f>""</f>
        <v/>
      </c>
      <c r="BT477" t="str">
        <f>""</f>
        <v/>
      </c>
      <c r="BU477" t="str">
        <f>""</f>
        <v/>
      </c>
      <c r="BV477" t="str">
        <f>""</f>
        <v/>
      </c>
      <c r="BW477" t="str">
        <f>""</f>
        <v/>
      </c>
      <c r="BX477" t="str">
        <f>""</f>
        <v/>
      </c>
      <c r="BY477" t="str">
        <f>""</f>
        <v/>
      </c>
      <c r="BZ477" t="str">
        <f>""</f>
        <v/>
      </c>
      <c r="CA477" t="str">
        <f>""</f>
        <v/>
      </c>
      <c r="CB477" t="str">
        <f>""</f>
        <v/>
      </c>
      <c r="CC477" t="str">
        <f>""</f>
        <v/>
      </c>
      <c r="CD477" t="str">
        <f>""</f>
        <v/>
      </c>
      <c r="CE477" t="str">
        <f>""</f>
        <v/>
      </c>
      <c r="CF477" t="str">
        <f>""</f>
        <v/>
      </c>
      <c r="CG477" t="str">
        <f>""</f>
        <v/>
      </c>
      <c r="CH477" t="str">
        <f>""</f>
        <v/>
      </c>
      <c r="CI477" t="str">
        <f>""</f>
        <v/>
      </c>
      <c r="CJ477" t="str">
        <f>""</f>
        <v/>
      </c>
      <c r="CK477" t="str">
        <f>""</f>
        <v/>
      </c>
      <c r="CL477" t="str">
        <f>""</f>
        <v/>
      </c>
      <c r="CM477" t="str">
        <f>""</f>
        <v/>
      </c>
      <c r="CN477" t="str">
        <f>""</f>
        <v/>
      </c>
      <c r="CO477" t="str">
        <f>""</f>
        <v/>
      </c>
      <c r="CP477" t="str">
        <f>""</f>
        <v/>
      </c>
      <c r="CQ477" t="str">
        <f>""</f>
        <v/>
      </c>
      <c r="CR477" t="str">
        <f>""</f>
        <v/>
      </c>
      <c r="CS477" t="str">
        <f>""</f>
        <v/>
      </c>
      <c r="CT477" t="str">
        <f>""</f>
        <v/>
      </c>
      <c r="CU477" t="str">
        <f>""</f>
        <v/>
      </c>
      <c r="CV477" t="str">
        <f>""</f>
        <v/>
      </c>
      <c r="CW477" t="str">
        <f>""</f>
        <v/>
      </c>
      <c r="CX477" t="str">
        <f>""</f>
        <v/>
      </c>
      <c r="CY477" t="str">
        <f>""</f>
        <v/>
      </c>
      <c r="CZ477" t="str">
        <f>""</f>
        <v/>
      </c>
      <c r="DA477" t="str">
        <f>""</f>
        <v/>
      </c>
      <c r="DB477" t="str">
        <f>""</f>
        <v/>
      </c>
      <c r="DC477" t="str">
        <f>""</f>
        <v/>
      </c>
      <c r="DD477" t="str">
        <f>""</f>
        <v/>
      </c>
      <c r="DE477" t="str">
        <f>""</f>
        <v/>
      </c>
      <c r="DF477" t="str">
        <f>""</f>
        <v/>
      </c>
      <c r="DG477" t="str">
        <f>""</f>
        <v/>
      </c>
      <c r="DH477" t="str">
        <f>""</f>
        <v/>
      </c>
      <c r="DI477" t="str">
        <f>""</f>
        <v/>
      </c>
      <c r="DJ477" t="str">
        <f>""</f>
        <v/>
      </c>
      <c r="DK477" t="str">
        <f>""</f>
        <v/>
      </c>
      <c r="DL477" t="str">
        <f>""</f>
        <v/>
      </c>
      <c r="DM477" t="str">
        <f>""</f>
        <v/>
      </c>
      <c r="DN477" t="str">
        <f>""</f>
        <v/>
      </c>
      <c r="DO477" t="str">
        <f>""</f>
        <v/>
      </c>
      <c r="DP477" t="str">
        <f>""</f>
        <v/>
      </c>
      <c r="DQ477" t="str">
        <f>""</f>
        <v/>
      </c>
      <c r="DR477" t="str">
        <f>""</f>
        <v/>
      </c>
      <c r="DS477" t="str">
        <f>""</f>
        <v/>
      </c>
      <c r="DT477" t="str">
        <f>""</f>
        <v/>
      </c>
      <c r="DU477" t="str">
        <f>""</f>
        <v/>
      </c>
    </row>
    <row r="478" spans="1:125">
      <c r="A478" t="str">
        <f>$A$241</f>
        <v xml:space="preserve">    Ventas Inc</v>
      </c>
      <c r="B478" t="str">
        <f>$B$241</f>
        <v>VTR US Equity</v>
      </c>
      <c r="C478" t="str">
        <f>$C$241</f>
        <v>RR106</v>
      </c>
      <c r="D478" t="str">
        <f>$D$241</f>
        <v>FFO_PAYOUT_RATIO</v>
      </c>
      <c r="E478" t="str">
        <f>$E$241</f>
        <v>动态</v>
      </c>
      <c r="F478" t="str">
        <f ca="1">BDH($B$241,$C$241,$B$256,$B$257,CONCATENATE("Per=",$B$254),"Dts=H","Dir=H",CONCATENATE("Points=",$B$255),"Sort=R","Days=A","Fill=B",CONCATENATE("FX=", $B$253) )</f>
        <v>#N/A Authorization</v>
      </c>
      <c r="BN478" t="str">
        <f>""</f>
        <v/>
      </c>
      <c r="BO478" t="str">
        <f>""</f>
        <v/>
      </c>
      <c r="BP478" t="str">
        <f>""</f>
        <v/>
      </c>
      <c r="BQ478" t="str">
        <f>""</f>
        <v/>
      </c>
      <c r="BR478" t="str">
        <f>""</f>
        <v/>
      </c>
      <c r="BS478" t="str">
        <f>""</f>
        <v/>
      </c>
      <c r="BT478" t="str">
        <f>""</f>
        <v/>
      </c>
      <c r="BU478" t="str">
        <f>""</f>
        <v/>
      </c>
      <c r="BV478" t="str">
        <f>""</f>
        <v/>
      </c>
      <c r="BW478" t="str">
        <f>""</f>
        <v/>
      </c>
      <c r="BX478" t="str">
        <f>""</f>
        <v/>
      </c>
      <c r="BY478" t="str">
        <f>""</f>
        <v/>
      </c>
      <c r="BZ478" t="str">
        <f>""</f>
        <v/>
      </c>
      <c r="CA478" t="str">
        <f>""</f>
        <v/>
      </c>
      <c r="CB478" t="str">
        <f>""</f>
        <v/>
      </c>
      <c r="CC478" t="str">
        <f>""</f>
        <v/>
      </c>
      <c r="CD478" t="str">
        <f>""</f>
        <v/>
      </c>
      <c r="CE478" t="str">
        <f>""</f>
        <v/>
      </c>
      <c r="CF478" t="str">
        <f>""</f>
        <v/>
      </c>
      <c r="CG478" t="str">
        <f>""</f>
        <v/>
      </c>
      <c r="CH478" t="str">
        <f>""</f>
        <v/>
      </c>
      <c r="CI478" t="str">
        <f>""</f>
        <v/>
      </c>
      <c r="CJ478" t="str">
        <f>""</f>
        <v/>
      </c>
      <c r="CK478" t="str">
        <f>""</f>
        <v/>
      </c>
      <c r="CL478" t="str">
        <f>""</f>
        <v/>
      </c>
      <c r="CM478" t="str">
        <f>""</f>
        <v/>
      </c>
      <c r="CN478" t="str">
        <f>""</f>
        <v/>
      </c>
      <c r="CO478" t="str">
        <f>""</f>
        <v/>
      </c>
      <c r="CP478" t="str">
        <f>""</f>
        <v/>
      </c>
      <c r="CQ478" t="str">
        <f>""</f>
        <v/>
      </c>
      <c r="CR478" t="str">
        <f>""</f>
        <v/>
      </c>
      <c r="CS478" t="str">
        <f>""</f>
        <v/>
      </c>
      <c r="CT478" t="str">
        <f>""</f>
        <v/>
      </c>
      <c r="CU478" t="str">
        <f>""</f>
        <v/>
      </c>
      <c r="CV478" t="str">
        <f>""</f>
        <v/>
      </c>
      <c r="CW478" t="str">
        <f>""</f>
        <v/>
      </c>
      <c r="CX478" t="str">
        <f>""</f>
        <v/>
      </c>
      <c r="CY478" t="str">
        <f>""</f>
        <v/>
      </c>
      <c r="CZ478" t="str">
        <f>""</f>
        <v/>
      </c>
      <c r="DA478" t="str">
        <f>""</f>
        <v/>
      </c>
      <c r="DB478" t="str">
        <f>""</f>
        <v/>
      </c>
      <c r="DC478" t="str">
        <f>""</f>
        <v/>
      </c>
      <c r="DD478" t="str">
        <f>""</f>
        <v/>
      </c>
      <c r="DE478" t="str">
        <f>""</f>
        <v/>
      </c>
      <c r="DF478" t="str">
        <f>""</f>
        <v/>
      </c>
      <c r="DG478" t="str">
        <f>""</f>
        <v/>
      </c>
      <c r="DH478" t="str">
        <f>""</f>
        <v/>
      </c>
      <c r="DI478" t="str">
        <f>""</f>
        <v/>
      </c>
      <c r="DJ478" t="str">
        <f>""</f>
        <v/>
      </c>
      <c r="DK478" t="str">
        <f>""</f>
        <v/>
      </c>
      <c r="DL478" t="str">
        <f>""</f>
        <v/>
      </c>
      <c r="DM478" t="str">
        <f>""</f>
        <v/>
      </c>
      <c r="DN478" t="str">
        <f>""</f>
        <v/>
      </c>
      <c r="DO478" t="str">
        <f>""</f>
        <v/>
      </c>
      <c r="DP478" t="str">
        <f>""</f>
        <v/>
      </c>
      <c r="DQ478" t="str">
        <f>""</f>
        <v/>
      </c>
      <c r="DR478" t="str">
        <f>""</f>
        <v/>
      </c>
      <c r="DS478" t="str">
        <f>""</f>
        <v/>
      </c>
      <c r="DT478" t="str">
        <f>""</f>
        <v/>
      </c>
      <c r="DU478" t="str">
        <f>""</f>
        <v/>
      </c>
    </row>
    <row r="479" spans="1:125">
      <c r="A479" t="str">
        <f>$A$242</f>
        <v xml:space="preserve">    Welltower Inc</v>
      </c>
      <c r="B479" t="str">
        <f>$B$242</f>
        <v>HCN US Equity</v>
      </c>
      <c r="C479" t="str">
        <f>$C$242</f>
        <v>RR106</v>
      </c>
      <c r="D479" t="str">
        <f>$D$242</f>
        <v>FFO_PAYOUT_RATIO</v>
      </c>
      <c r="E479" t="str">
        <f>$E$242</f>
        <v>动态</v>
      </c>
      <c r="F479" t="str">
        <f ca="1">BDH($B$242,$C$242,$B$256,$B$257,CONCATENATE("Per=",$B$254),"Dts=H","Dir=H",CONCATENATE("Points=",$B$255),"Sort=R","Days=A","Fill=B",CONCATENATE("FX=", $B$253) )</f>
        <v>#N/A Authorization</v>
      </c>
      <c r="BN479" t="str">
        <f>""</f>
        <v/>
      </c>
      <c r="BO479" t="str">
        <f>""</f>
        <v/>
      </c>
      <c r="BP479" t="str">
        <f>""</f>
        <v/>
      </c>
      <c r="BQ479" t="str">
        <f>""</f>
        <v/>
      </c>
      <c r="BR479" t="str">
        <f>""</f>
        <v/>
      </c>
      <c r="BS479" t="str">
        <f>""</f>
        <v/>
      </c>
      <c r="BT479" t="str">
        <f>""</f>
        <v/>
      </c>
      <c r="BU479" t="str">
        <f>""</f>
        <v/>
      </c>
      <c r="BV479" t="str">
        <f>""</f>
        <v/>
      </c>
      <c r="BW479" t="str">
        <f>""</f>
        <v/>
      </c>
      <c r="BX479" t="str">
        <f>""</f>
        <v/>
      </c>
      <c r="BY479" t="str">
        <f>""</f>
        <v/>
      </c>
      <c r="BZ479" t="str">
        <f>""</f>
        <v/>
      </c>
      <c r="CA479" t="str">
        <f>""</f>
        <v/>
      </c>
      <c r="CB479" t="str">
        <f>""</f>
        <v/>
      </c>
      <c r="CC479" t="str">
        <f>""</f>
        <v/>
      </c>
      <c r="CD479" t="str">
        <f>""</f>
        <v/>
      </c>
      <c r="CE479" t="str">
        <f>""</f>
        <v/>
      </c>
      <c r="CF479" t="str">
        <f>""</f>
        <v/>
      </c>
      <c r="CG479" t="str">
        <f>""</f>
        <v/>
      </c>
      <c r="CH479" t="str">
        <f>""</f>
        <v/>
      </c>
      <c r="CI479" t="str">
        <f>""</f>
        <v/>
      </c>
      <c r="CJ479" t="str">
        <f>""</f>
        <v/>
      </c>
      <c r="CK479" t="str">
        <f>""</f>
        <v/>
      </c>
      <c r="CL479" t="str">
        <f>""</f>
        <v/>
      </c>
      <c r="CM479" t="str">
        <f>""</f>
        <v/>
      </c>
      <c r="CN479" t="str">
        <f>""</f>
        <v/>
      </c>
      <c r="CO479" t="str">
        <f>""</f>
        <v/>
      </c>
      <c r="CP479" t="str">
        <f>""</f>
        <v/>
      </c>
      <c r="CQ479" t="str">
        <f>""</f>
        <v/>
      </c>
      <c r="CR479" t="str">
        <f>""</f>
        <v/>
      </c>
      <c r="CS479" t="str">
        <f>""</f>
        <v/>
      </c>
      <c r="CT479" t="str">
        <f>""</f>
        <v/>
      </c>
      <c r="CU479" t="str">
        <f>""</f>
        <v/>
      </c>
      <c r="CV479" t="str">
        <f>""</f>
        <v/>
      </c>
      <c r="CW479" t="str">
        <f>""</f>
        <v/>
      </c>
      <c r="CX479" t="str">
        <f>""</f>
        <v/>
      </c>
      <c r="CY479" t="str">
        <f>""</f>
        <v/>
      </c>
      <c r="CZ479" t="str">
        <f>""</f>
        <v/>
      </c>
      <c r="DA479" t="str">
        <f>""</f>
        <v/>
      </c>
      <c r="DB479" t="str">
        <f>""</f>
        <v/>
      </c>
      <c r="DC479" t="str">
        <f>""</f>
        <v/>
      </c>
      <c r="DD479" t="str">
        <f>""</f>
        <v/>
      </c>
      <c r="DE479" t="str">
        <f>""</f>
        <v/>
      </c>
      <c r="DF479" t="str">
        <f>""</f>
        <v/>
      </c>
      <c r="DG479" t="str">
        <f>""</f>
        <v/>
      </c>
      <c r="DH479" t="str">
        <f>""</f>
        <v/>
      </c>
      <c r="DI479" t="str">
        <f>""</f>
        <v/>
      </c>
      <c r="DJ479" t="str">
        <f>""</f>
        <v/>
      </c>
      <c r="DK479" t="str">
        <f>""</f>
        <v/>
      </c>
      <c r="DL479" t="str">
        <f>""</f>
        <v/>
      </c>
      <c r="DM479" t="str">
        <f>""</f>
        <v/>
      </c>
      <c r="DN479" t="str">
        <f>""</f>
        <v/>
      </c>
      <c r="DO479" t="str">
        <f>""</f>
        <v/>
      </c>
      <c r="DP479" t="str">
        <f>""</f>
        <v/>
      </c>
      <c r="DQ479" t="str">
        <f>""</f>
        <v/>
      </c>
      <c r="DR479" t="str">
        <f>""</f>
        <v/>
      </c>
      <c r="DS479" t="str">
        <f>""</f>
        <v/>
      </c>
      <c r="DT479" t="str">
        <f>""</f>
        <v/>
      </c>
      <c r="DU479" t="str">
        <f>""</f>
        <v/>
      </c>
    </row>
    <row r="480" spans="1:125">
      <c r="A480" t="str">
        <f>""</f>
        <v/>
      </c>
      <c r="B480" t="str">
        <f>""</f>
        <v/>
      </c>
      <c r="C480" t="str">
        <f>""</f>
        <v/>
      </c>
      <c r="D480" t="str">
        <f>""</f>
        <v/>
      </c>
      <c r="E480" t="str">
        <f>""</f>
        <v/>
      </c>
      <c r="BN480" t="str">
        <f>""</f>
        <v/>
      </c>
      <c r="BO480" t="str">
        <f>""</f>
        <v/>
      </c>
      <c r="BP480" t="str">
        <f>""</f>
        <v/>
      </c>
      <c r="BQ480" t="str">
        <f>""</f>
        <v/>
      </c>
      <c r="BR480" t="str">
        <f>""</f>
        <v/>
      </c>
      <c r="BS480" t="str">
        <f>""</f>
        <v/>
      </c>
      <c r="BT480" t="str">
        <f>""</f>
        <v/>
      </c>
      <c r="BU480" t="str">
        <f>""</f>
        <v/>
      </c>
      <c r="BV480" t="str">
        <f>""</f>
        <v/>
      </c>
      <c r="BW480" t="str">
        <f>""</f>
        <v/>
      </c>
      <c r="BX480" t="str">
        <f>""</f>
        <v/>
      </c>
      <c r="BY480" t="str">
        <f>""</f>
        <v/>
      </c>
      <c r="BZ480" t="str">
        <f>""</f>
        <v/>
      </c>
      <c r="CA480" t="str">
        <f>""</f>
        <v/>
      </c>
      <c r="CB480" t="str">
        <f>""</f>
        <v/>
      </c>
      <c r="CC480" t="str">
        <f>""</f>
        <v/>
      </c>
      <c r="CD480" t="str">
        <f>""</f>
        <v/>
      </c>
      <c r="CE480" t="str">
        <f>""</f>
        <v/>
      </c>
      <c r="CF480" t="str">
        <f>""</f>
        <v/>
      </c>
      <c r="CG480" t="str">
        <f>""</f>
        <v/>
      </c>
      <c r="CH480" t="str">
        <f>""</f>
        <v/>
      </c>
      <c r="CI480" t="str">
        <f>""</f>
        <v/>
      </c>
      <c r="CJ480" t="str">
        <f>""</f>
        <v/>
      </c>
      <c r="CK480" t="str">
        <f>""</f>
        <v/>
      </c>
      <c r="CL480" t="str">
        <f>""</f>
        <v/>
      </c>
      <c r="CM480" t="str">
        <f>""</f>
        <v/>
      </c>
      <c r="CN480" t="str">
        <f>""</f>
        <v/>
      </c>
      <c r="CO480" t="str">
        <f>""</f>
        <v/>
      </c>
      <c r="CP480" t="str">
        <f>""</f>
        <v/>
      </c>
      <c r="CQ480" t="str">
        <f>""</f>
        <v/>
      </c>
      <c r="CR480" t="str">
        <f>""</f>
        <v/>
      </c>
      <c r="CS480" t="str">
        <f>""</f>
        <v/>
      </c>
      <c r="CT480" t="str">
        <f>""</f>
        <v/>
      </c>
      <c r="CU480" t="str">
        <f>""</f>
        <v/>
      </c>
      <c r="CV480" t="str">
        <f>""</f>
        <v/>
      </c>
      <c r="CW480" t="str">
        <f>""</f>
        <v/>
      </c>
      <c r="CX480" t="str">
        <f>""</f>
        <v/>
      </c>
      <c r="CY480" t="str">
        <f>""</f>
        <v/>
      </c>
      <c r="CZ480" t="str">
        <f>""</f>
        <v/>
      </c>
      <c r="DA480" t="str">
        <f>""</f>
        <v/>
      </c>
      <c r="DB480" t="str">
        <f>""</f>
        <v/>
      </c>
      <c r="DC480" t="str">
        <f>""</f>
        <v/>
      </c>
      <c r="DD480" t="str">
        <f>""</f>
        <v/>
      </c>
      <c r="DE480" t="str">
        <f>""</f>
        <v/>
      </c>
      <c r="DF480" t="str">
        <f>""</f>
        <v/>
      </c>
      <c r="DG480" t="str">
        <f>""</f>
        <v/>
      </c>
      <c r="DH480" t="str">
        <f>""</f>
        <v/>
      </c>
      <c r="DI480" t="str">
        <f>""</f>
        <v/>
      </c>
      <c r="DJ480" t="str">
        <f>""</f>
        <v/>
      </c>
      <c r="DK480" t="str">
        <f>""</f>
        <v/>
      </c>
      <c r="DL480" t="str">
        <f>""</f>
        <v/>
      </c>
      <c r="DM480" t="str">
        <f>""</f>
        <v/>
      </c>
      <c r="DN480" t="str">
        <f>""</f>
        <v/>
      </c>
      <c r="DO480" t="str">
        <f>""</f>
        <v/>
      </c>
      <c r="DP480" t="str">
        <f>""</f>
        <v/>
      </c>
      <c r="DQ480" t="str">
        <f>""</f>
        <v/>
      </c>
      <c r="DR480" t="str">
        <f>""</f>
        <v/>
      </c>
      <c r="DS480" t="str">
        <f>""</f>
        <v/>
      </c>
      <c r="DT480" t="str">
        <f>""</f>
        <v/>
      </c>
      <c r="DU480" t="str">
        <f>""</f>
        <v/>
      </c>
    </row>
    <row r="481" spans="1:125">
      <c r="A481" t="str">
        <f>""</f>
        <v/>
      </c>
      <c r="B481" t="str">
        <f>""</f>
        <v/>
      </c>
      <c r="C481" t="str">
        <f>""</f>
        <v/>
      </c>
      <c r="D481" t="str">
        <f>""</f>
        <v/>
      </c>
      <c r="E481" t="str">
        <f>""</f>
        <v/>
      </c>
      <c r="BN481" t="str">
        <f>""</f>
        <v/>
      </c>
      <c r="BO481" t="str">
        <f>""</f>
        <v/>
      </c>
      <c r="BP481" t="str">
        <f>""</f>
        <v/>
      </c>
      <c r="BQ481" t="str">
        <f>""</f>
        <v/>
      </c>
      <c r="BR481" t="str">
        <f>""</f>
        <v/>
      </c>
      <c r="BS481" t="str">
        <f>""</f>
        <v/>
      </c>
      <c r="BT481" t="str">
        <f>""</f>
        <v/>
      </c>
      <c r="BU481" t="str">
        <f>""</f>
        <v/>
      </c>
      <c r="BV481" t="str">
        <f>""</f>
        <v/>
      </c>
      <c r="BW481" t="str">
        <f>""</f>
        <v/>
      </c>
      <c r="BX481" t="str">
        <f>""</f>
        <v/>
      </c>
      <c r="BY481" t="str">
        <f>""</f>
        <v/>
      </c>
      <c r="BZ481" t="str">
        <f>""</f>
        <v/>
      </c>
      <c r="CA481" t="str">
        <f>""</f>
        <v/>
      </c>
      <c r="CB481" t="str">
        <f>""</f>
        <v/>
      </c>
      <c r="CC481" t="str">
        <f>""</f>
        <v/>
      </c>
      <c r="CD481" t="str">
        <f>""</f>
        <v/>
      </c>
      <c r="CE481" t="str">
        <f>""</f>
        <v/>
      </c>
      <c r="CF481" t="str">
        <f>""</f>
        <v/>
      </c>
      <c r="CG481" t="str">
        <f>""</f>
        <v/>
      </c>
      <c r="CH481" t="str">
        <f>""</f>
        <v/>
      </c>
      <c r="CI481" t="str">
        <f>""</f>
        <v/>
      </c>
      <c r="CJ481" t="str">
        <f>""</f>
        <v/>
      </c>
      <c r="CK481" t="str">
        <f>""</f>
        <v/>
      </c>
      <c r="CL481" t="str">
        <f>""</f>
        <v/>
      </c>
      <c r="CM481" t="str">
        <f>""</f>
        <v/>
      </c>
      <c r="CN481" t="str">
        <f>""</f>
        <v/>
      </c>
      <c r="CO481" t="str">
        <f>""</f>
        <v/>
      </c>
      <c r="CP481" t="str">
        <f>""</f>
        <v/>
      </c>
      <c r="CQ481" t="str">
        <f>""</f>
        <v/>
      </c>
      <c r="CR481" t="str">
        <f>""</f>
        <v/>
      </c>
      <c r="CS481" t="str">
        <f>""</f>
        <v/>
      </c>
      <c r="CT481" t="str">
        <f>""</f>
        <v/>
      </c>
      <c r="CU481" t="str">
        <f>""</f>
        <v/>
      </c>
      <c r="CV481" t="str">
        <f>""</f>
        <v/>
      </c>
      <c r="CW481" t="str">
        <f>""</f>
        <v/>
      </c>
      <c r="CX481" t="str">
        <f>""</f>
        <v/>
      </c>
      <c r="CY481" t="str">
        <f>""</f>
        <v/>
      </c>
      <c r="CZ481" t="str">
        <f>""</f>
        <v/>
      </c>
      <c r="DA481" t="str">
        <f>""</f>
        <v/>
      </c>
      <c r="DB481" t="str">
        <f>""</f>
        <v/>
      </c>
      <c r="DC481" t="str">
        <f>""</f>
        <v/>
      </c>
      <c r="DD481" t="str">
        <f>""</f>
        <v/>
      </c>
      <c r="DE481" t="str">
        <f>""</f>
        <v/>
      </c>
      <c r="DF481" t="str">
        <f>""</f>
        <v/>
      </c>
      <c r="DG481" t="str">
        <f>""</f>
        <v/>
      </c>
      <c r="DH481" t="str">
        <f>""</f>
        <v/>
      </c>
      <c r="DI481" t="str">
        <f>""</f>
        <v/>
      </c>
      <c r="DJ481" t="str">
        <f>""</f>
        <v/>
      </c>
      <c r="DK481" t="str">
        <f>""</f>
        <v/>
      </c>
      <c r="DL481" t="str">
        <f>""</f>
        <v/>
      </c>
      <c r="DM481" t="str">
        <f>""</f>
        <v/>
      </c>
      <c r="DN481" t="str">
        <f>""</f>
        <v/>
      </c>
      <c r="DO481" t="str">
        <f>""</f>
        <v/>
      </c>
      <c r="DP481" t="str">
        <f>""</f>
        <v/>
      </c>
      <c r="DQ481" t="str">
        <f>""</f>
        <v/>
      </c>
      <c r="DR481" t="str">
        <f>""</f>
        <v/>
      </c>
      <c r="DS481" t="str">
        <f>""</f>
        <v/>
      </c>
      <c r="DT481" t="str">
        <f>""</f>
        <v/>
      </c>
      <c r="DU481" t="str">
        <f>""</f>
        <v/>
      </c>
    </row>
    <row r="482" spans="1:125">
      <c r="A482" t="str">
        <f>""</f>
        <v/>
      </c>
      <c r="B482" t="str">
        <f>""</f>
        <v/>
      </c>
      <c r="C482" t="str">
        <f>""</f>
        <v/>
      </c>
      <c r="D482" t="str">
        <f>""</f>
        <v/>
      </c>
      <c r="E482" t="str">
        <f>""</f>
        <v/>
      </c>
      <c r="BN482" t="str">
        <f>""</f>
        <v/>
      </c>
      <c r="BO482" t="str">
        <f>""</f>
        <v/>
      </c>
      <c r="BP482" t="str">
        <f>""</f>
        <v/>
      </c>
      <c r="BQ482" t="str">
        <f>""</f>
        <v/>
      </c>
      <c r="BR482" t="str">
        <f>""</f>
        <v/>
      </c>
      <c r="BS482" t="str">
        <f>""</f>
        <v/>
      </c>
      <c r="BT482" t="str">
        <f>""</f>
        <v/>
      </c>
      <c r="BU482" t="str">
        <f>""</f>
        <v/>
      </c>
      <c r="BV482" t="str">
        <f>""</f>
        <v/>
      </c>
      <c r="BW482" t="str">
        <f>""</f>
        <v/>
      </c>
      <c r="BX482" t="str">
        <f>""</f>
        <v/>
      </c>
      <c r="BY482" t="str">
        <f>""</f>
        <v/>
      </c>
      <c r="BZ482" t="str">
        <f>""</f>
        <v/>
      </c>
      <c r="CA482" t="str">
        <f>""</f>
        <v/>
      </c>
      <c r="CB482" t="str">
        <f>""</f>
        <v/>
      </c>
      <c r="CC482" t="str">
        <f>""</f>
        <v/>
      </c>
      <c r="CD482" t="str">
        <f>""</f>
        <v/>
      </c>
      <c r="CE482" t="str">
        <f>""</f>
        <v/>
      </c>
      <c r="CF482" t="str">
        <f>""</f>
        <v/>
      </c>
      <c r="CG482" t="str">
        <f>""</f>
        <v/>
      </c>
      <c r="CH482" t="str">
        <f>""</f>
        <v/>
      </c>
      <c r="CI482" t="str">
        <f>""</f>
        <v/>
      </c>
      <c r="CJ482" t="str">
        <f>""</f>
        <v/>
      </c>
      <c r="CK482" t="str">
        <f>""</f>
        <v/>
      </c>
      <c r="CL482" t="str">
        <f>""</f>
        <v/>
      </c>
      <c r="CM482" t="str">
        <f>""</f>
        <v/>
      </c>
      <c r="CN482" t="str">
        <f>""</f>
        <v/>
      </c>
      <c r="CO482" t="str">
        <f>""</f>
        <v/>
      </c>
      <c r="CP482" t="str">
        <f>""</f>
        <v/>
      </c>
      <c r="CQ482" t="str">
        <f>""</f>
        <v/>
      </c>
      <c r="CR482" t="str">
        <f>""</f>
        <v/>
      </c>
      <c r="CS482" t="str">
        <f>""</f>
        <v/>
      </c>
      <c r="CT482" t="str">
        <f>""</f>
        <v/>
      </c>
      <c r="CU482" t="str">
        <f>""</f>
        <v/>
      </c>
      <c r="CV482" t="str">
        <f>""</f>
        <v/>
      </c>
      <c r="CW482" t="str">
        <f>""</f>
        <v/>
      </c>
      <c r="CX482" t="str">
        <f>""</f>
        <v/>
      </c>
      <c r="CY482" t="str">
        <f>""</f>
        <v/>
      </c>
      <c r="CZ482" t="str">
        <f>""</f>
        <v/>
      </c>
      <c r="DA482" t="str">
        <f>""</f>
        <v/>
      </c>
      <c r="DB482" t="str">
        <f>""</f>
        <v/>
      </c>
      <c r="DC482" t="str">
        <f>""</f>
        <v/>
      </c>
      <c r="DD482" t="str">
        <f>""</f>
        <v/>
      </c>
      <c r="DE482" t="str">
        <f>""</f>
        <v/>
      </c>
      <c r="DF482" t="str">
        <f>""</f>
        <v/>
      </c>
      <c r="DG482" t="str">
        <f>""</f>
        <v/>
      </c>
      <c r="DH482" t="str">
        <f>""</f>
        <v/>
      </c>
      <c r="DI482" t="str">
        <f>""</f>
        <v/>
      </c>
      <c r="DJ482" t="str">
        <f>""</f>
        <v/>
      </c>
      <c r="DK482" t="str">
        <f>""</f>
        <v/>
      </c>
      <c r="DL482" t="str">
        <f>""</f>
        <v/>
      </c>
      <c r="DM482" t="str">
        <f>""</f>
        <v/>
      </c>
      <c r="DN482" t="str">
        <f>""</f>
        <v/>
      </c>
      <c r="DO482" t="str">
        <f>""</f>
        <v/>
      </c>
      <c r="DP482" t="str">
        <f>""</f>
        <v/>
      </c>
      <c r="DQ482" t="str">
        <f>""</f>
        <v/>
      </c>
      <c r="DR482" t="str">
        <f>""</f>
        <v/>
      </c>
      <c r="DS482" t="str">
        <f>""</f>
        <v/>
      </c>
      <c r="DT482" t="str">
        <f>""</f>
        <v/>
      </c>
      <c r="DU482" t="str">
        <f>""</f>
        <v/>
      </c>
    </row>
    <row r="483" spans="1:125">
      <c r="A483" t="str">
        <f>""</f>
        <v/>
      </c>
      <c r="B483" t="str">
        <f>""</f>
        <v/>
      </c>
      <c r="C483" t="str">
        <f>""</f>
        <v/>
      </c>
      <c r="D483" t="str">
        <f>""</f>
        <v/>
      </c>
      <c r="E483" t="str">
        <f>""</f>
        <v/>
      </c>
      <c r="BN483" t="str">
        <f>""</f>
        <v/>
      </c>
      <c r="BO483" t="str">
        <f>""</f>
        <v/>
      </c>
      <c r="BP483" t="str">
        <f>""</f>
        <v/>
      </c>
      <c r="BQ483" t="str">
        <f>""</f>
        <v/>
      </c>
      <c r="BR483" t="str">
        <f>""</f>
        <v/>
      </c>
      <c r="BS483" t="str">
        <f>""</f>
        <v/>
      </c>
      <c r="BT483" t="str">
        <f>""</f>
        <v/>
      </c>
      <c r="BU483" t="str">
        <f>""</f>
        <v/>
      </c>
      <c r="BV483" t="str">
        <f>""</f>
        <v/>
      </c>
      <c r="BW483" t="str">
        <f>""</f>
        <v/>
      </c>
      <c r="BX483" t="str">
        <f>""</f>
        <v/>
      </c>
      <c r="BY483" t="str">
        <f>""</f>
        <v/>
      </c>
      <c r="BZ483" t="str">
        <f>""</f>
        <v/>
      </c>
      <c r="CA483" t="str">
        <f>""</f>
        <v/>
      </c>
      <c r="CB483" t="str">
        <f>""</f>
        <v/>
      </c>
      <c r="CC483" t="str">
        <f>""</f>
        <v/>
      </c>
      <c r="CD483" t="str">
        <f>""</f>
        <v/>
      </c>
      <c r="CE483" t="str">
        <f>""</f>
        <v/>
      </c>
      <c r="CF483" t="str">
        <f>""</f>
        <v/>
      </c>
      <c r="CG483" t="str">
        <f>""</f>
        <v/>
      </c>
      <c r="CH483" t="str">
        <f>""</f>
        <v/>
      </c>
      <c r="CI483" t="str">
        <f>""</f>
        <v/>
      </c>
      <c r="CJ483" t="str">
        <f>""</f>
        <v/>
      </c>
      <c r="CK483" t="str">
        <f>""</f>
        <v/>
      </c>
      <c r="CL483" t="str">
        <f>""</f>
        <v/>
      </c>
      <c r="CM483" t="str">
        <f>""</f>
        <v/>
      </c>
      <c r="CN483" t="str">
        <f>""</f>
        <v/>
      </c>
      <c r="CO483" t="str">
        <f>""</f>
        <v/>
      </c>
      <c r="CP483" t="str">
        <f>""</f>
        <v/>
      </c>
      <c r="CQ483" t="str">
        <f>""</f>
        <v/>
      </c>
      <c r="CR483" t="str">
        <f>""</f>
        <v/>
      </c>
      <c r="CS483" t="str">
        <f>""</f>
        <v/>
      </c>
      <c r="CT483" t="str">
        <f>""</f>
        <v/>
      </c>
      <c r="CU483" t="str">
        <f>""</f>
        <v/>
      </c>
      <c r="CV483" t="str">
        <f>""</f>
        <v/>
      </c>
      <c r="CW483" t="str">
        <f>""</f>
        <v/>
      </c>
      <c r="CX483" t="str">
        <f>""</f>
        <v/>
      </c>
      <c r="CY483" t="str">
        <f>""</f>
        <v/>
      </c>
      <c r="CZ483" t="str">
        <f>""</f>
        <v/>
      </c>
      <c r="DA483" t="str">
        <f>""</f>
        <v/>
      </c>
      <c r="DB483" t="str">
        <f>""</f>
        <v/>
      </c>
      <c r="DC483" t="str">
        <f>""</f>
        <v/>
      </c>
      <c r="DD483" t="str">
        <f>""</f>
        <v/>
      </c>
      <c r="DE483" t="str">
        <f>""</f>
        <v/>
      </c>
      <c r="DF483" t="str">
        <f>""</f>
        <v/>
      </c>
      <c r="DG483" t="str">
        <f>""</f>
        <v/>
      </c>
      <c r="DH483" t="str">
        <f>""</f>
        <v/>
      </c>
      <c r="DI483" t="str">
        <f>""</f>
        <v/>
      </c>
      <c r="DJ483" t="str">
        <f>""</f>
        <v/>
      </c>
      <c r="DK483" t="str">
        <f>""</f>
        <v/>
      </c>
      <c r="DL483" t="str">
        <f>""</f>
        <v/>
      </c>
      <c r="DM483" t="str">
        <f>""</f>
        <v/>
      </c>
      <c r="DN483" t="str">
        <f>""</f>
        <v/>
      </c>
      <c r="DO483" t="str">
        <f>""</f>
        <v/>
      </c>
      <c r="DP483" t="str">
        <f>""</f>
        <v/>
      </c>
      <c r="DQ483" t="str">
        <f>""</f>
        <v/>
      </c>
      <c r="DR483" t="str">
        <f>""</f>
        <v/>
      </c>
      <c r="DS483" t="str">
        <f>""</f>
        <v/>
      </c>
      <c r="DT483" t="str">
        <f>""</f>
        <v/>
      </c>
      <c r="DU483" t="str">
        <f>""</f>
        <v/>
      </c>
    </row>
    <row r="484" spans="1:125">
      <c r="A484" t="str">
        <f>""</f>
        <v/>
      </c>
      <c r="B484" t="str">
        <f>""</f>
        <v/>
      </c>
      <c r="C484" t="str">
        <f>""</f>
        <v/>
      </c>
      <c r="D484" t="str">
        <f>""</f>
        <v/>
      </c>
      <c r="E484" t="str">
        <f>""</f>
        <v/>
      </c>
      <c r="BN484" t="str">
        <f>""</f>
        <v/>
      </c>
      <c r="BO484" t="str">
        <f>""</f>
        <v/>
      </c>
      <c r="BP484" t="str">
        <f>""</f>
        <v/>
      </c>
      <c r="BQ484" t="str">
        <f>""</f>
        <v/>
      </c>
      <c r="BR484" t="str">
        <f>""</f>
        <v/>
      </c>
      <c r="BS484" t="str">
        <f>""</f>
        <v/>
      </c>
      <c r="BT484" t="str">
        <f>""</f>
        <v/>
      </c>
      <c r="BU484" t="str">
        <f>""</f>
        <v/>
      </c>
      <c r="BV484" t="str">
        <f>""</f>
        <v/>
      </c>
      <c r="BW484" t="str">
        <f>""</f>
        <v/>
      </c>
      <c r="BX484" t="str">
        <f>""</f>
        <v/>
      </c>
      <c r="BY484" t="str">
        <f>""</f>
        <v/>
      </c>
      <c r="BZ484" t="str">
        <f>""</f>
        <v/>
      </c>
      <c r="CA484" t="str">
        <f>""</f>
        <v/>
      </c>
      <c r="CB484" t="str">
        <f>""</f>
        <v/>
      </c>
      <c r="CC484" t="str">
        <f>""</f>
        <v/>
      </c>
      <c r="CD484" t="str">
        <f>""</f>
        <v/>
      </c>
      <c r="CE484" t="str">
        <f>""</f>
        <v/>
      </c>
      <c r="CF484" t="str">
        <f>""</f>
        <v/>
      </c>
      <c r="CG484" t="str">
        <f>""</f>
        <v/>
      </c>
      <c r="CH484" t="str">
        <f>""</f>
        <v/>
      </c>
      <c r="CI484" t="str">
        <f>""</f>
        <v/>
      </c>
      <c r="CJ484" t="str">
        <f>""</f>
        <v/>
      </c>
      <c r="CK484" t="str">
        <f>""</f>
        <v/>
      </c>
      <c r="CL484" t="str">
        <f>""</f>
        <v/>
      </c>
      <c r="CM484" t="str">
        <f>""</f>
        <v/>
      </c>
      <c r="CN484" t="str">
        <f>""</f>
        <v/>
      </c>
      <c r="CO484" t="str">
        <f>""</f>
        <v/>
      </c>
      <c r="CP484" t="str">
        <f>""</f>
        <v/>
      </c>
      <c r="CQ484" t="str">
        <f>""</f>
        <v/>
      </c>
      <c r="CR484" t="str">
        <f>""</f>
        <v/>
      </c>
      <c r="CS484" t="str">
        <f>""</f>
        <v/>
      </c>
      <c r="CT484" t="str">
        <f>""</f>
        <v/>
      </c>
      <c r="CU484" t="str">
        <f>""</f>
        <v/>
      </c>
      <c r="CV484" t="str">
        <f>""</f>
        <v/>
      </c>
      <c r="CW484" t="str">
        <f>""</f>
        <v/>
      </c>
      <c r="CX484" t="str">
        <f>""</f>
        <v/>
      </c>
      <c r="CY484" t="str">
        <f>""</f>
        <v/>
      </c>
      <c r="CZ484" t="str">
        <f>""</f>
        <v/>
      </c>
      <c r="DA484" t="str">
        <f>""</f>
        <v/>
      </c>
      <c r="DB484" t="str">
        <f>""</f>
        <v/>
      </c>
      <c r="DC484" t="str">
        <f>""</f>
        <v/>
      </c>
      <c r="DD484" t="str">
        <f>""</f>
        <v/>
      </c>
      <c r="DE484" t="str">
        <f>""</f>
        <v/>
      </c>
      <c r="DF484" t="str">
        <f>""</f>
        <v/>
      </c>
      <c r="DG484" t="str">
        <f>""</f>
        <v/>
      </c>
      <c r="DH484" t="str">
        <f>""</f>
        <v/>
      </c>
      <c r="DI484" t="str">
        <f>""</f>
        <v/>
      </c>
      <c r="DJ484" t="str">
        <f>""</f>
        <v/>
      </c>
      <c r="DK484" t="str">
        <f>""</f>
        <v/>
      </c>
      <c r="DL484" t="str">
        <f>""</f>
        <v/>
      </c>
      <c r="DM484" t="str">
        <f>""</f>
        <v/>
      </c>
      <c r="DN484" t="str">
        <f>""</f>
        <v/>
      </c>
      <c r="DO484" t="str">
        <f>""</f>
        <v/>
      </c>
      <c r="DP484" t="str">
        <f>""</f>
        <v/>
      </c>
      <c r="DQ484" t="str">
        <f>""</f>
        <v/>
      </c>
      <c r="DR484" t="str">
        <f>""</f>
        <v/>
      </c>
      <c r="DS484" t="str">
        <f>""</f>
        <v/>
      </c>
      <c r="DT484" t="str">
        <f>""</f>
        <v/>
      </c>
      <c r="DU484" t="str">
        <f>""</f>
        <v/>
      </c>
    </row>
    <row r="485" spans="1:125">
      <c r="A485" t="str">
        <f>"~~~~~~~~~~~~~~~~~~~~~"</f>
        <v>~~~~~~~~~~~~~~~~~~~~~</v>
      </c>
      <c r="B485" t="str">
        <f>"~~~~~~~~~~~~~~~~~~~~~"</f>
        <v>~~~~~~~~~~~~~~~~~~~~~</v>
      </c>
      <c r="C485" t="str">
        <f>"~~~~~~~~~~~~~~~~~~~~~"</f>
        <v>~~~~~~~~~~~~~~~~~~~~~</v>
      </c>
      <c r="D485" t="str">
        <f>"~~~~~~~~~~~~~~~~~~~~~"</f>
        <v>~~~~~~~~~~~~~~~~~~~~~</v>
      </c>
      <c r="E485" t="str">
        <f>"~~~~~~~~~~~~~~~~~~~~~"</f>
        <v>~~~~~~~~~~~~~~~~~~~~~</v>
      </c>
      <c r="BN485" t="str">
        <f>""</f>
        <v/>
      </c>
      <c r="BO485" t="str">
        <f>""</f>
        <v/>
      </c>
      <c r="BP485" t="str">
        <f>""</f>
        <v/>
      </c>
      <c r="BQ485" t="str">
        <f>""</f>
        <v/>
      </c>
      <c r="BR485" t="str">
        <f>""</f>
        <v/>
      </c>
      <c r="BS485" t="str">
        <f>""</f>
        <v/>
      </c>
      <c r="BT485" t="str">
        <f>""</f>
        <v/>
      </c>
      <c r="BU485" t="str">
        <f>""</f>
        <v/>
      </c>
      <c r="BV485" t="str">
        <f>""</f>
        <v/>
      </c>
      <c r="BW485" t="str">
        <f>""</f>
        <v/>
      </c>
      <c r="BX485" t="str">
        <f>""</f>
        <v/>
      </c>
      <c r="BY485" t="str">
        <f>""</f>
        <v/>
      </c>
      <c r="BZ485" t="str">
        <f>""</f>
        <v/>
      </c>
      <c r="CA485" t="str">
        <f>""</f>
        <v/>
      </c>
      <c r="CB485" t="str">
        <f>""</f>
        <v/>
      </c>
      <c r="CC485" t="str">
        <f>""</f>
        <v/>
      </c>
      <c r="CD485" t="str">
        <f>""</f>
        <v/>
      </c>
      <c r="CE485" t="str">
        <f>""</f>
        <v/>
      </c>
      <c r="CF485" t="str">
        <f>""</f>
        <v/>
      </c>
      <c r="CG485" t="str">
        <f>""</f>
        <v/>
      </c>
      <c r="CH485" t="str">
        <f>""</f>
        <v/>
      </c>
      <c r="CI485" t="str">
        <f>""</f>
        <v/>
      </c>
      <c r="CJ485" t="str">
        <f>""</f>
        <v/>
      </c>
      <c r="CK485" t="str">
        <f>""</f>
        <v/>
      </c>
      <c r="CL485" t="str">
        <f>""</f>
        <v/>
      </c>
      <c r="CM485" t="str">
        <f>""</f>
        <v/>
      </c>
      <c r="CN485" t="str">
        <f>""</f>
        <v/>
      </c>
      <c r="CO485" t="str">
        <f>""</f>
        <v/>
      </c>
      <c r="CP485" t="str">
        <f>""</f>
        <v/>
      </c>
      <c r="CQ485" t="str">
        <f>""</f>
        <v/>
      </c>
      <c r="CR485" t="str">
        <f>""</f>
        <v/>
      </c>
      <c r="CS485" t="str">
        <f>""</f>
        <v/>
      </c>
      <c r="CT485" t="str">
        <f>""</f>
        <v/>
      </c>
      <c r="CU485" t="str">
        <f>""</f>
        <v/>
      </c>
      <c r="CV485" t="str">
        <f>""</f>
        <v/>
      </c>
      <c r="CW485" t="str">
        <f>""</f>
        <v/>
      </c>
      <c r="CX485" t="str">
        <f>""</f>
        <v/>
      </c>
      <c r="CY485" t="str">
        <f>""</f>
        <v/>
      </c>
      <c r="CZ485" t="str">
        <f>""</f>
        <v/>
      </c>
      <c r="DA485" t="str">
        <f>""</f>
        <v/>
      </c>
      <c r="DB485" t="str">
        <f>""</f>
        <v/>
      </c>
      <c r="DC485" t="str">
        <f>""</f>
        <v/>
      </c>
      <c r="DD485" t="str">
        <f>""</f>
        <v/>
      </c>
      <c r="DE485" t="str">
        <f>""</f>
        <v/>
      </c>
      <c r="DF485" t="str">
        <f>""</f>
        <v/>
      </c>
      <c r="DG485" t="str">
        <f>""</f>
        <v/>
      </c>
      <c r="DH485" t="str">
        <f>""</f>
        <v/>
      </c>
      <c r="DI485" t="str">
        <f>""</f>
        <v/>
      </c>
      <c r="DJ485" t="str">
        <f>""</f>
        <v/>
      </c>
      <c r="DK485" t="str">
        <f>""</f>
        <v/>
      </c>
      <c r="DL485" t="str">
        <f>""</f>
        <v/>
      </c>
      <c r="DM485" t="str">
        <f>""</f>
        <v/>
      </c>
      <c r="DN485" t="str">
        <f>""</f>
        <v/>
      </c>
      <c r="DO485" t="str">
        <f>""</f>
        <v/>
      </c>
      <c r="DP485" t="str">
        <f>""</f>
        <v/>
      </c>
      <c r="DQ485" t="str">
        <f>""</f>
        <v/>
      </c>
      <c r="DR485" t="str">
        <f>""</f>
        <v/>
      </c>
      <c r="DS485" t="str">
        <f>""</f>
        <v/>
      </c>
      <c r="DT485" t="str">
        <f>""</f>
        <v/>
      </c>
      <c r="DU485" t="str">
        <f>""</f>
        <v/>
      </c>
    </row>
    <row r="486" spans="1:125">
      <c r="A486" t="str">
        <f>"Rows below for column date calculation"</f>
        <v>Rows below for column date calculation</v>
      </c>
      <c r="BN486" t="str">
        <f>""</f>
        <v/>
      </c>
      <c r="BO486" t="str">
        <f>""</f>
        <v/>
      </c>
      <c r="BP486" t="str">
        <f>""</f>
        <v/>
      </c>
      <c r="BQ486" t="str">
        <f>""</f>
        <v/>
      </c>
      <c r="BR486" t="str">
        <f>""</f>
        <v/>
      </c>
      <c r="BS486" t="str">
        <f>""</f>
        <v/>
      </c>
      <c r="BT486" t="str">
        <f>""</f>
        <v/>
      </c>
      <c r="BU486" t="str">
        <f>""</f>
        <v/>
      </c>
      <c r="BV486" t="str">
        <f>""</f>
        <v/>
      </c>
      <c r="BW486" t="str">
        <f>""</f>
        <v/>
      </c>
      <c r="BX486" t="str">
        <f>""</f>
        <v/>
      </c>
      <c r="BY486" t="str">
        <f>""</f>
        <v/>
      </c>
      <c r="BZ486" t="str">
        <f>""</f>
        <v/>
      </c>
      <c r="CA486" t="str">
        <f>""</f>
        <v/>
      </c>
      <c r="CB486" t="str">
        <f>""</f>
        <v/>
      </c>
      <c r="CC486" t="str">
        <f>""</f>
        <v/>
      </c>
      <c r="CD486" t="str">
        <f>""</f>
        <v/>
      </c>
      <c r="CE486" t="str">
        <f>""</f>
        <v/>
      </c>
      <c r="CF486" t="str">
        <f>""</f>
        <v/>
      </c>
      <c r="CG486" t="str">
        <f>""</f>
        <v/>
      </c>
      <c r="CH486" t="str">
        <f>""</f>
        <v/>
      </c>
      <c r="CI486" t="str">
        <f>""</f>
        <v/>
      </c>
      <c r="CJ486" t="str">
        <f>""</f>
        <v/>
      </c>
      <c r="CK486" t="str">
        <f>""</f>
        <v/>
      </c>
      <c r="CL486" t="str">
        <f>""</f>
        <v/>
      </c>
      <c r="CM486" t="str">
        <f>""</f>
        <v/>
      </c>
      <c r="CN486" t="str">
        <f>""</f>
        <v/>
      </c>
      <c r="CO486" t="str">
        <f>""</f>
        <v/>
      </c>
      <c r="CP486" t="str">
        <f>""</f>
        <v/>
      </c>
      <c r="CQ486" t="str">
        <f>""</f>
        <v/>
      </c>
      <c r="CR486" t="str">
        <f>""</f>
        <v/>
      </c>
      <c r="CS486" t="str">
        <f>""</f>
        <v/>
      </c>
      <c r="CT486" t="str">
        <f>""</f>
        <v/>
      </c>
      <c r="CU486" t="str">
        <f>""</f>
        <v/>
      </c>
      <c r="CV486" t="str">
        <f>""</f>
        <v/>
      </c>
      <c r="CW486" t="str">
        <f>""</f>
        <v/>
      </c>
      <c r="CX486" t="str">
        <f>""</f>
        <v/>
      </c>
      <c r="CY486" t="str">
        <f>""</f>
        <v/>
      </c>
      <c r="CZ486" t="str">
        <f>""</f>
        <v/>
      </c>
      <c r="DA486" t="str">
        <f>""</f>
        <v/>
      </c>
      <c r="DB486" t="str">
        <f>""</f>
        <v/>
      </c>
      <c r="DC486" t="str">
        <f>""</f>
        <v/>
      </c>
      <c r="DD486" t="str">
        <f>""</f>
        <v/>
      </c>
      <c r="DE486" t="str">
        <f>""</f>
        <v/>
      </c>
      <c r="DF486" t="str">
        <f>""</f>
        <v/>
      </c>
      <c r="DG486" t="str">
        <f>""</f>
        <v/>
      </c>
      <c r="DH486" t="str">
        <f>""</f>
        <v/>
      </c>
      <c r="DI486" t="str">
        <f>""</f>
        <v/>
      </c>
      <c r="DJ486" t="str">
        <f>""</f>
        <v/>
      </c>
      <c r="DK486" t="str">
        <f>""</f>
        <v/>
      </c>
      <c r="DL486" t="str">
        <f>""</f>
        <v/>
      </c>
      <c r="DM486" t="str">
        <f>""</f>
        <v/>
      </c>
      <c r="DN486" t="str">
        <f>""</f>
        <v/>
      </c>
      <c r="DO486" t="str">
        <f>""</f>
        <v/>
      </c>
      <c r="DP486" t="str">
        <f>""</f>
        <v/>
      </c>
      <c r="DQ486" t="str">
        <f>""</f>
        <v/>
      </c>
      <c r="DR486" t="str">
        <f>""</f>
        <v/>
      </c>
      <c r="DS486" t="str">
        <f>""</f>
        <v/>
      </c>
      <c r="DT486" t="str">
        <f>""</f>
        <v/>
      </c>
      <c r="DU486" t="str">
        <f>""</f>
        <v/>
      </c>
    </row>
    <row r="487" spans="1:125">
      <c r="A487" t="str">
        <f>"Downloaded at"</f>
        <v>Downloaded at</v>
      </c>
      <c r="B487">
        <f>DATE(2018, 3,13)</f>
        <v>43172</v>
      </c>
      <c r="C487" t="str">
        <f>""</f>
        <v/>
      </c>
      <c r="D487" t="str">
        <f>""</f>
        <v/>
      </c>
      <c r="E487" t="str">
        <f>""</f>
        <v/>
      </c>
      <c r="BN487" t="str">
        <f>""</f>
        <v/>
      </c>
      <c r="BO487" t="str">
        <f>""</f>
        <v/>
      </c>
      <c r="BP487" t="str">
        <f>""</f>
        <v/>
      </c>
      <c r="BQ487" t="str">
        <f>""</f>
        <v/>
      </c>
      <c r="BR487" t="str">
        <f>""</f>
        <v/>
      </c>
      <c r="BS487" t="str">
        <f>""</f>
        <v/>
      </c>
      <c r="BT487" t="str">
        <f>""</f>
        <v/>
      </c>
      <c r="BU487" t="str">
        <f>""</f>
        <v/>
      </c>
      <c r="BV487" t="str">
        <f>""</f>
        <v/>
      </c>
      <c r="BW487" t="str">
        <f>""</f>
        <v/>
      </c>
      <c r="BX487" t="str">
        <f>""</f>
        <v/>
      </c>
      <c r="BY487" t="str">
        <f>""</f>
        <v/>
      </c>
      <c r="BZ487" t="str">
        <f>""</f>
        <v/>
      </c>
      <c r="CA487" t="str">
        <f>""</f>
        <v/>
      </c>
      <c r="CB487" t="str">
        <f>""</f>
        <v/>
      </c>
      <c r="CC487" t="str">
        <f>""</f>
        <v/>
      </c>
      <c r="CD487" t="str">
        <f>""</f>
        <v/>
      </c>
      <c r="CE487" t="str">
        <f>""</f>
        <v/>
      </c>
      <c r="CF487" t="str">
        <f>""</f>
        <v/>
      </c>
      <c r="CG487" t="str">
        <f>""</f>
        <v/>
      </c>
      <c r="CH487" t="str">
        <f>""</f>
        <v/>
      </c>
      <c r="CI487" t="str">
        <f>""</f>
        <v/>
      </c>
      <c r="CJ487" t="str">
        <f>""</f>
        <v/>
      </c>
      <c r="CK487" t="str">
        <f>""</f>
        <v/>
      </c>
      <c r="CL487" t="str">
        <f>""</f>
        <v/>
      </c>
      <c r="CM487" t="str">
        <f>""</f>
        <v/>
      </c>
      <c r="CN487" t="str">
        <f>""</f>
        <v/>
      </c>
      <c r="CO487" t="str">
        <f>""</f>
        <v/>
      </c>
      <c r="CP487" t="str">
        <f>""</f>
        <v/>
      </c>
      <c r="CQ487" t="str">
        <f>""</f>
        <v/>
      </c>
      <c r="CR487" t="str">
        <f>""</f>
        <v/>
      </c>
      <c r="CS487" t="str">
        <f>""</f>
        <v/>
      </c>
      <c r="CT487" t="str">
        <f>""</f>
        <v/>
      </c>
      <c r="CU487" t="str">
        <f>""</f>
        <v/>
      </c>
      <c r="CV487" t="str">
        <f>""</f>
        <v/>
      </c>
      <c r="CW487" t="str">
        <f>""</f>
        <v/>
      </c>
      <c r="CX487" t="str">
        <f>""</f>
        <v/>
      </c>
      <c r="CY487" t="str">
        <f>""</f>
        <v/>
      </c>
      <c r="CZ487" t="str">
        <f>""</f>
        <v/>
      </c>
      <c r="DA487" t="str">
        <f>""</f>
        <v/>
      </c>
      <c r="DB487" t="str">
        <f>""</f>
        <v/>
      </c>
      <c r="DC487" t="str">
        <f>""</f>
        <v/>
      </c>
      <c r="DD487" t="str">
        <f>""</f>
        <v/>
      </c>
      <c r="DE487" t="str">
        <f>""</f>
        <v/>
      </c>
      <c r="DF487" t="str">
        <f>""</f>
        <v/>
      </c>
      <c r="DG487" t="str">
        <f>""</f>
        <v/>
      </c>
      <c r="DH487" t="str">
        <f>""</f>
        <v/>
      </c>
      <c r="DI487" t="str">
        <f>""</f>
        <v/>
      </c>
      <c r="DJ487" t="str">
        <f>""</f>
        <v/>
      </c>
      <c r="DK487" t="str">
        <f>""</f>
        <v/>
      </c>
      <c r="DL487" t="str">
        <f>""</f>
        <v/>
      </c>
      <c r="DM487" t="str">
        <f>""</f>
        <v/>
      </c>
      <c r="DN487" t="str">
        <f>""</f>
        <v/>
      </c>
      <c r="DO487" t="str">
        <f>""</f>
        <v/>
      </c>
      <c r="DP487" t="str">
        <f>""</f>
        <v/>
      </c>
      <c r="DQ487" t="str">
        <f>""</f>
        <v/>
      </c>
      <c r="DR487" t="str">
        <f>""</f>
        <v/>
      </c>
      <c r="DS487" t="str">
        <f>""</f>
        <v/>
      </c>
      <c r="DT487" t="str">
        <f>""</f>
        <v/>
      </c>
      <c r="DU487" t="str">
        <f>""</f>
        <v/>
      </c>
    </row>
    <row r="488" spans="1:125">
      <c r="A488" t="str">
        <f>"This is End Date"</f>
        <v>This is End Date</v>
      </c>
      <c r="B488">
        <f ca="1">$B$257</f>
        <v>43190</v>
      </c>
      <c r="C488" t="str">
        <f>""</f>
        <v/>
      </c>
      <c r="D488" t="str">
        <f>""</f>
        <v/>
      </c>
      <c r="E488" t="str">
        <f>""</f>
        <v/>
      </c>
      <c r="BN488" t="str">
        <f>""</f>
        <v/>
      </c>
      <c r="BO488" t="str">
        <f>""</f>
        <v/>
      </c>
      <c r="BP488" t="str">
        <f>""</f>
        <v/>
      </c>
      <c r="BQ488" t="str">
        <f>""</f>
        <v/>
      </c>
      <c r="BR488" t="str">
        <f>""</f>
        <v/>
      </c>
      <c r="BS488" t="str">
        <f>""</f>
        <v/>
      </c>
      <c r="BT488" t="str">
        <f>""</f>
        <v/>
      </c>
      <c r="BU488" t="str">
        <f>""</f>
        <v/>
      </c>
      <c r="BV488" t="str">
        <f>""</f>
        <v/>
      </c>
      <c r="BW488" t="str">
        <f>""</f>
        <v/>
      </c>
      <c r="BX488" t="str">
        <f>""</f>
        <v/>
      </c>
      <c r="BY488" t="str">
        <f>""</f>
        <v/>
      </c>
      <c r="BZ488" t="str">
        <f>""</f>
        <v/>
      </c>
      <c r="CA488" t="str">
        <f>""</f>
        <v/>
      </c>
      <c r="CB488" t="str">
        <f>""</f>
        <v/>
      </c>
      <c r="CC488" t="str">
        <f>""</f>
        <v/>
      </c>
      <c r="CD488" t="str">
        <f>""</f>
        <v/>
      </c>
      <c r="CE488" t="str">
        <f>""</f>
        <v/>
      </c>
      <c r="CF488" t="str">
        <f>""</f>
        <v/>
      </c>
      <c r="CG488" t="str">
        <f>""</f>
        <v/>
      </c>
      <c r="CH488" t="str">
        <f>""</f>
        <v/>
      </c>
      <c r="CI488" t="str">
        <f>""</f>
        <v/>
      </c>
      <c r="CJ488" t="str">
        <f>""</f>
        <v/>
      </c>
      <c r="CK488" t="str">
        <f>""</f>
        <v/>
      </c>
      <c r="CL488" t="str">
        <f>""</f>
        <v/>
      </c>
      <c r="CM488" t="str">
        <f>""</f>
        <v/>
      </c>
      <c r="CN488" t="str">
        <f>""</f>
        <v/>
      </c>
      <c r="CO488" t="str">
        <f>""</f>
        <v/>
      </c>
      <c r="CP488" t="str">
        <f>""</f>
        <v/>
      </c>
      <c r="CQ488" t="str">
        <f>""</f>
        <v/>
      </c>
      <c r="CR488" t="str">
        <f>""</f>
        <v/>
      </c>
      <c r="CS488" t="str">
        <f>""</f>
        <v/>
      </c>
      <c r="CT488" t="str">
        <f>""</f>
        <v/>
      </c>
      <c r="CU488" t="str">
        <f>""</f>
        <v/>
      </c>
      <c r="CV488" t="str">
        <f>""</f>
        <v/>
      </c>
      <c r="CW488" t="str">
        <f>""</f>
        <v/>
      </c>
      <c r="CX488" t="str">
        <f>""</f>
        <v/>
      </c>
      <c r="CY488" t="str">
        <f>""</f>
        <v/>
      </c>
      <c r="CZ488" t="str">
        <f>""</f>
        <v/>
      </c>
      <c r="DA488" t="str">
        <f>""</f>
        <v/>
      </c>
      <c r="DB488" t="str">
        <f>""</f>
        <v/>
      </c>
      <c r="DC488" t="str">
        <f>""</f>
        <v/>
      </c>
      <c r="DD488" t="str">
        <f>""</f>
        <v/>
      </c>
      <c r="DE488" t="str">
        <f>""</f>
        <v/>
      </c>
      <c r="DF488" t="str">
        <f>""</f>
        <v/>
      </c>
      <c r="DG488" t="str">
        <f>""</f>
        <v/>
      </c>
      <c r="DH488" t="str">
        <f>""</f>
        <v/>
      </c>
      <c r="DI488" t="str">
        <f>""</f>
        <v/>
      </c>
      <c r="DJ488" t="str">
        <f>""</f>
        <v/>
      </c>
      <c r="DK488" t="str">
        <f>""</f>
        <v/>
      </c>
      <c r="DL488" t="str">
        <f>""</f>
        <v/>
      </c>
      <c r="DM488" t="str">
        <f>""</f>
        <v/>
      </c>
      <c r="DN488" t="str">
        <f>""</f>
        <v/>
      </c>
      <c r="DO488" t="str">
        <f>""</f>
        <v/>
      </c>
      <c r="DP488" t="str">
        <f>""</f>
        <v/>
      </c>
      <c r="DQ488" t="str">
        <f>""</f>
        <v/>
      </c>
      <c r="DR488" t="str">
        <f>""</f>
        <v/>
      </c>
      <c r="DS488" t="str">
        <f>""</f>
        <v/>
      </c>
      <c r="DT488" t="str">
        <f>""</f>
        <v/>
      </c>
      <c r="DU488" t="str">
        <f>""</f>
        <v/>
      </c>
    </row>
    <row r="489" spans="1:125">
      <c r="A489" t="str">
        <f>"简述"</f>
        <v>简述</v>
      </c>
      <c r="B489" t="str">
        <f>"代码"</f>
        <v>代码</v>
      </c>
      <c r="C489" t="str">
        <f>"栏目ID"</f>
        <v>栏目ID</v>
      </c>
      <c r="D489" t="str">
        <f>"栏目助记符"</f>
        <v>栏目助记符</v>
      </c>
      <c r="E489" t="str">
        <f>"数据状态"</f>
        <v>数据状态</v>
      </c>
      <c r="BN489" t="str">
        <f>""</f>
        <v/>
      </c>
      <c r="BO489" t="str">
        <f>""</f>
        <v/>
      </c>
      <c r="BP489" t="str">
        <f>""</f>
        <v/>
      </c>
      <c r="BQ489" t="str">
        <f>""</f>
        <v/>
      </c>
      <c r="BR489" t="str">
        <f>""</f>
        <v/>
      </c>
      <c r="BS489" t="str">
        <f>""</f>
        <v/>
      </c>
      <c r="BT489" t="str">
        <f>""</f>
        <v/>
      </c>
      <c r="BU489" t="str">
        <f>""</f>
        <v/>
      </c>
      <c r="BV489" t="str">
        <f>""</f>
        <v/>
      </c>
      <c r="BW489" t="str">
        <f>""</f>
        <v/>
      </c>
      <c r="BX489" t="str">
        <f>""</f>
        <v/>
      </c>
      <c r="BY489" t="str">
        <f>""</f>
        <v/>
      </c>
      <c r="BZ489" t="str">
        <f>""</f>
        <v/>
      </c>
      <c r="CA489" t="str">
        <f>""</f>
        <v/>
      </c>
      <c r="CB489" t="str">
        <f>""</f>
        <v/>
      </c>
      <c r="CC489" t="str">
        <f>""</f>
        <v/>
      </c>
      <c r="CD489" t="str">
        <f>""</f>
        <v/>
      </c>
      <c r="CE489" t="str">
        <f>""</f>
        <v/>
      </c>
      <c r="CF489" t="str">
        <f>""</f>
        <v/>
      </c>
      <c r="CG489" t="str">
        <f>""</f>
        <v/>
      </c>
      <c r="CH489" t="str">
        <f>""</f>
        <v/>
      </c>
      <c r="CI489" t="str">
        <f>""</f>
        <v/>
      </c>
      <c r="CJ489" t="str">
        <f>""</f>
        <v/>
      </c>
      <c r="CK489" t="str">
        <f>""</f>
        <v/>
      </c>
      <c r="CL489" t="str">
        <f>""</f>
        <v/>
      </c>
      <c r="CM489" t="str">
        <f>""</f>
        <v/>
      </c>
      <c r="CN489" t="str">
        <f>""</f>
        <v/>
      </c>
      <c r="CO489" t="str">
        <f>""</f>
        <v/>
      </c>
      <c r="CP489" t="str">
        <f>""</f>
        <v/>
      </c>
      <c r="CQ489" t="str">
        <f>""</f>
        <v/>
      </c>
      <c r="CR489" t="str">
        <f>""</f>
        <v/>
      </c>
      <c r="CS489" t="str">
        <f>""</f>
        <v/>
      </c>
      <c r="CT489" t="str">
        <f>""</f>
        <v/>
      </c>
      <c r="CU489" t="str">
        <f>""</f>
        <v/>
      </c>
      <c r="CV489" t="str">
        <f>""</f>
        <v/>
      </c>
      <c r="CW489" t="str">
        <f>""</f>
        <v/>
      </c>
      <c r="CX489" t="str">
        <f>""</f>
        <v/>
      </c>
      <c r="CY489" t="str">
        <f>""</f>
        <v/>
      </c>
      <c r="CZ489" t="str">
        <f>""</f>
        <v/>
      </c>
      <c r="DA489" t="str">
        <f>""</f>
        <v/>
      </c>
      <c r="DB489" t="str">
        <f>""</f>
        <v/>
      </c>
      <c r="DC489" t="str">
        <f>""</f>
        <v/>
      </c>
      <c r="DD489" t="str">
        <f>""</f>
        <v/>
      </c>
      <c r="DE489" t="str">
        <f>""</f>
        <v/>
      </c>
      <c r="DF489" t="str">
        <f>""</f>
        <v/>
      </c>
      <c r="DG489" t="str">
        <f>""</f>
        <v/>
      </c>
      <c r="DH489" t="str">
        <f>""</f>
        <v/>
      </c>
      <c r="DI489" t="str">
        <f>""</f>
        <v/>
      </c>
      <c r="DJ489" t="str">
        <f>""</f>
        <v/>
      </c>
      <c r="DK489" t="str">
        <f>""</f>
        <v/>
      </c>
      <c r="DL489" t="str">
        <f>""</f>
        <v/>
      </c>
      <c r="DM489" t="str">
        <f>""</f>
        <v/>
      </c>
      <c r="DN489" t="str">
        <f>""</f>
        <v/>
      </c>
      <c r="DO489" t="str">
        <f>""</f>
        <v/>
      </c>
      <c r="DP489" t="str">
        <f>""</f>
        <v/>
      </c>
      <c r="DQ489" t="str">
        <f>""</f>
        <v/>
      </c>
      <c r="DR489" t="str">
        <f>""</f>
        <v/>
      </c>
      <c r="DS489" t="str">
        <f>""</f>
        <v/>
      </c>
      <c r="DT489" t="str">
        <f>""</f>
        <v/>
      </c>
      <c r="DU489" t="str">
        <f>""</f>
        <v/>
      </c>
    </row>
    <row r="490" spans="1:125">
      <c r="A490" t="str">
        <f>"Snapshot Date"</f>
        <v>Snapshot Date</v>
      </c>
      <c r="B490">
        <f>DATE(2018, 3,31)</f>
        <v>43190</v>
      </c>
      <c r="C490" t="str">
        <f>""</f>
        <v/>
      </c>
      <c r="D490" t="str">
        <f>""</f>
        <v/>
      </c>
      <c r="E490" t="str">
        <f>""</f>
        <v/>
      </c>
      <c r="BN490" t="str">
        <f>""</f>
        <v/>
      </c>
      <c r="BO490" t="str">
        <f>""</f>
        <v/>
      </c>
      <c r="BP490" t="str">
        <f>""</f>
        <v/>
      </c>
      <c r="BQ490" t="str">
        <f>""</f>
        <v/>
      </c>
      <c r="BR490" t="str">
        <f>""</f>
        <v/>
      </c>
      <c r="BS490" t="str">
        <f>""</f>
        <v/>
      </c>
      <c r="BT490" t="str">
        <f>""</f>
        <v/>
      </c>
      <c r="BU490" t="str">
        <f>""</f>
        <v/>
      </c>
      <c r="BV490" t="str">
        <f>""</f>
        <v/>
      </c>
      <c r="BW490" t="str">
        <f>""</f>
        <v/>
      </c>
      <c r="BX490" t="str">
        <f>""</f>
        <v/>
      </c>
      <c r="BY490" t="str">
        <f>""</f>
        <v/>
      </c>
      <c r="BZ490" t="str">
        <f>""</f>
        <v/>
      </c>
      <c r="CA490" t="str">
        <f>""</f>
        <v/>
      </c>
      <c r="CB490" t="str">
        <f>""</f>
        <v/>
      </c>
      <c r="CC490" t="str">
        <f>""</f>
        <v/>
      </c>
      <c r="CD490" t="str">
        <f>""</f>
        <v/>
      </c>
      <c r="CE490" t="str">
        <f>""</f>
        <v/>
      </c>
      <c r="CF490" t="str">
        <f>""</f>
        <v/>
      </c>
      <c r="CG490" t="str">
        <f>""</f>
        <v/>
      </c>
      <c r="CH490" t="str">
        <f>""</f>
        <v/>
      </c>
      <c r="CI490" t="str">
        <f>""</f>
        <v/>
      </c>
      <c r="CJ490" t="str">
        <f>""</f>
        <v/>
      </c>
      <c r="CK490" t="str">
        <f>""</f>
        <v/>
      </c>
      <c r="CL490" t="str">
        <f>""</f>
        <v/>
      </c>
      <c r="CM490" t="str">
        <f>""</f>
        <v/>
      </c>
      <c r="CN490" t="str">
        <f>""</f>
        <v/>
      </c>
      <c r="CO490" t="str">
        <f>""</f>
        <v/>
      </c>
      <c r="CP490" t="str">
        <f>""</f>
        <v/>
      </c>
      <c r="CQ490" t="str">
        <f>""</f>
        <v/>
      </c>
      <c r="CR490" t="str">
        <f>""</f>
        <v/>
      </c>
      <c r="CS490" t="str">
        <f>""</f>
        <v/>
      </c>
      <c r="CT490" t="str">
        <f>""</f>
        <v/>
      </c>
      <c r="CU490" t="str">
        <f>""</f>
        <v/>
      </c>
      <c r="CV490" t="str">
        <f>""</f>
        <v/>
      </c>
      <c r="CW490" t="str">
        <f>""</f>
        <v/>
      </c>
      <c r="CX490" t="str">
        <f>""</f>
        <v/>
      </c>
      <c r="CY490" t="str">
        <f>""</f>
        <v/>
      </c>
      <c r="CZ490" t="str">
        <f>""</f>
        <v/>
      </c>
      <c r="DA490" t="str">
        <f>""</f>
        <v/>
      </c>
      <c r="DB490" t="str">
        <f>""</f>
        <v/>
      </c>
      <c r="DC490" t="str">
        <f>""</f>
        <v/>
      </c>
      <c r="DD490" t="str">
        <f>""</f>
        <v/>
      </c>
      <c r="DE490" t="str">
        <f>""</f>
        <v/>
      </c>
      <c r="DF490" t="str">
        <f>""</f>
        <v/>
      </c>
      <c r="DG490" t="str">
        <f>""</f>
        <v/>
      </c>
      <c r="DH490" t="str">
        <f>""</f>
        <v/>
      </c>
      <c r="DI490" t="str">
        <f>""</f>
        <v/>
      </c>
      <c r="DJ490" t="str">
        <f>""</f>
        <v/>
      </c>
      <c r="DK490" t="str">
        <f>""</f>
        <v/>
      </c>
      <c r="DL490" t="str">
        <f>""</f>
        <v/>
      </c>
      <c r="DM490" t="str">
        <f>""</f>
        <v/>
      </c>
      <c r="DN490" t="str">
        <f>""</f>
        <v/>
      </c>
      <c r="DO490" t="str">
        <f>""</f>
        <v/>
      </c>
      <c r="DP490" t="str">
        <f>""</f>
        <v/>
      </c>
      <c r="DQ490" t="str">
        <f>""</f>
        <v/>
      </c>
      <c r="DR490" t="str">
        <f>""</f>
        <v/>
      </c>
      <c r="DS490" t="str">
        <f>""</f>
        <v/>
      </c>
      <c r="DT490" t="str">
        <f>""</f>
        <v/>
      </c>
      <c r="DU490" t="str">
        <f>""</f>
        <v/>
      </c>
    </row>
    <row r="491" spans="1:125">
      <c r="A491" t="str">
        <f>"Snapshot header"</f>
        <v>Snapshot header</v>
      </c>
      <c r="B491">
        <f>2</f>
        <v>2</v>
      </c>
      <c r="C491" t="str">
        <f>"2018 Q1"</f>
        <v>2018 Q1</v>
      </c>
      <c r="D491" t="str">
        <f>"2017 Q4"</f>
        <v>2017 Q4</v>
      </c>
      <c r="E491" t="str">
        <f>"2017 Q3"</f>
        <v>2017 Q3</v>
      </c>
      <c r="F491" t="str">
        <f>"2017 Q2"</f>
        <v>2017 Q2</v>
      </c>
      <c r="G491" t="str">
        <f>"2017 Q1"</f>
        <v>2017 Q1</v>
      </c>
      <c r="H491" t="str">
        <f>"2016 Q4"</f>
        <v>2016 Q4</v>
      </c>
      <c r="I491" t="str">
        <f>"2016 Q3"</f>
        <v>2016 Q3</v>
      </c>
      <c r="J491" t="str">
        <f>"2016 Q2"</f>
        <v>2016 Q2</v>
      </c>
      <c r="K491" t="str">
        <f>"2016 Q1"</f>
        <v>2016 Q1</v>
      </c>
      <c r="L491" t="str">
        <f>"2015 Q4"</f>
        <v>2015 Q4</v>
      </c>
      <c r="M491" t="str">
        <f>"2015 Q3"</f>
        <v>2015 Q3</v>
      </c>
      <c r="N491" t="str">
        <f>"2015 Q2"</f>
        <v>2015 Q2</v>
      </c>
      <c r="O491" t="str">
        <f>"2015 Q1"</f>
        <v>2015 Q1</v>
      </c>
      <c r="P491" t="str">
        <f>"2014 Q4"</f>
        <v>2014 Q4</v>
      </c>
      <c r="Q491" t="str">
        <f>"2014 Q3"</f>
        <v>2014 Q3</v>
      </c>
      <c r="R491" t="str">
        <f>"2014 Q2"</f>
        <v>2014 Q2</v>
      </c>
      <c r="S491" t="str">
        <f>"2014 Q1"</f>
        <v>2014 Q1</v>
      </c>
      <c r="T491" t="str">
        <f>"2013 Q4"</f>
        <v>2013 Q4</v>
      </c>
      <c r="U491" t="str">
        <f>"2013 Q3"</f>
        <v>2013 Q3</v>
      </c>
      <c r="V491" t="str">
        <f>"2013 Q2"</f>
        <v>2013 Q2</v>
      </c>
      <c r="W491" t="str">
        <f>"2013 Q1"</f>
        <v>2013 Q1</v>
      </c>
      <c r="X491" t="str">
        <f>"2012 Q4"</f>
        <v>2012 Q4</v>
      </c>
      <c r="Y491" t="str">
        <f>"2012 Q3"</f>
        <v>2012 Q3</v>
      </c>
      <c r="Z491" t="str">
        <f>"2012 Q2"</f>
        <v>2012 Q2</v>
      </c>
      <c r="AA491" t="str">
        <f>"2012 Q1"</f>
        <v>2012 Q1</v>
      </c>
      <c r="AB491" t="str">
        <f>"2011 Q4"</f>
        <v>2011 Q4</v>
      </c>
      <c r="AC491" t="str">
        <f>"2011 Q3"</f>
        <v>2011 Q3</v>
      </c>
      <c r="AD491" t="str">
        <f>"2011 Q2"</f>
        <v>2011 Q2</v>
      </c>
      <c r="AE491" t="str">
        <f>"2011 Q1"</f>
        <v>2011 Q1</v>
      </c>
      <c r="AF491" t="str">
        <f>"2010 Q4"</f>
        <v>2010 Q4</v>
      </c>
      <c r="AG491" t="str">
        <f>"2010 Q3"</f>
        <v>2010 Q3</v>
      </c>
      <c r="AH491" t="str">
        <f>"2010 Q2"</f>
        <v>2010 Q2</v>
      </c>
      <c r="AI491" t="str">
        <f>"2010 Q1"</f>
        <v>2010 Q1</v>
      </c>
      <c r="AJ491" t="str">
        <f>"2009 Q4"</f>
        <v>2009 Q4</v>
      </c>
      <c r="AK491" t="str">
        <f>"2009 Q3"</f>
        <v>2009 Q3</v>
      </c>
      <c r="AL491" t="str">
        <f>"2009 Q2"</f>
        <v>2009 Q2</v>
      </c>
      <c r="AM491" t="str">
        <f>"2009 Q1"</f>
        <v>2009 Q1</v>
      </c>
      <c r="AN491" t="str">
        <f>"2008 Q4"</f>
        <v>2008 Q4</v>
      </c>
      <c r="AO491" t="str">
        <f>"2008 Q3"</f>
        <v>2008 Q3</v>
      </c>
      <c r="AP491" t="str">
        <f>"2008 Q2"</f>
        <v>2008 Q2</v>
      </c>
      <c r="AQ491" t="str">
        <f>"2008 Q1"</f>
        <v>2008 Q1</v>
      </c>
      <c r="AR491" t="str">
        <f>"2007 Q4"</f>
        <v>2007 Q4</v>
      </c>
      <c r="AS491" t="str">
        <f>"2007 Q3"</f>
        <v>2007 Q3</v>
      </c>
      <c r="AT491" t="str">
        <f>"2007 Q2"</f>
        <v>2007 Q2</v>
      </c>
      <c r="AU491" t="str">
        <f>"2007 Q1"</f>
        <v>2007 Q1</v>
      </c>
      <c r="AV491" t="str">
        <f>"2006 Q4"</f>
        <v>2006 Q4</v>
      </c>
      <c r="AW491" t="str">
        <f>"2006 Q3"</f>
        <v>2006 Q3</v>
      </c>
      <c r="AX491" t="str">
        <f>"2006 Q2"</f>
        <v>2006 Q2</v>
      </c>
      <c r="AY491" t="str">
        <f>"2006 Q1"</f>
        <v>2006 Q1</v>
      </c>
      <c r="AZ491" t="str">
        <f>"2005 Q4"</f>
        <v>2005 Q4</v>
      </c>
      <c r="BA491" t="str">
        <f>"2005 Q3"</f>
        <v>2005 Q3</v>
      </c>
      <c r="BB491" t="str">
        <f>"2005 Q2"</f>
        <v>2005 Q2</v>
      </c>
      <c r="BC491" t="str">
        <f>"2005 Q1"</f>
        <v>2005 Q1</v>
      </c>
      <c r="BD491" t="str">
        <f>"2004 Q4"</f>
        <v>2004 Q4</v>
      </c>
      <c r="BE491" t="str">
        <f>"2004 Q3"</f>
        <v>2004 Q3</v>
      </c>
      <c r="BF491" t="str">
        <f>"2004 Q2"</f>
        <v>2004 Q2</v>
      </c>
      <c r="BG491" t="str">
        <f>"2004 Q1"</f>
        <v>2004 Q1</v>
      </c>
      <c r="BH491" t="str">
        <f>"2003 Q4"</f>
        <v>2003 Q4</v>
      </c>
      <c r="BI491" t="str">
        <f>"2003 Q3"</f>
        <v>2003 Q3</v>
      </c>
      <c r="BJ491" t="str">
        <f>"2003 Q2"</f>
        <v>2003 Q2</v>
      </c>
      <c r="BN491" t="str">
        <f>""</f>
        <v/>
      </c>
      <c r="BO491" t="str">
        <f>""</f>
        <v/>
      </c>
      <c r="BP491" t="str">
        <f>""</f>
        <v/>
      </c>
      <c r="BQ491" t="str">
        <f>""</f>
        <v/>
      </c>
      <c r="BR491" t="str">
        <f>""</f>
        <v/>
      </c>
      <c r="BS491" t="str">
        <f>""</f>
        <v/>
      </c>
      <c r="BT491" t="str">
        <f>""</f>
        <v/>
      </c>
      <c r="BU491" t="str">
        <f>""</f>
        <v/>
      </c>
      <c r="BV491" t="str">
        <f>""</f>
        <v/>
      </c>
      <c r="BW491" t="str">
        <f>""</f>
        <v/>
      </c>
      <c r="BX491" t="str">
        <f>""</f>
        <v/>
      </c>
      <c r="BY491" t="str">
        <f>""</f>
        <v/>
      </c>
      <c r="BZ491" t="str">
        <f>""</f>
        <v/>
      </c>
      <c r="CA491" t="str">
        <f>""</f>
        <v/>
      </c>
      <c r="CB491" t="str">
        <f>""</f>
        <v/>
      </c>
      <c r="CC491" t="str">
        <f>""</f>
        <v/>
      </c>
      <c r="CD491" t="str">
        <f>""</f>
        <v/>
      </c>
      <c r="CE491" t="str">
        <f>""</f>
        <v/>
      </c>
      <c r="CF491" t="str">
        <f>""</f>
        <v/>
      </c>
      <c r="CG491" t="str">
        <f>""</f>
        <v/>
      </c>
      <c r="CH491" t="str">
        <f>""</f>
        <v/>
      </c>
      <c r="CI491" t="str">
        <f>""</f>
        <v/>
      </c>
      <c r="CJ491" t="str">
        <f>""</f>
        <v/>
      </c>
      <c r="CK491" t="str">
        <f>""</f>
        <v/>
      </c>
      <c r="CL491" t="str">
        <f>""</f>
        <v/>
      </c>
      <c r="CM491" t="str">
        <f>""</f>
        <v/>
      </c>
      <c r="CN491" t="str">
        <f>""</f>
        <v/>
      </c>
      <c r="CO491" t="str">
        <f>""</f>
        <v/>
      </c>
      <c r="CP491" t="str">
        <f>""</f>
        <v/>
      </c>
      <c r="CQ491" t="str">
        <f>""</f>
        <v/>
      </c>
      <c r="CR491" t="str">
        <f>""</f>
        <v/>
      </c>
      <c r="CS491" t="str">
        <f>""</f>
        <v/>
      </c>
      <c r="CT491" t="str">
        <f>""</f>
        <v/>
      </c>
      <c r="CU491" t="str">
        <f>""</f>
        <v/>
      </c>
      <c r="CV491" t="str">
        <f>""</f>
        <v/>
      </c>
      <c r="CW491" t="str">
        <f>""</f>
        <v/>
      </c>
      <c r="CX491" t="str">
        <f>""</f>
        <v/>
      </c>
      <c r="CY491" t="str">
        <f>""</f>
        <v/>
      </c>
      <c r="CZ491" t="str">
        <f>""</f>
        <v/>
      </c>
      <c r="DA491" t="str">
        <f>""</f>
        <v/>
      </c>
      <c r="DB491" t="str">
        <f>""</f>
        <v/>
      </c>
      <c r="DC491" t="str">
        <f>""</f>
        <v/>
      </c>
      <c r="DD491" t="str">
        <f>""</f>
        <v/>
      </c>
      <c r="DE491" t="str">
        <f>""</f>
        <v/>
      </c>
      <c r="DF491" t="str">
        <f>""</f>
        <v/>
      </c>
      <c r="DG491" t="str">
        <f>""</f>
        <v/>
      </c>
      <c r="DH491" t="str">
        <f>""</f>
        <v/>
      </c>
      <c r="DI491" t="str">
        <f>""</f>
        <v/>
      </c>
      <c r="DJ491" t="str">
        <f>""</f>
        <v/>
      </c>
      <c r="DK491" t="str">
        <f>""</f>
        <v/>
      </c>
      <c r="DL491" t="str">
        <f>""</f>
        <v/>
      </c>
      <c r="DM491" t="str">
        <f>""</f>
        <v/>
      </c>
      <c r="DN491" t="str">
        <f>""</f>
        <v/>
      </c>
      <c r="DO491" t="str">
        <f>""</f>
        <v/>
      </c>
      <c r="DP491" t="str">
        <f>""</f>
        <v/>
      </c>
      <c r="DQ491" t="str">
        <f>""</f>
        <v/>
      </c>
      <c r="DR491" t="str">
        <f>""</f>
        <v/>
      </c>
      <c r="DS491" t="str">
        <f>""</f>
        <v/>
      </c>
      <c r="DT491" t="str">
        <f>""</f>
        <v/>
      </c>
      <c r="DU491" t="str">
        <f>""</f>
        <v/>
      </c>
    </row>
    <row r="492" spans="1:125">
      <c r="A492" t="str">
        <f>"BDH snapshot header0"</f>
        <v>BDH snapshot header0</v>
      </c>
      <c r="B492">
        <f>IF(OR(ISERROR($C$492),ISBLANK($C$492),ISNUMBER(SEARCH("N/A",$C$492) ),ISERROR($C$493),ISBLANK($C$493)),0,1)</f>
        <v>0</v>
      </c>
      <c r="C492" t="str">
        <f>BDH($B$4,$C$4,$B$256,$B$490,"PER=CQ","Dts=S","DtFmt=FI", "rows=2","Dir=H","Points=60","Sort=R","Days=A","Fill=B","FX=USD" )</f>
        <v>#N/A Authorization</v>
      </c>
      <c r="BN492" t="str">
        <f>""</f>
        <v/>
      </c>
      <c r="BO492" t="str">
        <f>""</f>
        <v/>
      </c>
      <c r="BP492" t="str">
        <f>""</f>
        <v/>
      </c>
      <c r="BQ492" t="str">
        <f>""</f>
        <v/>
      </c>
      <c r="BR492" t="str">
        <f>""</f>
        <v/>
      </c>
      <c r="BS492" t="str">
        <f>""</f>
        <v/>
      </c>
      <c r="BT492" t="str">
        <f>""</f>
        <v/>
      </c>
      <c r="BU492" t="str">
        <f>""</f>
        <v/>
      </c>
      <c r="BV492" t="str">
        <f>""</f>
        <v/>
      </c>
      <c r="BW492" t="str">
        <f>""</f>
        <v/>
      </c>
      <c r="BX492" t="str">
        <f>""</f>
        <v/>
      </c>
      <c r="BY492" t="str">
        <f>""</f>
        <v/>
      </c>
      <c r="BZ492" t="str">
        <f>""</f>
        <v/>
      </c>
      <c r="CA492" t="str">
        <f>""</f>
        <v/>
      </c>
      <c r="CB492" t="str">
        <f>""</f>
        <v/>
      </c>
      <c r="CC492" t="str">
        <f>""</f>
        <v/>
      </c>
      <c r="CD492" t="str">
        <f>""</f>
        <v/>
      </c>
      <c r="CE492" t="str">
        <f>""</f>
        <v/>
      </c>
      <c r="CF492" t="str">
        <f>""</f>
        <v/>
      </c>
      <c r="CG492" t="str">
        <f>""</f>
        <v/>
      </c>
      <c r="CH492" t="str">
        <f>""</f>
        <v/>
      </c>
      <c r="CI492" t="str">
        <f>""</f>
        <v/>
      </c>
      <c r="CJ492" t="str">
        <f>""</f>
        <v/>
      </c>
      <c r="CK492" t="str">
        <f>""</f>
        <v/>
      </c>
      <c r="CL492" t="str">
        <f>""</f>
        <v/>
      </c>
      <c r="CM492" t="str">
        <f>""</f>
        <v/>
      </c>
      <c r="CN492" t="str">
        <f>""</f>
        <v/>
      </c>
      <c r="CO492" t="str">
        <f>""</f>
        <v/>
      </c>
      <c r="CP492" t="str">
        <f>""</f>
        <v/>
      </c>
      <c r="CQ492" t="str">
        <f>""</f>
        <v/>
      </c>
      <c r="CR492" t="str">
        <f>""</f>
        <v/>
      </c>
      <c r="CS492" t="str">
        <f>""</f>
        <v/>
      </c>
      <c r="CT492" t="str">
        <f>""</f>
        <v/>
      </c>
      <c r="CU492" t="str">
        <f>""</f>
        <v/>
      </c>
      <c r="CV492" t="str">
        <f>""</f>
        <v/>
      </c>
      <c r="CW492" t="str">
        <f>""</f>
        <v/>
      </c>
      <c r="CX492" t="str">
        <f>""</f>
        <v/>
      </c>
      <c r="CY492" t="str">
        <f>""</f>
        <v/>
      </c>
      <c r="CZ492" t="str">
        <f>""</f>
        <v/>
      </c>
      <c r="DA492" t="str">
        <f>""</f>
        <v/>
      </c>
      <c r="DB492" t="str">
        <f>""</f>
        <v/>
      </c>
      <c r="DC492" t="str">
        <f>""</f>
        <v/>
      </c>
      <c r="DD492" t="str">
        <f>""</f>
        <v/>
      </c>
      <c r="DE492" t="str">
        <f>""</f>
        <v/>
      </c>
      <c r="DF492" t="str">
        <f>""</f>
        <v/>
      </c>
      <c r="DG492" t="str">
        <f>""</f>
        <v/>
      </c>
      <c r="DH492" t="str">
        <f>""</f>
        <v/>
      </c>
      <c r="DI492" t="str">
        <f>""</f>
        <v/>
      </c>
      <c r="DJ492" t="str">
        <f>""</f>
        <v/>
      </c>
      <c r="DK492" t="str">
        <f>""</f>
        <v/>
      </c>
      <c r="DL492" t="str">
        <f>""</f>
        <v/>
      </c>
      <c r="DM492" t="str">
        <f>""</f>
        <v/>
      </c>
      <c r="DN492" t="str">
        <f>""</f>
        <v/>
      </c>
      <c r="DO492" t="str">
        <f>""</f>
        <v/>
      </c>
      <c r="DP492" t="str">
        <f>""</f>
        <v/>
      </c>
      <c r="DQ492" t="str">
        <f>""</f>
        <v/>
      </c>
      <c r="DR492" t="str">
        <f>""</f>
        <v/>
      </c>
      <c r="DS492" t="str">
        <f>""</f>
        <v/>
      </c>
      <c r="DT492" t="str">
        <f>""</f>
        <v/>
      </c>
      <c r="DU492" t="str">
        <f>""</f>
        <v/>
      </c>
    </row>
    <row r="493" spans="1:125">
      <c r="A493" t="str">
        <f>"BDH snapshot result0"</f>
        <v>BDH snapshot result0</v>
      </c>
      <c r="BN493" t="str">
        <f>""</f>
        <v/>
      </c>
      <c r="BO493" t="str">
        <f>""</f>
        <v/>
      </c>
      <c r="BP493" t="str">
        <f>""</f>
        <v/>
      </c>
      <c r="BQ493" t="str">
        <f>""</f>
        <v/>
      </c>
      <c r="BR493" t="str">
        <f>""</f>
        <v/>
      </c>
      <c r="BS493" t="str">
        <f>""</f>
        <v/>
      </c>
      <c r="BT493" t="str">
        <f>""</f>
        <v/>
      </c>
      <c r="BU493" t="str">
        <f>""</f>
        <v/>
      </c>
      <c r="BV493" t="str">
        <f>""</f>
        <v/>
      </c>
      <c r="BW493" t="str">
        <f>""</f>
        <v/>
      </c>
      <c r="BX493" t="str">
        <f>""</f>
        <v/>
      </c>
      <c r="BY493" t="str">
        <f>""</f>
        <v/>
      </c>
      <c r="BZ493" t="str">
        <f>""</f>
        <v/>
      </c>
      <c r="CA493" t="str">
        <f>""</f>
        <v/>
      </c>
      <c r="CB493" t="str">
        <f>""</f>
        <v/>
      </c>
      <c r="CC493" t="str">
        <f>""</f>
        <v/>
      </c>
      <c r="CD493" t="str">
        <f>""</f>
        <v/>
      </c>
      <c r="CE493" t="str">
        <f>""</f>
        <v/>
      </c>
      <c r="CF493" t="str">
        <f>""</f>
        <v/>
      </c>
      <c r="CG493" t="str">
        <f>""</f>
        <v/>
      </c>
      <c r="CH493" t="str">
        <f>""</f>
        <v/>
      </c>
      <c r="CI493" t="str">
        <f>""</f>
        <v/>
      </c>
      <c r="CJ493" t="str">
        <f>""</f>
        <v/>
      </c>
      <c r="CK493" t="str">
        <f>""</f>
        <v/>
      </c>
      <c r="CL493" t="str">
        <f>""</f>
        <v/>
      </c>
      <c r="CM493" t="str">
        <f>""</f>
        <v/>
      </c>
      <c r="CN493" t="str">
        <f>""</f>
        <v/>
      </c>
      <c r="CO493" t="str">
        <f>""</f>
        <v/>
      </c>
      <c r="CP493" t="str">
        <f>""</f>
        <v/>
      </c>
      <c r="CQ493" t="str">
        <f>""</f>
        <v/>
      </c>
      <c r="CR493" t="str">
        <f>""</f>
        <v/>
      </c>
      <c r="CS493" t="str">
        <f>""</f>
        <v/>
      </c>
      <c r="CT493" t="str">
        <f>""</f>
        <v/>
      </c>
      <c r="CU493" t="str">
        <f>""</f>
        <v/>
      </c>
      <c r="CV493" t="str">
        <f>""</f>
        <v/>
      </c>
      <c r="CW493" t="str">
        <f>""</f>
        <v/>
      </c>
      <c r="CX493" t="str">
        <f>""</f>
        <v/>
      </c>
      <c r="CY493" t="str">
        <f>""</f>
        <v/>
      </c>
      <c r="CZ493" t="str">
        <f>""</f>
        <v/>
      </c>
      <c r="DA493" t="str">
        <f>""</f>
        <v/>
      </c>
      <c r="DB493" t="str">
        <f>""</f>
        <v/>
      </c>
      <c r="DC493" t="str">
        <f>""</f>
        <v/>
      </c>
      <c r="DD493" t="str">
        <f>""</f>
        <v/>
      </c>
      <c r="DE493" t="str">
        <f>""</f>
        <v/>
      </c>
      <c r="DF493" t="str">
        <f>""</f>
        <v/>
      </c>
      <c r="DG493" t="str">
        <f>""</f>
        <v/>
      </c>
      <c r="DH493" t="str">
        <f>""</f>
        <v/>
      </c>
      <c r="DI493" t="str">
        <f>""</f>
        <v/>
      </c>
      <c r="DJ493" t="str">
        <f>""</f>
        <v/>
      </c>
      <c r="DK493" t="str">
        <f>""</f>
        <v/>
      </c>
      <c r="DL493" t="str">
        <f>""</f>
        <v/>
      </c>
      <c r="DM493" t="str">
        <f>""</f>
        <v/>
      </c>
      <c r="DN493" t="str">
        <f>""</f>
        <v/>
      </c>
      <c r="DO493" t="str">
        <f>""</f>
        <v/>
      </c>
      <c r="DP493" t="str">
        <f>""</f>
        <v/>
      </c>
      <c r="DQ493" t="str">
        <f>""</f>
        <v/>
      </c>
      <c r="DR493" t="str">
        <f>""</f>
        <v/>
      </c>
      <c r="DS493" t="str">
        <f>""</f>
        <v/>
      </c>
      <c r="DT493" t="str">
        <f>""</f>
        <v/>
      </c>
      <c r="DU493" t="str">
        <f>""</f>
        <v/>
      </c>
    </row>
    <row r="494" spans="1:125">
      <c r="A494" t="str">
        <f>"BDH snapshot header1"</f>
        <v>BDH snapshot header1</v>
      </c>
      <c r="B494">
        <f>IF(OR(ISERROR($C$494),ISBLANK($C$494),ISNUMBER(SEARCH("N/A",$C$494) ),ISERROR($C$495),ISBLANK($C$495)),0,1)</f>
        <v>0</v>
      </c>
      <c r="C494" t="str">
        <f>BDH($B$5,$C$5,$B$256,$B$490,"PER=CQ","Dts=S","DtFmt=FI", "rows=2","Dir=H","Points=60","Sort=R","Days=A","Fill=B","FX=USD" )</f>
        <v>#N/A Authorization</v>
      </c>
      <c r="BN494" t="str">
        <f>""</f>
        <v/>
      </c>
      <c r="BO494" t="str">
        <f>""</f>
        <v/>
      </c>
      <c r="BP494" t="str">
        <f>""</f>
        <v/>
      </c>
      <c r="BQ494" t="str">
        <f>""</f>
        <v/>
      </c>
      <c r="BR494" t="str">
        <f>""</f>
        <v/>
      </c>
      <c r="BS494" t="str">
        <f>""</f>
        <v/>
      </c>
      <c r="BT494" t="str">
        <f>""</f>
        <v/>
      </c>
      <c r="BU494" t="str">
        <f>""</f>
        <v/>
      </c>
      <c r="BV494" t="str">
        <f>""</f>
        <v/>
      </c>
      <c r="BW494" t="str">
        <f>""</f>
        <v/>
      </c>
      <c r="BX494" t="str">
        <f>""</f>
        <v/>
      </c>
      <c r="BY494" t="str">
        <f>""</f>
        <v/>
      </c>
      <c r="BZ494" t="str">
        <f>""</f>
        <v/>
      </c>
      <c r="CA494" t="str">
        <f>""</f>
        <v/>
      </c>
      <c r="CB494" t="str">
        <f>""</f>
        <v/>
      </c>
      <c r="CC494" t="str">
        <f>""</f>
        <v/>
      </c>
      <c r="CD494" t="str">
        <f>""</f>
        <v/>
      </c>
      <c r="CE494" t="str">
        <f>""</f>
        <v/>
      </c>
      <c r="CF494" t="str">
        <f>""</f>
        <v/>
      </c>
      <c r="CG494" t="str">
        <f>""</f>
        <v/>
      </c>
      <c r="CH494" t="str">
        <f>""</f>
        <v/>
      </c>
      <c r="CI494" t="str">
        <f>""</f>
        <v/>
      </c>
      <c r="CJ494" t="str">
        <f>""</f>
        <v/>
      </c>
      <c r="CK494" t="str">
        <f>""</f>
        <v/>
      </c>
      <c r="CL494" t="str">
        <f>""</f>
        <v/>
      </c>
      <c r="CM494" t="str">
        <f>""</f>
        <v/>
      </c>
      <c r="CN494" t="str">
        <f>""</f>
        <v/>
      </c>
      <c r="CO494" t="str">
        <f>""</f>
        <v/>
      </c>
      <c r="CP494" t="str">
        <f>""</f>
        <v/>
      </c>
      <c r="CQ494" t="str">
        <f>""</f>
        <v/>
      </c>
      <c r="CR494" t="str">
        <f>""</f>
        <v/>
      </c>
      <c r="CS494" t="str">
        <f>""</f>
        <v/>
      </c>
      <c r="CT494" t="str">
        <f>""</f>
        <v/>
      </c>
      <c r="CU494" t="str">
        <f>""</f>
        <v/>
      </c>
      <c r="CV494" t="str">
        <f>""</f>
        <v/>
      </c>
      <c r="CW494" t="str">
        <f>""</f>
        <v/>
      </c>
      <c r="CX494" t="str">
        <f>""</f>
        <v/>
      </c>
      <c r="CY494" t="str">
        <f>""</f>
        <v/>
      </c>
      <c r="CZ494" t="str">
        <f>""</f>
        <v/>
      </c>
      <c r="DA494" t="str">
        <f>""</f>
        <v/>
      </c>
      <c r="DB494" t="str">
        <f>""</f>
        <v/>
      </c>
      <c r="DC494" t="str">
        <f>""</f>
        <v/>
      </c>
      <c r="DD494" t="str">
        <f>""</f>
        <v/>
      </c>
      <c r="DE494" t="str">
        <f>""</f>
        <v/>
      </c>
      <c r="DF494" t="str">
        <f>""</f>
        <v/>
      </c>
      <c r="DG494" t="str">
        <f>""</f>
        <v/>
      </c>
      <c r="DH494" t="str">
        <f>""</f>
        <v/>
      </c>
      <c r="DI494" t="str">
        <f>""</f>
        <v/>
      </c>
      <c r="DJ494" t="str">
        <f>""</f>
        <v/>
      </c>
      <c r="DK494" t="str">
        <f>""</f>
        <v/>
      </c>
      <c r="DL494" t="str">
        <f>""</f>
        <v/>
      </c>
      <c r="DM494" t="str">
        <f>""</f>
        <v/>
      </c>
      <c r="DN494" t="str">
        <f>""</f>
        <v/>
      </c>
      <c r="DO494" t="str">
        <f>""</f>
        <v/>
      </c>
      <c r="DP494" t="str">
        <f>""</f>
        <v/>
      </c>
      <c r="DQ494" t="str">
        <f>""</f>
        <v/>
      </c>
      <c r="DR494" t="str">
        <f>""</f>
        <v/>
      </c>
      <c r="DS494" t="str">
        <f>""</f>
        <v/>
      </c>
      <c r="DT494" t="str">
        <f>""</f>
        <v/>
      </c>
      <c r="DU494" t="str">
        <f>""</f>
        <v/>
      </c>
    </row>
    <row r="495" spans="1:125">
      <c r="A495" t="str">
        <f>"BDH snapshot result1"</f>
        <v>BDH snapshot result1</v>
      </c>
      <c r="BN495" t="str">
        <f>""</f>
        <v/>
      </c>
      <c r="BO495" t="str">
        <f>""</f>
        <v/>
      </c>
      <c r="BP495" t="str">
        <f>""</f>
        <v/>
      </c>
      <c r="BQ495" t="str">
        <f>""</f>
        <v/>
      </c>
      <c r="BR495" t="str">
        <f>""</f>
        <v/>
      </c>
      <c r="BS495" t="str">
        <f>""</f>
        <v/>
      </c>
      <c r="BT495" t="str">
        <f>""</f>
        <v/>
      </c>
      <c r="BU495" t="str">
        <f>""</f>
        <v/>
      </c>
      <c r="BV495" t="str">
        <f>""</f>
        <v/>
      </c>
      <c r="BW495" t="str">
        <f>""</f>
        <v/>
      </c>
      <c r="BX495" t="str">
        <f>""</f>
        <v/>
      </c>
      <c r="BY495" t="str">
        <f>""</f>
        <v/>
      </c>
      <c r="BZ495" t="str">
        <f>""</f>
        <v/>
      </c>
      <c r="CA495" t="str">
        <f>""</f>
        <v/>
      </c>
      <c r="CB495" t="str">
        <f>""</f>
        <v/>
      </c>
      <c r="CC495" t="str">
        <f>""</f>
        <v/>
      </c>
      <c r="CD495" t="str">
        <f>""</f>
        <v/>
      </c>
      <c r="CE495" t="str">
        <f>""</f>
        <v/>
      </c>
      <c r="CF495" t="str">
        <f>""</f>
        <v/>
      </c>
      <c r="CG495" t="str">
        <f>""</f>
        <v/>
      </c>
      <c r="CH495" t="str">
        <f>""</f>
        <v/>
      </c>
      <c r="CI495" t="str">
        <f>""</f>
        <v/>
      </c>
      <c r="CJ495" t="str">
        <f>""</f>
        <v/>
      </c>
      <c r="CK495" t="str">
        <f>""</f>
        <v/>
      </c>
      <c r="CL495" t="str">
        <f>""</f>
        <v/>
      </c>
      <c r="CM495" t="str">
        <f>""</f>
        <v/>
      </c>
      <c r="CN495" t="str">
        <f>""</f>
        <v/>
      </c>
      <c r="CO495" t="str">
        <f>""</f>
        <v/>
      </c>
      <c r="CP495" t="str">
        <f>""</f>
        <v/>
      </c>
      <c r="CQ495" t="str">
        <f>""</f>
        <v/>
      </c>
      <c r="CR495" t="str">
        <f>""</f>
        <v/>
      </c>
      <c r="CS495" t="str">
        <f>""</f>
        <v/>
      </c>
      <c r="CT495" t="str">
        <f>""</f>
        <v/>
      </c>
      <c r="CU495" t="str">
        <f>""</f>
        <v/>
      </c>
      <c r="CV495" t="str">
        <f>""</f>
        <v/>
      </c>
      <c r="CW495" t="str">
        <f>""</f>
        <v/>
      </c>
      <c r="CX495" t="str">
        <f>""</f>
        <v/>
      </c>
      <c r="CY495" t="str">
        <f>""</f>
        <v/>
      </c>
      <c r="CZ495" t="str">
        <f>""</f>
        <v/>
      </c>
      <c r="DA495" t="str">
        <f>""</f>
        <v/>
      </c>
      <c r="DB495" t="str">
        <f>""</f>
        <v/>
      </c>
      <c r="DC495" t="str">
        <f>""</f>
        <v/>
      </c>
      <c r="DD495" t="str">
        <f>""</f>
        <v/>
      </c>
      <c r="DE495" t="str">
        <f>""</f>
        <v/>
      </c>
      <c r="DF495" t="str">
        <f>""</f>
        <v/>
      </c>
      <c r="DG495" t="str">
        <f>""</f>
        <v/>
      </c>
      <c r="DH495" t="str">
        <f>""</f>
        <v/>
      </c>
      <c r="DI495" t="str">
        <f>""</f>
        <v/>
      </c>
      <c r="DJ495" t="str">
        <f>""</f>
        <v/>
      </c>
      <c r="DK495" t="str">
        <f>""</f>
        <v/>
      </c>
      <c r="DL495" t="str">
        <f>""</f>
        <v/>
      </c>
      <c r="DM495" t="str">
        <f>""</f>
        <v/>
      </c>
      <c r="DN495" t="str">
        <f>""</f>
        <v/>
      </c>
      <c r="DO495" t="str">
        <f>""</f>
        <v/>
      </c>
      <c r="DP495" t="str">
        <f>""</f>
        <v/>
      </c>
      <c r="DQ495" t="str">
        <f>""</f>
        <v/>
      </c>
      <c r="DR495" t="str">
        <f>""</f>
        <v/>
      </c>
      <c r="DS495" t="str">
        <f>""</f>
        <v/>
      </c>
      <c r="DT495" t="str">
        <f>""</f>
        <v/>
      </c>
      <c r="DU495" t="str">
        <f>""</f>
        <v/>
      </c>
    </row>
    <row r="496" spans="1:125">
      <c r="A496" t="str">
        <f>"BDH snapshot header2"</f>
        <v>BDH snapshot header2</v>
      </c>
      <c r="B496">
        <f>IF(OR(ISERROR($C$496),ISBLANK($C$496),ISNUMBER(SEARCH("N/A",$C$496) ),ISERROR($C$497),ISBLANK($C$497)),0,1)</f>
        <v>0</v>
      </c>
      <c r="C496" t="str">
        <f>BDH($B$6,$C$6,$B$256,$B$490,"PER=CQ","Dts=S","DtFmt=FI", "rows=2","Dir=H","Points=60","Sort=R","Days=A","Fill=B","FX=USD" )</f>
        <v>#N/A Authorization</v>
      </c>
      <c r="BN496" t="str">
        <f>""</f>
        <v/>
      </c>
      <c r="BO496" t="str">
        <f>""</f>
        <v/>
      </c>
      <c r="BP496" t="str">
        <f>""</f>
        <v/>
      </c>
      <c r="BQ496" t="str">
        <f>""</f>
        <v/>
      </c>
      <c r="BR496" t="str">
        <f>""</f>
        <v/>
      </c>
      <c r="BS496" t="str">
        <f>""</f>
        <v/>
      </c>
      <c r="BT496" t="str">
        <f>""</f>
        <v/>
      </c>
      <c r="BU496" t="str">
        <f>""</f>
        <v/>
      </c>
      <c r="BV496" t="str">
        <f>""</f>
        <v/>
      </c>
      <c r="BW496" t="str">
        <f>""</f>
        <v/>
      </c>
      <c r="BX496" t="str">
        <f>""</f>
        <v/>
      </c>
      <c r="BY496" t="str">
        <f>""</f>
        <v/>
      </c>
      <c r="BZ496" t="str">
        <f>""</f>
        <v/>
      </c>
      <c r="CA496" t="str">
        <f>""</f>
        <v/>
      </c>
      <c r="CB496" t="str">
        <f>""</f>
        <v/>
      </c>
      <c r="CC496" t="str">
        <f>""</f>
        <v/>
      </c>
      <c r="CD496" t="str">
        <f>""</f>
        <v/>
      </c>
      <c r="CE496" t="str">
        <f>""</f>
        <v/>
      </c>
      <c r="CF496" t="str">
        <f>""</f>
        <v/>
      </c>
      <c r="CG496" t="str">
        <f>""</f>
        <v/>
      </c>
      <c r="CH496" t="str">
        <f>""</f>
        <v/>
      </c>
      <c r="CI496" t="str">
        <f>""</f>
        <v/>
      </c>
      <c r="CJ496" t="str">
        <f>""</f>
        <v/>
      </c>
      <c r="CK496" t="str">
        <f>""</f>
        <v/>
      </c>
      <c r="CL496" t="str">
        <f>""</f>
        <v/>
      </c>
      <c r="CM496" t="str">
        <f>""</f>
        <v/>
      </c>
      <c r="CN496" t="str">
        <f>""</f>
        <v/>
      </c>
      <c r="CO496" t="str">
        <f>""</f>
        <v/>
      </c>
      <c r="CP496" t="str">
        <f>""</f>
        <v/>
      </c>
      <c r="CQ496" t="str">
        <f>""</f>
        <v/>
      </c>
      <c r="CR496" t="str">
        <f>""</f>
        <v/>
      </c>
      <c r="CS496" t="str">
        <f>""</f>
        <v/>
      </c>
      <c r="CT496" t="str">
        <f>""</f>
        <v/>
      </c>
      <c r="CU496" t="str">
        <f>""</f>
        <v/>
      </c>
      <c r="CV496" t="str">
        <f>""</f>
        <v/>
      </c>
      <c r="CW496" t="str">
        <f>""</f>
        <v/>
      </c>
      <c r="CX496" t="str">
        <f>""</f>
        <v/>
      </c>
      <c r="CY496" t="str">
        <f>""</f>
        <v/>
      </c>
      <c r="CZ496" t="str">
        <f>""</f>
        <v/>
      </c>
      <c r="DA496" t="str">
        <f>""</f>
        <v/>
      </c>
      <c r="DB496" t="str">
        <f>""</f>
        <v/>
      </c>
      <c r="DC496" t="str">
        <f>""</f>
        <v/>
      </c>
      <c r="DD496" t="str">
        <f>""</f>
        <v/>
      </c>
      <c r="DE496" t="str">
        <f>""</f>
        <v/>
      </c>
      <c r="DF496" t="str">
        <f>""</f>
        <v/>
      </c>
      <c r="DG496" t="str">
        <f>""</f>
        <v/>
      </c>
      <c r="DH496" t="str">
        <f>""</f>
        <v/>
      </c>
      <c r="DI496" t="str">
        <f>""</f>
        <v/>
      </c>
      <c r="DJ496" t="str">
        <f>""</f>
        <v/>
      </c>
      <c r="DK496" t="str">
        <f>""</f>
        <v/>
      </c>
      <c r="DL496" t="str">
        <f>""</f>
        <v/>
      </c>
      <c r="DM496" t="str">
        <f>""</f>
        <v/>
      </c>
      <c r="DN496" t="str">
        <f>""</f>
        <v/>
      </c>
      <c r="DO496" t="str">
        <f>""</f>
        <v/>
      </c>
      <c r="DP496" t="str">
        <f>""</f>
        <v/>
      </c>
      <c r="DQ496" t="str">
        <f>""</f>
        <v/>
      </c>
      <c r="DR496" t="str">
        <f>""</f>
        <v/>
      </c>
      <c r="DS496" t="str">
        <f>""</f>
        <v/>
      </c>
      <c r="DT496" t="str">
        <f>""</f>
        <v/>
      </c>
      <c r="DU496" t="str">
        <f>""</f>
        <v/>
      </c>
    </row>
    <row r="497" spans="1:125">
      <c r="A497" t="str">
        <f>"BDH snapshot result2"</f>
        <v>BDH snapshot result2</v>
      </c>
      <c r="BN497" t="str">
        <f>""</f>
        <v/>
      </c>
      <c r="BO497" t="str">
        <f>""</f>
        <v/>
      </c>
      <c r="BP497" t="str">
        <f>""</f>
        <v/>
      </c>
      <c r="BQ497" t="str">
        <f>""</f>
        <v/>
      </c>
      <c r="BR497" t="str">
        <f>""</f>
        <v/>
      </c>
      <c r="BS497" t="str">
        <f>""</f>
        <v/>
      </c>
      <c r="BT497" t="str">
        <f>""</f>
        <v/>
      </c>
      <c r="BU497" t="str">
        <f>""</f>
        <v/>
      </c>
      <c r="BV497" t="str">
        <f>""</f>
        <v/>
      </c>
      <c r="BW497" t="str">
        <f>""</f>
        <v/>
      </c>
      <c r="BX497" t="str">
        <f>""</f>
        <v/>
      </c>
      <c r="BY497" t="str">
        <f>""</f>
        <v/>
      </c>
      <c r="BZ497" t="str">
        <f>""</f>
        <v/>
      </c>
      <c r="CA497" t="str">
        <f>""</f>
        <v/>
      </c>
      <c r="CB497" t="str">
        <f>""</f>
        <v/>
      </c>
      <c r="CC497" t="str">
        <f>""</f>
        <v/>
      </c>
      <c r="CD497" t="str">
        <f>""</f>
        <v/>
      </c>
      <c r="CE497" t="str">
        <f>""</f>
        <v/>
      </c>
      <c r="CF497" t="str">
        <f>""</f>
        <v/>
      </c>
      <c r="CG497" t="str">
        <f>""</f>
        <v/>
      </c>
      <c r="CH497" t="str">
        <f>""</f>
        <v/>
      </c>
      <c r="CI497" t="str">
        <f>""</f>
        <v/>
      </c>
      <c r="CJ497" t="str">
        <f>""</f>
        <v/>
      </c>
      <c r="CK497" t="str">
        <f>""</f>
        <v/>
      </c>
      <c r="CL497" t="str">
        <f>""</f>
        <v/>
      </c>
      <c r="CM497" t="str">
        <f>""</f>
        <v/>
      </c>
      <c r="CN497" t="str">
        <f>""</f>
        <v/>
      </c>
      <c r="CO497" t="str">
        <f>""</f>
        <v/>
      </c>
      <c r="CP497" t="str">
        <f>""</f>
        <v/>
      </c>
      <c r="CQ497" t="str">
        <f>""</f>
        <v/>
      </c>
      <c r="CR497" t="str">
        <f>""</f>
        <v/>
      </c>
      <c r="CS497" t="str">
        <f>""</f>
        <v/>
      </c>
      <c r="CT497" t="str">
        <f>""</f>
        <v/>
      </c>
      <c r="CU497" t="str">
        <f>""</f>
        <v/>
      </c>
      <c r="CV497" t="str">
        <f>""</f>
        <v/>
      </c>
      <c r="CW497" t="str">
        <f>""</f>
        <v/>
      </c>
      <c r="CX497" t="str">
        <f>""</f>
        <v/>
      </c>
      <c r="CY497" t="str">
        <f>""</f>
        <v/>
      </c>
      <c r="CZ497" t="str">
        <f>""</f>
        <v/>
      </c>
      <c r="DA497" t="str">
        <f>""</f>
        <v/>
      </c>
      <c r="DB497" t="str">
        <f>""</f>
        <v/>
      </c>
      <c r="DC497" t="str">
        <f>""</f>
        <v/>
      </c>
      <c r="DD497" t="str">
        <f>""</f>
        <v/>
      </c>
      <c r="DE497" t="str">
        <f>""</f>
        <v/>
      </c>
      <c r="DF497" t="str">
        <f>""</f>
        <v/>
      </c>
      <c r="DG497" t="str">
        <f>""</f>
        <v/>
      </c>
      <c r="DH497" t="str">
        <f>""</f>
        <v/>
      </c>
      <c r="DI497" t="str">
        <f>""</f>
        <v/>
      </c>
      <c r="DJ497" t="str">
        <f>""</f>
        <v/>
      </c>
      <c r="DK497" t="str">
        <f>""</f>
        <v/>
      </c>
      <c r="DL497" t="str">
        <f>""</f>
        <v/>
      </c>
      <c r="DM497" t="str">
        <f>""</f>
        <v/>
      </c>
      <c r="DN497" t="str">
        <f>""</f>
        <v/>
      </c>
      <c r="DO497" t="str">
        <f>""</f>
        <v/>
      </c>
      <c r="DP497" t="str">
        <f>""</f>
        <v/>
      </c>
      <c r="DQ497" t="str">
        <f>""</f>
        <v/>
      </c>
      <c r="DR497" t="str">
        <f>""</f>
        <v/>
      </c>
      <c r="DS497" t="str">
        <f>""</f>
        <v/>
      </c>
      <c r="DT497" t="str">
        <f>""</f>
        <v/>
      </c>
      <c r="DU497" t="str">
        <f>""</f>
        <v/>
      </c>
    </row>
    <row r="498" spans="1:125">
      <c r="A498" t="str">
        <f>"BDH snapshot"</f>
        <v>BDH snapshot</v>
      </c>
      <c r="B498">
        <f>IF($B$492&gt;=1,$B$492,IF($B$494&gt;=1,$B$494,IF($B$496&gt;=1,$B$496,$B$491)))</f>
        <v>2</v>
      </c>
      <c r="C498" t="str">
        <f>IF($B$492&gt;=1,$C$492,IF($B$494&gt;=1,$C$494,IF($B$496&gt;=1,$C$496,$C$491)))</f>
        <v>2018 Q1</v>
      </c>
      <c r="D498" t="str">
        <f>IF($B$492&gt;=1,$D$492,IF($B$494&gt;=1,$D$494,IF($B$496&gt;=1,$D$496,$D$491)))</f>
        <v>2017 Q4</v>
      </c>
      <c r="E498" t="str">
        <f>IF($B$492&gt;=1,$E$492,IF($B$494&gt;=1,$E$494,IF($B$496&gt;=1,$E$496,$E$491)))</f>
        <v>2017 Q3</v>
      </c>
      <c r="F498" t="str">
        <f>IF($B$492&gt;=1,$F$492,IF($B$494&gt;=1,$F$494,IF($B$496&gt;=1,$F$496,$F$491)))</f>
        <v>2017 Q2</v>
      </c>
      <c r="G498" t="str">
        <f>IF($B$492&gt;=1,$G$492,IF($B$494&gt;=1,$G$494,IF($B$496&gt;=1,$G$496,$G$491)))</f>
        <v>2017 Q1</v>
      </c>
      <c r="H498" t="str">
        <f>IF($B$492&gt;=1,$H$492,IF($B$494&gt;=1,$H$494,IF($B$496&gt;=1,$H$496,$H$491)))</f>
        <v>2016 Q4</v>
      </c>
      <c r="I498" t="str">
        <f>IF($B$492&gt;=1,$I$492,IF($B$494&gt;=1,$I$494,IF($B$496&gt;=1,$I$496,$I$491)))</f>
        <v>2016 Q3</v>
      </c>
      <c r="J498" t="str">
        <f>IF($B$492&gt;=1,$J$492,IF($B$494&gt;=1,$J$494,IF($B$496&gt;=1,$J$496,$J$491)))</f>
        <v>2016 Q2</v>
      </c>
      <c r="K498" t="str">
        <f>IF($B$492&gt;=1,$K$492,IF($B$494&gt;=1,$K$494,IF($B$496&gt;=1,$K$496,$K$491)))</f>
        <v>2016 Q1</v>
      </c>
      <c r="L498" t="str">
        <f>IF($B$492&gt;=1,$L$492,IF($B$494&gt;=1,$L$494,IF($B$496&gt;=1,$L$496,$L$491)))</f>
        <v>2015 Q4</v>
      </c>
      <c r="M498" t="str">
        <f>IF($B$492&gt;=1,$M$492,IF($B$494&gt;=1,$M$494,IF($B$496&gt;=1,$M$496,$M$491)))</f>
        <v>2015 Q3</v>
      </c>
      <c r="N498" t="str">
        <f>IF($B$492&gt;=1,$N$492,IF($B$494&gt;=1,$N$494,IF($B$496&gt;=1,$N$496,$N$491)))</f>
        <v>2015 Q2</v>
      </c>
      <c r="O498" t="str">
        <f>IF($B$492&gt;=1,$O$492,IF($B$494&gt;=1,$O$494,IF($B$496&gt;=1,$O$496,$O$491)))</f>
        <v>2015 Q1</v>
      </c>
      <c r="P498" t="str">
        <f>IF($B$492&gt;=1,$P$492,IF($B$494&gt;=1,$P$494,IF($B$496&gt;=1,$P$496,$P$491)))</f>
        <v>2014 Q4</v>
      </c>
      <c r="Q498" t="str">
        <f>IF($B$492&gt;=1,$Q$492,IF($B$494&gt;=1,$Q$494,IF($B$496&gt;=1,$Q$496,$Q$491)))</f>
        <v>2014 Q3</v>
      </c>
      <c r="R498" t="str">
        <f>IF($B$492&gt;=1,$R$492,IF($B$494&gt;=1,$R$494,IF($B$496&gt;=1,$R$496,$R$491)))</f>
        <v>2014 Q2</v>
      </c>
      <c r="S498" t="str">
        <f>IF($B$492&gt;=1,$S$492,IF($B$494&gt;=1,$S$494,IF($B$496&gt;=1,$S$496,$S$491)))</f>
        <v>2014 Q1</v>
      </c>
      <c r="T498" t="str">
        <f>IF($B$492&gt;=1,$T$492,IF($B$494&gt;=1,$T$494,IF($B$496&gt;=1,$T$496,$T$491)))</f>
        <v>2013 Q4</v>
      </c>
      <c r="U498" t="str">
        <f>IF($B$492&gt;=1,$U$492,IF($B$494&gt;=1,$U$494,IF($B$496&gt;=1,$U$496,$U$491)))</f>
        <v>2013 Q3</v>
      </c>
      <c r="V498" t="str">
        <f>IF($B$492&gt;=1,$V$492,IF($B$494&gt;=1,$V$494,IF($B$496&gt;=1,$V$496,$V$491)))</f>
        <v>2013 Q2</v>
      </c>
      <c r="W498" t="str">
        <f>IF($B$492&gt;=1,$W$492,IF($B$494&gt;=1,$W$494,IF($B$496&gt;=1,$W$496,$W$491)))</f>
        <v>2013 Q1</v>
      </c>
      <c r="X498" t="str">
        <f>IF($B$492&gt;=1,$X$492,IF($B$494&gt;=1,$X$494,IF($B$496&gt;=1,$X$496,$X$491)))</f>
        <v>2012 Q4</v>
      </c>
      <c r="Y498" t="str">
        <f>IF($B$492&gt;=1,$Y$492,IF($B$494&gt;=1,$Y$494,IF($B$496&gt;=1,$Y$496,$Y$491)))</f>
        <v>2012 Q3</v>
      </c>
      <c r="Z498" t="str">
        <f>IF($B$492&gt;=1,$Z$492,IF($B$494&gt;=1,$Z$494,IF($B$496&gt;=1,$Z$496,$Z$491)))</f>
        <v>2012 Q2</v>
      </c>
      <c r="AA498" t="str">
        <f>IF($B$492&gt;=1,$AA$492,IF($B$494&gt;=1,$AA$494,IF($B$496&gt;=1,$AA$496,$AA$491)))</f>
        <v>2012 Q1</v>
      </c>
      <c r="AB498" t="str">
        <f>IF($B$492&gt;=1,$AB$492,IF($B$494&gt;=1,$AB$494,IF($B$496&gt;=1,$AB$496,$AB$491)))</f>
        <v>2011 Q4</v>
      </c>
      <c r="AC498" t="str">
        <f>IF($B$492&gt;=1,$AC$492,IF($B$494&gt;=1,$AC$494,IF($B$496&gt;=1,$AC$496,$AC$491)))</f>
        <v>2011 Q3</v>
      </c>
      <c r="AD498" t="str">
        <f>IF($B$492&gt;=1,$AD$492,IF($B$494&gt;=1,$AD$494,IF($B$496&gt;=1,$AD$496,$AD$491)))</f>
        <v>2011 Q2</v>
      </c>
      <c r="AE498" t="str">
        <f>IF($B$492&gt;=1,$AE$492,IF($B$494&gt;=1,$AE$494,IF($B$496&gt;=1,$AE$496,$AE$491)))</f>
        <v>2011 Q1</v>
      </c>
      <c r="AF498" t="str">
        <f>IF($B$492&gt;=1,$AF$492,IF($B$494&gt;=1,$AF$494,IF($B$496&gt;=1,$AF$496,$AF$491)))</f>
        <v>2010 Q4</v>
      </c>
      <c r="AG498" t="str">
        <f>IF($B$492&gt;=1,$AG$492,IF($B$494&gt;=1,$AG$494,IF($B$496&gt;=1,$AG$496,$AG$491)))</f>
        <v>2010 Q3</v>
      </c>
      <c r="AH498" t="str">
        <f>IF($B$492&gt;=1,$AH$492,IF($B$494&gt;=1,$AH$494,IF($B$496&gt;=1,$AH$496,$AH$491)))</f>
        <v>2010 Q2</v>
      </c>
      <c r="AI498" t="str">
        <f>IF($B$492&gt;=1,$AI$492,IF($B$494&gt;=1,$AI$494,IF($B$496&gt;=1,$AI$496,$AI$491)))</f>
        <v>2010 Q1</v>
      </c>
      <c r="AJ498" t="str">
        <f>IF($B$492&gt;=1,$AJ$492,IF($B$494&gt;=1,$AJ$494,IF($B$496&gt;=1,$AJ$496,$AJ$491)))</f>
        <v>2009 Q4</v>
      </c>
      <c r="AK498" t="str">
        <f>IF($B$492&gt;=1,$AK$492,IF($B$494&gt;=1,$AK$494,IF($B$496&gt;=1,$AK$496,$AK$491)))</f>
        <v>2009 Q3</v>
      </c>
      <c r="AL498" t="str">
        <f>IF($B$492&gt;=1,$AL$492,IF($B$494&gt;=1,$AL$494,IF($B$496&gt;=1,$AL$496,$AL$491)))</f>
        <v>2009 Q2</v>
      </c>
      <c r="AM498" t="str">
        <f>IF($B$492&gt;=1,$AM$492,IF($B$494&gt;=1,$AM$494,IF($B$496&gt;=1,$AM$496,$AM$491)))</f>
        <v>2009 Q1</v>
      </c>
      <c r="AN498" t="str">
        <f>IF($B$492&gt;=1,$AN$492,IF($B$494&gt;=1,$AN$494,IF($B$496&gt;=1,$AN$496,$AN$491)))</f>
        <v>2008 Q4</v>
      </c>
      <c r="AO498" t="str">
        <f>IF($B$492&gt;=1,$AO$492,IF($B$494&gt;=1,$AO$494,IF($B$496&gt;=1,$AO$496,$AO$491)))</f>
        <v>2008 Q3</v>
      </c>
      <c r="AP498" t="str">
        <f>IF($B$492&gt;=1,$AP$492,IF($B$494&gt;=1,$AP$494,IF($B$496&gt;=1,$AP$496,$AP$491)))</f>
        <v>2008 Q2</v>
      </c>
      <c r="AQ498" t="str">
        <f>IF($B$492&gt;=1,$AQ$492,IF($B$494&gt;=1,$AQ$494,IF($B$496&gt;=1,$AQ$496,$AQ$491)))</f>
        <v>2008 Q1</v>
      </c>
      <c r="AR498" t="str">
        <f>IF($B$492&gt;=1,$AR$492,IF($B$494&gt;=1,$AR$494,IF($B$496&gt;=1,$AR$496,$AR$491)))</f>
        <v>2007 Q4</v>
      </c>
      <c r="AS498" t="str">
        <f>IF($B$492&gt;=1,$AS$492,IF($B$494&gt;=1,$AS$494,IF($B$496&gt;=1,$AS$496,$AS$491)))</f>
        <v>2007 Q3</v>
      </c>
      <c r="AT498" t="str">
        <f>IF($B$492&gt;=1,$AT$492,IF($B$494&gt;=1,$AT$494,IF($B$496&gt;=1,$AT$496,$AT$491)))</f>
        <v>2007 Q2</v>
      </c>
      <c r="AU498" t="str">
        <f>IF($B$492&gt;=1,$AU$492,IF($B$494&gt;=1,$AU$494,IF($B$496&gt;=1,$AU$496,$AU$491)))</f>
        <v>2007 Q1</v>
      </c>
      <c r="AV498" t="str">
        <f>IF($B$492&gt;=1,$AV$492,IF($B$494&gt;=1,$AV$494,IF($B$496&gt;=1,$AV$496,$AV$491)))</f>
        <v>2006 Q4</v>
      </c>
      <c r="AW498" t="str">
        <f>IF($B$492&gt;=1,$AW$492,IF($B$494&gt;=1,$AW$494,IF($B$496&gt;=1,$AW$496,$AW$491)))</f>
        <v>2006 Q3</v>
      </c>
      <c r="AX498" t="str">
        <f>IF($B$492&gt;=1,$AX$492,IF($B$494&gt;=1,$AX$494,IF($B$496&gt;=1,$AX$496,$AX$491)))</f>
        <v>2006 Q2</v>
      </c>
      <c r="AY498" t="str">
        <f>IF($B$492&gt;=1,$AY$492,IF($B$494&gt;=1,$AY$494,IF($B$496&gt;=1,$AY$496,$AY$491)))</f>
        <v>2006 Q1</v>
      </c>
      <c r="AZ498" t="str">
        <f>IF($B$492&gt;=1,$AZ$492,IF($B$494&gt;=1,$AZ$494,IF($B$496&gt;=1,$AZ$496,$AZ$491)))</f>
        <v>2005 Q4</v>
      </c>
      <c r="BA498" t="str">
        <f>IF($B$492&gt;=1,$BA$492,IF($B$494&gt;=1,$BA$494,IF($B$496&gt;=1,$BA$496,$BA$491)))</f>
        <v>2005 Q3</v>
      </c>
      <c r="BB498" t="str">
        <f>IF($B$492&gt;=1,$BB$492,IF($B$494&gt;=1,$BB$494,IF($B$496&gt;=1,$BB$496,$BB$491)))</f>
        <v>2005 Q2</v>
      </c>
      <c r="BC498" t="str">
        <f>IF($B$492&gt;=1,$BC$492,IF($B$494&gt;=1,$BC$494,IF($B$496&gt;=1,$BC$496,$BC$491)))</f>
        <v>2005 Q1</v>
      </c>
      <c r="BD498" t="str">
        <f>IF($B$492&gt;=1,$BD$492,IF($B$494&gt;=1,$BD$494,IF($B$496&gt;=1,$BD$496,$BD$491)))</f>
        <v>2004 Q4</v>
      </c>
      <c r="BE498" t="str">
        <f>IF($B$492&gt;=1,$BE$492,IF($B$494&gt;=1,$BE$494,IF($B$496&gt;=1,$BE$496,$BE$491)))</f>
        <v>2004 Q3</v>
      </c>
      <c r="BF498" t="str">
        <f>IF($B$492&gt;=1,$BF$492,IF($B$494&gt;=1,$BF$494,IF($B$496&gt;=1,$BF$496,$BF$491)))</f>
        <v>2004 Q2</v>
      </c>
      <c r="BG498" t="str">
        <f>IF($B$492&gt;=1,$BG$492,IF($B$494&gt;=1,$BG$494,IF($B$496&gt;=1,$BG$496,$BG$491)))</f>
        <v>2004 Q1</v>
      </c>
      <c r="BH498" t="str">
        <f>IF($B$492&gt;=1,$BH$492,IF($B$494&gt;=1,$BH$494,IF($B$496&gt;=1,$BH$496,$BH$491)))</f>
        <v>2003 Q4</v>
      </c>
      <c r="BI498" t="str">
        <f>IF($B$492&gt;=1,$BI$492,IF($B$494&gt;=1,$BI$494,IF($B$496&gt;=1,$BI$496,$BI$491)))</f>
        <v>2003 Q3</v>
      </c>
      <c r="BJ498" t="str">
        <f>IF($B$492&gt;=1,$BJ$492,IF($B$494&gt;=1,$BJ$494,IF($B$496&gt;=1,$BJ$496,$BJ$491)))</f>
        <v>2003 Q2</v>
      </c>
      <c r="BN498" t="str">
        <f>""</f>
        <v/>
      </c>
      <c r="BO498" t="str">
        <f>""</f>
        <v/>
      </c>
      <c r="BP498" t="str">
        <f>""</f>
        <v/>
      </c>
      <c r="BQ498" t="str">
        <f>""</f>
        <v/>
      </c>
      <c r="BR498" t="str">
        <f>""</f>
        <v/>
      </c>
      <c r="BS498" t="str">
        <f>""</f>
        <v/>
      </c>
      <c r="BT498" t="str">
        <f>""</f>
        <v/>
      </c>
      <c r="BU498" t="str">
        <f>""</f>
        <v/>
      </c>
      <c r="BV498" t="str">
        <f>""</f>
        <v/>
      </c>
      <c r="BW498" t="str">
        <f>""</f>
        <v/>
      </c>
      <c r="BX498" t="str">
        <f>""</f>
        <v/>
      </c>
      <c r="BY498" t="str">
        <f>""</f>
        <v/>
      </c>
      <c r="BZ498" t="str">
        <f>""</f>
        <v/>
      </c>
      <c r="CA498" t="str">
        <f>""</f>
        <v/>
      </c>
      <c r="CB498" t="str">
        <f>""</f>
        <v/>
      </c>
      <c r="CC498" t="str">
        <f>""</f>
        <v/>
      </c>
      <c r="CD498" t="str">
        <f>""</f>
        <v/>
      </c>
      <c r="CE498" t="str">
        <f>""</f>
        <v/>
      </c>
      <c r="CF498" t="str">
        <f>""</f>
        <v/>
      </c>
      <c r="CG498" t="str">
        <f>""</f>
        <v/>
      </c>
      <c r="CH498" t="str">
        <f>""</f>
        <v/>
      </c>
      <c r="CI498" t="str">
        <f>""</f>
        <v/>
      </c>
      <c r="CJ498" t="str">
        <f>""</f>
        <v/>
      </c>
      <c r="CK498" t="str">
        <f>""</f>
        <v/>
      </c>
      <c r="CL498" t="str">
        <f>""</f>
        <v/>
      </c>
      <c r="CM498" t="str">
        <f>""</f>
        <v/>
      </c>
      <c r="CN498" t="str">
        <f>""</f>
        <v/>
      </c>
      <c r="CO498" t="str">
        <f>""</f>
        <v/>
      </c>
      <c r="CP498" t="str">
        <f>""</f>
        <v/>
      </c>
      <c r="CQ498" t="str">
        <f>""</f>
        <v/>
      </c>
      <c r="CR498" t="str">
        <f>""</f>
        <v/>
      </c>
      <c r="CS498" t="str">
        <f>""</f>
        <v/>
      </c>
      <c r="CT498" t="str">
        <f>""</f>
        <v/>
      </c>
      <c r="CU498" t="str">
        <f>""</f>
        <v/>
      </c>
      <c r="CV498" t="str">
        <f>""</f>
        <v/>
      </c>
      <c r="CW498" t="str">
        <f>""</f>
        <v/>
      </c>
      <c r="CX498" t="str">
        <f>""</f>
        <v/>
      </c>
      <c r="CY498" t="str">
        <f>""</f>
        <v/>
      </c>
      <c r="CZ498" t="str">
        <f>""</f>
        <v/>
      </c>
      <c r="DA498" t="str">
        <f>""</f>
        <v/>
      </c>
      <c r="DB498" t="str">
        <f>""</f>
        <v/>
      </c>
      <c r="DC498" t="str">
        <f>""</f>
        <v/>
      </c>
      <c r="DD498" t="str">
        <f>""</f>
        <v/>
      </c>
      <c r="DE498" t="str">
        <f>""</f>
        <v/>
      </c>
      <c r="DF498" t="str">
        <f>""</f>
        <v/>
      </c>
      <c r="DG498" t="str">
        <f>""</f>
        <v/>
      </c>
      <c r="DH498" t="str">
        <f>""</f>
        <v/>
      </c>
      <c r="DI498" t="str">
        <f>""</f>
        <v/>
      </c>
      <c r="DJ498" t="str">
        <f>""</f>
        <v/>
      </c>
      <c r="DK498" t="str">
        <f>""</f>
        <v/>
      </c>
      <c r="DL498" t="str">
        <f>""</f>
        <v/>
      </c>
      <c r="DM498" t="str">
        <f>""</f>
        <v/>
      </c>
      <c r="DN498" t="str">
        <f>""</f>
        <v/>
      </c>
      <c r="DO498" t="str">
        <f>""</f>
        <v/>
      </c>
      <c r="DP498" t="str">
        <f>""</f>
        <v/>
      </c>
      <c r="DQ498" t="str">
        <f>""</f>
        <v/>
      </c>
      <c r="DR498" t="str">
        <f>""</f>
        <v/>
      </c>
      <c r="DS498" t="str">
        <f>""</f>
        <v/>
      </c>
      <c r="DT498" t="str">
        <f>""</f>
        <v/>
      </c>
      <c r="DU498" t="str">
        <f>""</f>
        <v/>
      </c>
    </row>
    <row r="499" spans="1:125">
      <c r="A499" t="str">
        <f>"BDH snapshot title"</f>
        <v>BDH snapshot title</v>
      </c>
      <c r="B499">
        <f>$B$498</f>
        <v>2</v>
      </c>
      <c r="C499" t="str">
        <f>IF(LEN($C$498)&lt;&gt;8,$C$498,RIGHT($C$498,4)&amp;" "&amp;MID($C$498,3,1)&amp;LEFT($C$498,1))</f>
        <v>2018 Q1</v>
      </c>
      <c r="D499" t="str">
        <f>IF(LEN($D$498)&lt;&gt;8,$D$498,RIGHT($D$498,4)&amp;" "&amp;MID($D$498,3,1)&amp;LEFT($D$498,1))</f>
        <v>2017 Q4</v>
      </c>
      <c r="E499" t="str">
        <f>IF(LEN($E$498)&lt;&gt;8,$E$498,RIGHT($E$498,4)&amp;" "&amp;MID($E$498,3,1)&amp;LEFT($E$498,1))</f>
        <v>2017 Q3</v>
      </c>
      <c r="F499" t="str">
        <f>IF(LEN($F$498)&lt;&gt;8,$F$498,RIGHT($F$498,4)&amp;" "&amp;MID($F$498,3,1)&amp;LEFT($F$498,1))</f>
        <v>2017 Q2</v>
      </c>
      <c r="G499" t="str">
        <f>IF(LEN($G$498)&lt;&gt;8,$G$498,RIGHT($G$498,4)&amp;" "&amp;MID($G$498,3,1)&amp;LEFT($G$498,1))</f>
        <v>2017 Q1</v>
      </c>
      <c r="H499" t="str">
        <f>IF(LEN($H$498)&lt;&gt;8,$H$498,RIGHT($H$498,4)&amp;" "&amp;MID($H$498,3,1)&amp;LEFT($H$498,1))</f>
        <v>2016 Q4</v>
      </c>
      <c r="I499" t="str">
        <f>IF(LEN($I$498)&lt;&gt;8,$I$498,RIGHT($I$498,4)&amp;" "&amp;MID($I$498,3,1)&amp;LEFT($I$498,1))</f>
        <v>2016 Q3</v>
      </c>
      <c r="J499" t="str">
        <f>IF(LEN($J$498)&lt;&gt;8,$J$498,RIGHT($J$498,4)&amp;" "&amp;MID($J$498,3,1)&amp;LEFT($J$498,1))</f>
        <v>2016 Q2</v>
      </c>
      <c r="K499" t="str">
        <f>IF(LEN($K$498)&lt;&gt;8,$K$498,RIGHT($K$498,4)&amp;" "&amp;MID($K$498,3,1)&amp;LEFT($K$498,1))</f>
        <v>2016 Q1</v>
      </c>
      <c r="L499" t="str">
        <f>IF(LEN($L$498)&lt;&gt;8,$L$498,RIGHT($L$498,4)&amp;" "&amp;MID($L$498,3,1)&amp;LEFT($L$498,1))</f>
        <v>2015 Q4</v>
      </c>
      <c r="M499" t="str">
        <f>IF(LEN($M$498)&lt;&gt;8,$M$498,RIGHT($M$498,4)&amp;" "&amp;MID($M$498,3,1)&amp;LEFT($M$498,1))</f>
        <v>2015 Q3</v>
      </c>
      <c r="N499" t="str">
        <f>IF(LEN($N$498)&lt;&gt;8,$N$498,RIGHT($N$498,4)&amp;" "&amp;MID($N$498,3,1)&amp;LEFT($N$498,1))</f>
        <v>2015 Q2</v>
      </c>
      <c r="O499" t="str">
        <f>IF(LEN($O$498)&lt;&gt;8,$O$498,RIGHT($O$498,4)&amp;" "&amp;MID($O$498,3,1)&amp;LEFT($O$498,1))</f>
        <v>2015 Q1</v>
      </c>
      <c r="P499" t="str">
        <f>IF(LEN($P$498)&lt;&gt;8,$P$498,RIGHT($P$498,4)&amp;" "&amp;MID($P$498,3,1)&amp;LEFT($P$498,1))</f>
        <v>2014 Q4</v>
      </c>
      <c r="Q499" t="str">
        <f>IF(LEN($Q$498)&lt;&gt;8,$Q$498,RIGHT($Q$498,4)&amp;" "&amp;MID($Q$498,3,1)&amp;LEFT($Q$498,1))</f>
        <v>2014 Q3</v>
      </c>
      <c r="R499" t="str">
        <f>IF(LEN($R$498)&lt;&gt;8,$R$498,RIGHT($R$498,4)&amp;" "&amp;MID($R$498,3,1)&amp;LEFT($R$498,1))</f>
        <v>2014 Q2</v>
      </c>
      <c r="S499" t="str">
        <f>IF(LEN($S$498)&lt;&gt;8,$S$498,RIGHT($S$498,4)&amp;" "&amp;MID($S$498,3,1)&amp;LEFT($S$498,1))</f>
        <v>2014 Q1</v>
      </c>
      <c r="T499" t="str">
        <f>IF(LEN($T$498)&lt;&gt;8,$T$498,RIGHT($T$498,4)&amp;" "&amp;MID($T$498,3,1)&amp;LEFT($T$498,1))</f>
        <v>2013 Q4</v>
      </c>
      <c r="U499" t="str">
        <f>IF(LEN($U$498)&lt;&gt;8,$U$498,RIGHT($U$498,4)&amp;" "&amp;MID($U$498,3,1)&amp;LEFT($U$498,1))</f>
        <v>2013 Q3</v>
      </c>
      <c r="V499" t="str">
        <f>IF(LEN($V$498)&lt;&gt;8,$V$498,RIGHT($V$498,4)&amp;" "&amp;MID($V$498,3,1)&amp;LEFT($V$498,1))</f>
        <v>2013 Q2</v>
      </c>
      <c r="W499" t="str">
        <f>IF(LEN($W$498)&lt;&gt;8,$W$498,RIGHT($W$498,4)&amp;" "&amp;MID($W$498,3,1)&amp;LEFT($W$498,1))</f>
        <v>2013 Q1</v>
      </c>
      <c r="X499" t="str">
        <f>IF(LEN($X$498)&lt;&gt;8,$X$498,RIGHT($X$498,4)&amp;" "&amp;MID($X$498,3,1)&amp;LEFT($X$498,1))</f>
        <v>2012 Q4</v>
      </c>
      <c r="Y499" t="str">
        <f>IF(LEN($Y$498)&lt;&gt;8,$Y$498,RIGHT($Y$498,4)&amp;" "&amp;MID($Y$498,3,1)&amp;LEFT($Y$498,1))</f>
        <v>2012 Q3</v>
      </c>
      <c r="Z499" t="str">
        <f>IF(LEN($Z$498)&lt;&gt;8,$Z$498,RIGHT($Z$498,4)&amp;" "&amp;MID($Z$498,3,1)&amp;LEFT($Z$498,1))</f>
        <v>2012 Q2</v>
      </c>
      <c r="AA499" t="str">
        <f>IF(LEN($AA$498)&lt;&gt;8,$AA$498,RIGHT($AA$498,4)&amp;" "&amp;MID($AA$498,3,1)&amp;LEFT($AA$498,1))</f>
        <v>2012 Q1</v>
      </c>
      <c r="AB499" t="str">
        <f>IF(LEN($AB$498)&lt;&gt;8,$AB$498,RIGHT($AB$498,4)&amp;" "&amp;MID($AB$498,3,1)&amp;LEFT($AB$498,1))</f>
        <v>2011 Q4</v>
      </c>
      <c r="AC499" t="str">
        <f>IF(LEN($AC$498)&lt;&gt;8,$AC$498,RIGHT($AC$498,4)&amp;" "&amp;MID($AC$498,3,1)&amp;LEFT($AC$498,1))</f>
        <v>2011 Q3</v>
      </c>
      <c r="AD499" t="str">
        <f>IF(LEN($AD$498)&lt;&gt;8,$AD$498,RIGHT($AD$498,4)&amp;" "&amp;MID($AD$498,3,1)&amp;LEFT($AD$498,1))</f>
        <v>2011 Q2</v>
      </c>
      <c r="AE499" t="str">
        <f>IF(LEN($AE$498)&lt;&gt;8,$AE$498,RIGHT($AE$498,4)&amp;" "&amp;MID($AE$498,3,1)&amp;LEFT($AE$498,1))</f>
        <v>2011 Q1</v>
      </c>
      <c r="AF499" t="str">
        <f>IF(LEN($AF$498)&lt;&gt;8,$AF$498,RIGHT($AF$498,4)&amp;" "&amp;MID($AF$498,3,1)&amp;LEFT($AF$498,1))</f>
        <v>2010 Q4</v>
      </c>
      <c r="AG499" t="str">
        <f>IF(LEN($AG$498)&lt;&gt;8,$AG$498,RIGHT($AG$498,4)&amp;" "&amp;MID($AG$498,3,1)&amp;LEFT($AG$498,1))</f>
        <v>2010 Q3</v>
      </c>
      <c r="AH499" t="str">
        <f>IF(LEN($AH$498)&lt;&gt;8,$AH$498,RIGHT($AH$498,4)&amp;" "&amp;MID($AH$498,3,1)&amp;LEFT($AH$498,1))</f>
        <v>2010 Q2</v>
      </c>
      <c r="AI499" t="str">
        <f>IF(LEN($AI$498)&lt;&gt;8,$AI$498,RIGHT($AI$498,4)&amp;" "&amp;MID($AI$498,3,1)&amp;LEFT($AI$498,1))</f>
        <v>2010 Q1</v>
      </c>
      <c r="AJ499" t="str">
        <f>IF(LEN($AJ$498)&lt;&gt;8,$AJ$498,RIGHT($AJ$498,4)&amp;" "&amp;MID($AJ$498,3,1)&amp;LEFT($AJ$498,1))</f>
        <v>2009 Q4</v>
      </c>
      <c r="AK499" t="str">
        <f>IF(LEN($AK$498)&lt;&gt;8,$AK$498,RIGHT($AK$498,4)&amp;" "&amp;MID($AK$498,3,1)&amp;LEFT($AK$498,1))</f>
        <v>2009 Q3</v>
      </c>
      <c r="AL499" t="str">
        <f>IF(LEN($AL$498)&lt;&gt;8,$AL$498,RIGHT($AL$498,4)&amp;" "&amp;MID($AL$498,3,1)&amp;LEFT($AL$498,1))</f>
        <v>2009 Q2</v>
      </c>
      <c r="AM499" t="str">
        <f>IF(LEN($AM$498)&lt;&gt;8,$AM$498,RIGHT($AM$498,4)&amp;" "&amp;MID($AM$498,3,1)&amp;LEFT($AM$498,1))</f>
        <v>2009 Q1</v>
      </c>
      <c r="AN499" t="str">
        <f>IF(LEN($AN$498)&lt;&gt;8,$AN$498,RIGHT($AN$498,4)&amp;" "&amp;MID($AN$498,3,1)&amp;LEFT($AN$498,1))</f>
        <v>2008 Q4</v>
      </c>
      <c r="AO499" t="str">
        <f>IF(LEN($AO$498)&lt;&gt;8,$AO$498,RIGHT($AO$498,4)&amp;" "&amp;MID($AO$498,3,1)&amp;LEFT($AO$498,1))</f>
        <v>2008 Q3</v>
      </c>
      <c r="AP499" t="str">
        <f>IF(LEN($AP$498)&lt;&gt;8,$AP$498,RIGHT($AP$498,4)&amp;" "&amp;MID($AP$498,3,1)&amp;LEFT($AP$498,1))</f>
        <v>2008 Q2</v>
      </c>
      <c r="AQ499" t="str">
        <f>IF(LEN($AQ$498)&lt;&gt;8,$AQ$498,RIGHT($AQ$498,4)&amp;" "&amp;MID($AQ$498,3,1)&amp;LEFT($AQ$498,1))</f>
        <v>2008 Q1</v>
      </c>
      <c r="AR499" t="str">
        <f>IF(LEN($AR$498)&lt;&gt;8,$AR$498,RIGHT($AR$498,4)&amp;" "&amp;MID($AR$498,3,1)&amp;LEFT($AR$498,1))</f>
        <v>2007 Q4</v>
      </c>
      <c r="AS499" t="str">
        <f>IF(LEN($AS$498)&lt;&gt;8,$AS$498,RIGHT($AS$498,4)&amp;" "&amp;MID($AS$498,3,1)&amp;LEFT($AS$498,1))</f>
        <v>2007 Q3</v>
      </c>
      <c r="AT499" t="str">
        <f>IF(LEN($AT$498)&lt;&gt;8,$AT$498,RIGHT($AT$498,4)&amp;" "&amp;MID($AT$498,3,1)&amp;LEFT($AT$498,1))</f>
        <v>2007 Q2</v>
      </c>
      <c r="AU499" t="str">
        <f>IF(LEN($AU$498)&lt;&gt;8,$AU$498,RIGHT($AU$498,4)&amp;" "&amp;MID($AU$498,3,1)&amp;LEFT($AU$498,1))</f>
        <v>2007 Q1</v>
      </c>
      <c r="AV499" t="str">
        <f>IF(LEN($AV$498)&lt;&gt;8,$AV$498,RIGHT($AV$498,4)&amp;" "&amp;MID($AV$498,3,1)&amp;LEFT($AV$498,1))</f>
        <v>2006 Q4</v>
      </c>
      <c r="AW499" t="str">
        <f>IF(LEN($AW$498)&lt;&gt;8,$AW$498,RIGHT($AW$498,4)&amp;" "&amp;MID($AW$498,3,1)&amp;LEFT($AW$498,1))</f>
        <v>2006 Q3</v>
      </c>
      <c r="AX499" t="str">
        <f>IF(LEN($AX$498)&lt;&gt;8,$AX$498,RIGHT($AX$498,4)&amp;" "&amp;MID($AX$498,3,1)&amp;LEFT($AX$498,1))</f>
        <v>2006 Q2</v>
      </c>
      <c r="AY499" t="str">
        <f>IF(LEN($AY$498)&lt;&gt;8,$AY$498,RIGHT($AY$498,4)&amp;" "&amp;MID($AY$498,3,1)&amp;LEFT($AY$498,1))</f>
        <v>2006 Q1</v>
      </c>
      <c r="AZ499" t="str">
        <f>IF(LEN($AZ$498)&lt;&gt;8,$AZ$498,RIGHT($AZ$498,4)&amp;" "&amp;MID($AZ$498,3,1)&amp;LEFT($AZ$498,1))</f>
        <v>2005 Q4</v>
      </c>
      <c r="BA499" t="str">
        <f>IF(LEN($BA$498)&lt;&gt;8,$BA$498,RIGHT($BA$498,4)&amp;" "&amp;MID($BA$498,3,1)&amp;LEFT($BA$498,1))</f>
        <v>2005 Q3</v>
      </c>
      <c r="BB499" t="str">
        <f>IF(LEN($BB$498)&lt;&gt;8,$BB$498,RIGHT($BB$498,4)&amp;" "&amp;MID($BB$498,3,1)&amp;LEFT($BB$498,1))</f>
        <v>2005 Q2</v>
      </c>
      <c r="BC499" t="str">
        <f>IF(LEN($BC$498)&lt;&gt;8,$BC$498,RIGHT($BC$498,4)&amp;" "&amp;MID($BC$498,3,1)&amp;LEFT($BC$498,1))</f>
        <v>2005 Q1</v>
      </c>
      <c r="BD499" t="str">
        <f>IF(LEN($BD$498)&lt;&gt;8,$BD$498,RIGHT($BD$498,4)&amp;" "&amp;MID($BD$498,3,1)&amp;LEFT($BD$498,1))</f>
        <v>2004 Q4</v>
      </c>
      <c r="BE499" t="str">
        <f>IF(LEN($BE$498)&lt;&gt;8,$BE$498,RIGHT($BE$498,4)&amp;" "&amp;MID($BE$498,3,1)&amp;LEFT($BE$498,1))</f>
        <v>2004 Q3</v>
      </c>
      <c r="BF499" t="str">
        <f>IF(LEN($BF$498)&lt;&gt;8,$BF$498,RIGHT($BF$498,4)&amp;" "&amp;MID($BF$498,3,1)&amp;LEFT($BF$498,1))</f>
        <v>2004 Q2</v>
      </c>
      <c r="BG499" t="str">
        <f>IF(LEN($BG$498)&lt;&gt;8,$BG$498,RIGHT($BG$498,4)&amp;" "&amp;MID($BG$498,3,1)&amp;LEFT($BG$498,1))</f>
        <v>2004 Q1</v>
      </c>
      <c r="BH499" t="str">
        <f>IF(LEN($BH$498)&lt;&gt;8,$BH$498,RIGHT($BH$498,4)&amp;" "&amp;MID($BH$498,3,1)&amp;LEFT($BH$498,1))</f>
        <v>2003 Q4</v>
      </c>
      <c r="BI499" t="str">
        <f>IF(LEN($BI$498)&lt;&gt;8,$BI$498,RIGHT($BI$498,4)&amp;" "&amp;MID($BI$498,3,1)&amp;LEFT($BI$498,1))</f>
        <v>2003 Q3</v>
      </c>
      <c r="BJ499" t="str">
        <f>IF(LEN($BJ$498)&lt;&gt;8,$BJ$498,RIGHT($BJ$498,4)&amp;" "&amp;MID($BJ$498,3,1)&amp;LEFT($BJ$498,1))</f>
        <v>2003 Q2</v>
      </c>
      <c r="BN499" t="str">
        <f>""</f>
        <v/>
      </c>
      <c r="BO499" t="str">
        <f>""</f>
        <v/>
      </c>
      <c r="BP499" t="str">
        <f>""</f>
        <v/>
      </c>
      <c r="BQ499" t="str">
        <f>""</f>
        <v/>
      </c>
      <c r="BR499" t="str">
        <f>""</f>
        <v/>
      </c>
      <c r="BS499" t="str">
        <f>""</f>
        <v/>
      </c>
      <c r="BT499" t="str">
        <f>""</f>
        <v/>
      </c>
      <c r="BU499" t="str">
        <f>""</f>
        <v/>
      </c>
      <c r="BV499" t="str">
        <f>""</f>
        <v/>
      </c>
      <c r="BW499" t="str">
        <f>""</f>
        <v/>
      </c>
      <c r="BX499" t="str">
        <f>""</f>
        <v/>
      </c>
      <c r="BY499" t="str">
        <f>""</f>
        <v/>
      </c>
      <c r="BZ499" t="str">
        <f>""</f>
        <v/>
      </c>
      <c r="CA499" t="str">
        <f>""</f>
        <v/>
      </c>
      <c r="CB499" t="str">
        <f>""</f>
        <v/>
      </c>
      <c r="CC499" t="str">
        <f>""</f>
        <v/>
      </c>
      <c r="CD499" t="str">
        <f>""</f>
        <v/>
      </c>
      <c r="CE499" t="str">
        <f>""</f>
        <v/>
      </c>
      <c r="CF499" t="str">
        <f>""</f>
        <v/>
      </c>
      <c r="CG499" t="str">
        <f>""</f>
        <v/>
      </c>
      <c r="CH499" t="str">
        <f>""</f>
        <v/>
      </c>
      <c r="CI499" t="str">
        <f>""</f>
        <v/>
      </c>
      <c r="CJ499" t="str">
        <f>""</f>
        <v/>
      </c>
      <c r="CK499" t="str">
        <f>""</f>
        <v/>
      </c>
      <c r="CL499" t="str">
        <f>""</f>
        <v/>
      </c>
      <c r="CM499" t="str">
        <f>""</f>
        <v/>
      </c>
      <c r="CN499" t="str">
        <f>""</f>
        <v/>
      </c>
      <c r="CO499" t="str">
        <f>""</f>
        <v/>
      </c>
      <c r="CP499" t="str">
        <f>""</f>
        <v/>
      </c>
      <c r="CQ499" t="str">
        <f>""</f>
        <v/>
      </c>
      <c r="CR499" t="str">
        <f>""</f>
        <v/>
      </c>
      <c r="CS499" t="str">
        <f>""</f>
        <v/>
      </c>
      <c r="CT499" t="str">
        <f>""</f>
        <v/>
      </c>
      <c r="CU499" t="str">
        <f>""</f>
        <v/>
      </c>
      <c r="CV499" t="str">
        <f>""</f>
        <v/>
      </c>
      <c r="CW499" t="str">
        <f>""</f>
        <v/>
      </c>
      <c r="CX499" t="str">
        <f>""</f>
        <v/>
      </c>
      <c r="CY499" t="str">
        <f>""</f>
        <v/>
      </c>
      <c r="CZ499" t="str">
        <f>""</f>
        <v/>
      </c>
      <c r="DA499" t="str">
        <f>""</f>
        <v/>
      </c>
      <c r="DB499" t="str">
        <f>""</f>
        <v/>
      </c>
      <c r="DC499" t="str">
        <f>""</f>
        <v/>
      </c>
      <c r="DD499" t="str">
        <f>""</f>
        <v/>
      </c>
      <c r="DE499" t="str">
        <f>""</f>
        <v/>
      </c>
      <c r="DF499" t="str">
        <f>""</f>
        <v/>
      </c>
      <c r="DG499" t="str">
        <f>""</f>
        <v/>
      </c>
      <c r="DH499" t="str">
        <f>""</f>
        <v/>
      </c>
      <c r="DI499" t="str">
        <f>""</f>
        <v/>
      </c>
      <c r="DJ499" t="str">
        <f>""</f>
        <v/>
      </c>
      <c r="DK499" t="str">
        <f>""</f>
        <v/>
      </c>
      <c r="DL499" t="str">
        <f>""</f>
        <v/>
      </c>
      <c r="DM499" t="str">
        <f>""</f>
        <v/>
      </c>
      <c r="DN499" t="str">
        <f>""</f>
        <v/>
      </c>
      <c r="DO499" t="str">
        <f>""</f>
        <v/>
      </c>
      <c r="DP499" t="str">
        <f>""</f>
        <v/>
      </c>
      <c r="DQ499" t="str">
        <f>""</f>
        <v/>
      </c>
      <c r="DR499" t="str">
        <f>""</f>
        <v/>
      </c>
      <c r="DS499" t="str">
        <f>""</f>
        <v/>
      </c>
      <c r="DT499" t="str">
        <f>""</f>
        <v/>
      </c>
      <c r="DU499" t="str">
        <f>""</f>
        <v/>
      </c>
    </row>
    <row r="500" spans="1:125">
      <c r="A500" t="str">
        <f>"BDH dynamic header0"</f>
        <v>BDH dynamic header0</v>
      </c>
      <c r="B500">
        <f ca="1">IF(OR(ISERROR($C$500),ISBLANK($C$500),ISNUMBER(SEARCH("N/A",$C$500) ),ISERROR($C$501),ISBLANK($C$501)),0,1)</f>
        <v>0</v>
      </c>
      <c r="C500" t="str">
        <f ca="1">BDH($B$4,$C$4,$B$256,$B$257,"PER=CQ","Dts=S","DtFmt=FI", "rows=2","Dir=H","Points=60","Sort=R","Days=A","Fill=B","FX=USD" )</f>
        <v>#N/A Authorization</v>
      </c>
      <c r="BN500" t="str">
        <f>""</f>
        <v/>
      </c>
      <c r="BO500" t="str">
        <f>""</f>
        <v/>
      </c>
      <c r="BP500" t="str">
        <f>""</f>
        <v/>
      </c>
      <c r="BQ500" t="str">
        <f>""</f>
        <v/>
      </c>
      <c r="BR500" t="str">
        <f>""</f>
        <v/>
      </c>
      <c r="BS500" t="str">
        <f>""</f>
        <v/>
      </c>
      <c r="BT500" t="str">
        <f>""</f>
        <v/>
      </c>
      <c r="BU500" t="str">
        <f>""</f>
        <v/>
      </c>
      <c r="BV500" t="str">
        <f>""</f>
        <v/>
      </c>
      <c r="BW500" t="str">
        <f>""</f>
        <v/>
      </c>
      <c r="BX500" t="str">
        <f>""</f>
        <v/>
      </c>
      <c r="BY500" t="str">
        <f>""</f>
        <v/>
      </c>
      <c r="BZ500" t="str">
        <f>""</f>
        <v/>
      </c>
      <c r="CA500" t="str">
        <f>""</f>
        <v/>
      </c>
      <c r="CB500" t="str">
        <f>""</f>
        <v/>
      </c>
      <c r="CC500" t="str">
        <f>""</f>
        <v/>
      </c>
      <c r="CD500" t="str">
        <f>""</f>
        <v/>
      </c>
      <c r="CE500" t="str">
        <f>""</f>
        <v/>
      </c>
      <c r="CF500" t="str">
        <f>""</f>
        <v/>
      </c>
      <c r="CG500" t="str">
        <f>""</f>
        <v/>
      </c>
      <c r="CH500" t="str">
        <f>""</f>
        <v/>
      </c>
      <c r="CI500" t="str">
        <f>""</f>
        <v/>
      </c>
      <c r="CJ500" t="str">
        <f>""</f>
        <v/>
      </c>
      <c r="CK500" t="str">
        <f>""</f>
        <v/>
      </c>
      <c r="CL500" t="str">
        <f>""</f>
        <v/>
      </c>
      <c r="CM500" t="str">
        <f>""</f>
        <v/>
      </c>
      <c r="CN500" t="str">
        <f>""</f>
        <v/>
      </c>
      <c r="CO500" t="str">
        <f>""</f>
        <v/>
      </c>
      <c r="CP500" t="str">
        <f>""</f>
        <v/>
      </c>
      <c r="CQ500" t="str">
        <f>""</f>
        <v/>
      </c>
      <c r="CR500" t="str">
        <f>""</f>
        <v/>
      </c>
      <c r="CS500" t="str">
        <f>""</f>
        <v/>
      </c>
      <c r="CT500" t="str">
        <f>""</f>
        <v/>
      </c>
      <c r="CU500" t="str">
        <f>""</f>
        <v/>
      </c>
      <c r="CV500" t="str">
        <f>""</f>
        <v/>
      </c>
      <c r="CW500" t="str">
        <f>""</f>
        <v/>
      </c>
      <c r="CX500" t="str">
        <f>""</f>
        <v/>
      </c>
      <c r="CY500" t="str">
        <f>""</f>
        <v/>
      </c>
      <c r="CZ500" t="str">
        <f>""</f>
        <v/>
      </c>
      <c r="DA500" t="str">
        <f>""</f>
        <v/>
      </c>
      <c r="DB500" t="str">
        <f>""</f>
        <v/>
      </c>
      <c r="DC500" t="str">
        <f>""</f>
        <v/>
      </c>
      <c r="DD500" t="str">
        <f>""</f>
        <v/>
      </c>
      <c r="DE500" t="str">
        <f>""</f>
        <v/>
      </c>
      <c r="DF500" t="str">
        <f>""</f>
        <v/>
      </c>
      <c r="DG500" t="str">
        <f>""</f>
        <v/>
      </c>
      <c r="DH500" t="str">
        <f>""</f>
        <v/>
      </c>
      <c r="DI500" t="str">
        <f>""</f>
        <v/>
      </c>
      <c r="DJ500" t="str">
        <f>""</f>
        <v/>
      </c>
      <c r="DK500" t="str">
        <f>""</f>
        <v/>
      </c>
      <c r="DL500" t="str">
        <f>""</f>
        <v/>
      </c>
      <c r="DM500" t="str">
        <f>""</f>
        <v/>
      </c>
      <c r="DN500" t="str">
        <f>""</f>
        <v/>
      </c>
      <c r="DO500" t="str">
        <f>""</f>
        <v/>
      </c>
      <c r="DP500" t="str">
        <f>""</f>
        <v/>
      </c>
      <c r="DQ500" t="str">
        <f>""</f>
        <v/>
      </c>
      <c r="DR500" t="str">
        <f>""</f>
        <v/>
      </c>
      <c r="DS500" t="str">
        <f>""</f>
        <v/>
      </c>
      <c r="DT500" t="str">
        <f>""</f>
        <v/>
      </c>
      <c r="DU500" t="str">
        <f>""</f>
        <v/>
      </c>
    </row>
    <row r="501" spans="1:125">
      <c r="A501" t="str">
        <f>"BDH dynamic result0"</f>
        <v>BDH dynamic result0</v>
      </c>
      <c r="BN501" t="str">
        <f>""</f>
        <v/>
      </c>
      <c r="BO501" t="str">
        <f>""</f>
        <v/>
      </c>
      <c r="BP501" t="str">
        <f>""</f>
        <v/>
      </c>
      <c r="BQ501" t="str">
        <f>""</f>
        <v/>
      </c>
      <c r="BR501" t="str">
        <f>""</f>
        <v/>
      </c>
      <c r="BS501" t="str">
        <f>""</f>
        <v/>
      </c>
      <c r="BT501" t="str">
        <f>""</f>
        <v/>
      </c>
      <c r="BU501" t="str">
        <f>""</f>
        <v/>
      </c>
      <c r="BV501" t="str">
        <f>""</f>
        <v/>
      </c>
      <c r="BW501" t="str">
        <f>""</f>
        <v/>
      </c>
      <c r="BX501" t="str">
        <f>""</f>
        <v/>
      </c>
      <c r="BY501" t="str">
        <f>""</f>
        <v/>
      </c>
      <c r="BZ501" t="str">
        <f>""</f>
        <v/>
      </c>
      <c r="CA501" t="str">
        <f>""</f>
        <v/>
      </c>
      <c r="CB501" t="str">
        <f>""</f>
        <v/>
      </c>
      <c r="CC501" t="str">
        <f>""</f>
        <v/>
      </c>
      <c r="CD501" t="str">
        <f>""</f>
        <v/>
      </c>
      <c r="CE501" t="str">
        <f>""</f>
        <v/>
      </c>
      <c r="CF501" t="str">
        <f>""</f>
        <v/>
      </c>
      <c r="CG501" t="str">
        <f>""</f>
        <v/>
      </c>
      <c r="CH501" t="str">
        <f>""</f>
        <v/>
      </c>
      <c r="CI501" t="str">
        <f>""</f>
        <v/>
      </c>
      <c r="CJ501" t="str">
        <f>""</f>
        <v/>
      </c>
      <c r="CK501" t="str">
        <f>""</f>
        <v/>
      </c>
      <c r="CL501" t="str">
        <f>""</f>
        <v/>
      </c>
      <c r="CM501" t="str">
        <f>""</f>
        <v/>
      </c>
      <c r="CN501" t="str">
        <f>""</f>
        <v/>
      </c>
      <c r="CO501" t="str">
        <f>""</f>
        <v/>
      </c>
      <c r="CP501" t="str">
        <f>""</f>
        <v/>
      </c>
      <c r="CQ501" t="str">
        <f>""</f>
        <v/>
      </c>
      <c r="CR501" t="str">
        <f>""</f>
        <v/>
      </c>
      <c r="CS501" t="str">
        <f>""</f>
        <v/>
      </c>
      <c r="CT501" t="str">
        <f>""</f>
        <v/>
      </c>
      <c r="CU501" t="str">
        <f>""</f>
        <v/>
      </c>
      <c r="CV501" t="str">
        <f>""</f>
        <v/>
      </c>
      <c r="CW501" t="str">
        <f>""</f>
        <v/>
      </c>
      <c r="CX501" t="str">
        <f>""</f>
        <v/>
      </c>
      <c r="CY501" t="str">
        <f>""</f>
        <v/>
      </c>
      <c r="CZ501" t="str">
        <f>""</f>
        <v/>
      </c>
      <c r="DA501" t="str">
        <f>""</f>
        <v/>
      </c>
      <c r="DB501" t="str">
        <f>""</f>
        <v/>
      </c>
      <c r="DC501" t="str">
        <f>""</f>
        <v/>
      </c>
      <c r="DD501" t="str">
        <f>""</f>
        <v/>
      </c>
      <c r="DE501" t="str">
        <f>""</f>
        <v/>
      </c>
      <c r="DF501" t="str">
        <f>""</f>
        <v/>
      </c>
      <c r="DG501" t="str">
        <f>""</f>
        <v/>
      </c>
      <c r="DH501" t="str">
        <f>""</f>
        <v/>
      </c>
      <c r="DI501" t="str">
        <f>""</f>
        <v/>
      </c>
      <c r="DJ501" t="str">
        <f>""</f>
        <v/>
      </c>
      <c r="DK501" t="str">
        <f>""</f>
        <v/>
      </c>
      <c r="DL501" t="str">
        <f>""</f>
        <v/>
      </c>
      <c r="DM501" t="str">
        <f>""</f>
        <v/>
      </c>
      <c r="DN501" t="str">
        <f>""</f>
        <v/>
      </c>
      <c r="DO501" t="str">
        <f>""</f>
        <v/>
      </c>
      <c r="DP501" t="str">
        <f>""</f>
        <v/>
      </c>
      <c r="DQ501" t="str">
        <f>""</f>
        <v/>
      </c>
      <c r="DR501" t="str">
        <f>""</f>
        <v/>
      </c>
      <c r="DS501" t="str">
        <f>""</f>
        <v/>
      </c>
      <c r="DT501" t="str">
        <f>""</f>
        <v/>
      </c>
      <c r="DU501" t="str">
        <f>""</f>
        <v/>
      </c>
    </row>
    <row r="502" spans="1:125">
      <c r="A502" t="str">
        <f>"BDH dynamic header1"</f>
        <v>BDH dynamic header1</v>
      </c>
      <c r="B502">
        <f ca="1">IF(OR(ISERROR($C$502),ISBLANK($C$502),ISNUMBER(SEARCH("N/A",$C$502) ),ISERROR($C$503),ISBLANK($C$503)),0,1)</f>
        <v>0</v>
      </c>
      <c r="C502" t="str">
        <f ca="1">BDH($B$5,$C$5,$B$256,$B$257,"PER=CQ","Dts=S","DtFmt=FI", "rows=2","Dir=H","Points=60","Sort=R","Days=A","Fill=B","FX=USD" )</f>
        <v>#N/A Authorization</v>
      </c>
      <c r="BN502" t="str">
        <f>""</f>
        <v/>
      </c>
      <c r="BO502" t="str">
        <f>""</f>
        <v/>
      </c>
      <c r="BP502" t="str">
        <f>""</f>
        <v/>
      </c>
      <c r="BQ502" t="str">
        <f>""</f>
        <v/>
      </c>
      <c r="BR502" t="str">
        <f>""</f>
        <v/>
      </c>
      <c r="BS502" t="str">
        <f>""</f>
        <v/>
      </c>
      <c r="BT502" t="str">
        <f>""</f>
        <v/>
      </c>
      <c r="BU502" t="str">
        <f>""</f>
        <v/>
      </c>
      <c r="BV502" t="str">
        <f>""</f>
        <v/>
      </c>
      <c r="BW502" t="str">
        <f>""</f>
        <v/>
      </c>
      <c r="BX502" t="str">
        <f>""</f>
        <v/>
      </c>
      <c r="BY502" t="str">
        <f>""</f>
        <v/>
      </c>
      <c r="BZ502" t="str">
        <f>""</f>
        <v/>
      </c>
      <c r="CA502" t="str">
        <f>""</f>
        <v/>
      </c>
      <c r="CB502" t="str">
        <f>""</f>
        <v/>
      </c>
      <c r="CC502" t="str">
        <f>""</f>
        <v/>
      </c>
      <c r="CD502" t="str">
        <f>""</f>
        <v/>
      </c>
      <c r="CE502" t="str">
        <f>""</f>
        <v/>
      </c>
      <c r="CF502" t="str">
        <f>""</f>
        <v/>
      </c>
      <c r="CG502" t="str">
        <f>""</f>
        <v/>
      </c>
      <c r="CH502" t="str">
        <f>""</f>
        <v/>
      </c>
      <c r="CI502" t="str">
        <f>""</f>
        <v/>
      </c>
      <c r="CJ502" t="str">
        <f>""</f>
        <v/>
      </c>
      <c r="CK502" t="str">
        <f>""</f>
        <v/>
      </c>
      <c r="CL502" t="str">
        <f>""</f>
        <v/>
      </c>
      <c r="CM502" t="str">
        <f>""</f>
        <v/>
      </c>
      <c r="CN502" t="str">
        <f>""</f>
        <v/>
      </c>
      <c r="CO502" t="str">
        <f>""</f>
        <v/>
      </c>
      <c r="CP502" t="str">
        <f>""</f>
        <v/>
      </c>
      <c r="CQ502" t="str">
        <f>""</f>
        <v/>
      </c>
      <c r="CR502" t="str">
        <f>""</f>
        <v/>
      </c>
      <c r="CS502" t="str">
        <f>""</f>
        <v/>
      </c>
      <c r="CT502" t="str">
        <f>""</f>
        <v/>
      </c>
      <c r="CU502" t="str">
        <f>""</f>
        <v/>
      </c>
      <c r="CV502" t="str">
        <f>""</f>
        <v/>
      </c>
      <c r="CW502" t="str">
        <f>""</f>
        <v/>
      </c>
      <c r="CX502" t="str">
        <f>""</f>
        <v/>
      </c>
      <c r="CY502" t="str">
        <f>""</f>
        <v/>
      </c>
      <c r="CZ502" t="str">
        <f>""</f>
        <v/>
      </c>
      <c r="DA502" t="str">
        <f>""</f>
        <v/>
      </c>
      <c r="DB502" t="str">
        <f>""</f>
        <v/>
      </c>
      <c r="DC502" t="str">
        <f>""</f>
        <v/>
      </c>
      <c r="DD502" t="str">
        <f>""</f>
        <v/>
      </c>
      <c r="DE502" t="str">
        <f>""</f>
        <v/>
      </c>
      <c r="DF502" t="str">
        <f>""</f>
        <v/>
      </c>
      <c r="DG502" t="str">
        <f>""</f>
        <v/>
      </c>
      <c r="DH502" t="str">
        <f>""</f>
        <v/>
      </c>
      <c r="DI502" t="str">
        <f>""</f>
        <v/>
      </c>
      <c r="DJ502" t="str">
        <f>""</f>
        <v/>
      </c>
      <c r="DK502" t="str">
        <f>""</f>
        <v/>
      </c>
      <c r="DL502" t="str">
        <f>""</f>
        <v/>
      </c>
      <c r="DM502" t="str">
        <f>""</f>
        <v/>
      </c>
      <c r="DN502" t="str">
        <f>""</f>
        <v/>
      </c>
      <c r="DO502" t="str">
        <f>""</f>
        <v/>
      </c>
      <c r="DP502" t="str">
        <f>""</f>
        <v/>
      </c>
      <c r="DQ502" t="str">
        <f>""</f>
        <v/>
      </c>
      <c r="DR502" t="str">
        <f>""</f>
        <v/>
      </c>
      <c r="DS502" t="str">
        <f>""</f>
        <v/>
      </c>
      <c r="DT502" t="str">
        <f>""</f>
        <v/>
      </c>
      <c r="DU502" t="str">
        <f>""</f>
        <v/>
      </c>
    </row>
    <row r="503" spans="1:125">
      <c r="A503" t="str">
        <f>"BDH dynamic result1"</f>
        <v>BDH dynamic result1</v>
      </c>
      <c r="BN503" t="str">
        <f>""</f>
        <v/>
      </c>
      <c r="BO503" t="str">
        <f>""</f>
        <v/>
      </c>
      <c r="BP503" t="str">
        <f>""</f>
        <v/>
      </c>
      <c r="BQ503" t="str">
        <f>""</f>
        <v/>
      </c>
      <c r="BR503" t="str">
        <f>""</f>
        <v/>
      </c>
      <c r="BS503" t="str">
        <f>""</f>
        <v/>
      </c>
      <c r="BT503" t="str">
        <f>""</f>
        <v/>
      </c>
      <c r="BU503" t="str">
        <f>""</f>
        <v/>
      </c>
      <c r="BV503" t="str">
        <f>""</f>
        <v/>
      </c>
      <c r="BW503" t="str">
        <f>""</f>
        <v/>
      </c>
      <c r="BX503" t="str">
        <f>""</f>
        <v/>
      </c>
      <c r="BY503" t="str">
        <f>""</f>
        <v/>
      </c>
      <c r="BZ503" t="str">
        <f>""</f>
        <v/>
      </c>
      <c r="CA503" t="str">
        <f>""</f>
        <v/>
      </c>
      <c r="CB503" t="str">
        <f>""</f>
        <v/>
      </c>
      <c r="CC503" t="str">
        <f>""</f>
        <v/>
      </c>
      <c r="CD503" t="str">
        <f>""</f>
        <v/>
      </c>
      <c r="CE503" t="str">
        <f>""</f>
        <v/>
      </c>
      <c r="CF503" t="str">
        <f>""</f>
        <v/>
      </c>
      <c r="CG503" t="str">
        <f>""</f>
        <v/>
      </c>
      <c r="CH503" t="str">
        <f>""</f>
        <v/>
      </c>
      <c r="CI503" t="str">
        <f>""</f>
        <v/>
      </c>
      <c r="CJ503" t="str">
        <f>""</f>
        <v/>
      </c>
      <c r="CK503" t="str">
        <f>""</f>
        <v/>
      </c>
      <c r="CL503" t="str">
        <f>""</f>
        <v/>
      </c>
      <c r="CM503" t="str">
        <f>""</f>
        <v/>
      </c>
      <c r="CN503" t="str">
        <f>""</f>
        <v/>
      </c>
      <c r="CO503" t="str">
        <f>""</f>
        <v/>
      </c>
      <c r="CP503" t="str">
        <f>""</f>
        <v/>
      </c>
      <c r="CQ503" t="str">
        <f>""</f>
        <v/>
      </c>
      <c r="CR503" t="str">
        <f>""</f>
        <v/>
      </c>
      <c r="CS503" t="str">
        <f>""</f>
        <v/>
      </c>
      <c r="CT503" t="str">
        <f>""</f>
        <v/>
      </c>
      <c r="CU503" t="str">
        <f>""</f>
        <v/>
      </c>
      <c r="CV503" t="str">
        <f>""</f>
        <v/>
      </c>
      <c r="CW503" t="str">
        <f>""</f>
        <v/>
      </c>
      <c r="CX503" t="str">
        <f>""</f>
        <v/>
      </c>
      <c r="CY503" t="str">
        <f>""</f>
        <v/>
      </c>
      <c r="CZ503" t="str">
        <f>""</f>
        <v/>
      </c>
      <c r="DA503" t="str">
        <f>""</f>
        <v/>
      </c>
      <c r="DB503" t="str">
        <f>""</f>
        <v/>
      </c>
      <c r="DC503" t="str">
        <f>""</f>
        <v/>
      </c>
      <c r="DD503" t="str">
        <f>""</f>
        <v/>
      </c>
      <c r="DE503" t="str">
        <f>""</f>
        <v/>
      </c>
      <c r="DF503" t="str">
        <f>""</f>
        <v/>
      </c>
      <c r="DG503" t="str">
        <f>""</f>
        <v/>
      </c>
      <c r="DH503" t="str">
        <f>""</f>
        <v/>
      </c>
      <c r="DI503" t="str">
        <f>""</f>
        <v/>
      </c>
      <c r="DJ503" t="str">
        <f>""</f>
        <v/>
      </c>
      <c r="DK503" t="str">
        <f>""</f>
        <v/>
      </c>
      <c r="DL503" t="str">
        <f>""</f>
        <v/>
      </c>
      <c r="DM503" t="str">
        <f>""</f>
        <v/>
      </c>
      <c r="DN503" t="str">
        <f>""</f>
        <v/>
      </c>
      <c r="DO503" t="str">
        <f>""</f>
        <v/>
      </c>
      <c r="DP503" t="str">
        <f>""</f>
        <v/>
      </c>
      <c r="DQ503" t="str">
        <f>""</f>
        <v/>
      </c>
      <c r="DR503" t="str">
        <f>""</f>
        <v/>
      </c>
      <c r="DS503" t="str">
        <f>""</f>
        <v/>
      </c>
      <c r="DT503" t="str">
        <f>""</f>
        <v/>
      </c>
      <c r="DU503" t="str">
        <f>""</f>
        <v/>
      </c>
    </row>
    <row r="504" spans="1:125">
      <c r="A504" t="str">
        <f>"BDH dynamic header2"</f>
        <v>BDH dynamic header2</v>
      </c>
      <c r="B504">
        <f ca="1">IF(OR(ISERROR($C$504),ISBLANK($C$504),ISNUMBER(SEARCH("N/A",$C$504) ),ISERROR($C$505),ISBLANK($C$505)),0,1)</f>
        <v>0</v>
      </c>
      <c r="C504" t="str">
        <f ca="1">BDH($B$6,$C$6,$B$256,$B$257,"PER=CQ","Dts=S","DtFmt=FI", "rows=2","Dir=H","Points=60","Sort=R","Days=A","Fill=B","FX=USD" )</f>
        <v>#N/A Authorization</v>
      </c>
      <c r="BN504" t="str">
        <f>""</f>
        <v/>
      </c>
      <c r="BO504" t="str">
        <f>""</f>
        <v/>
      </c>
      <c r="BP504" t="str">
        <f>""</f>
        <v/>
      </c>
      <c r="BQ504" t="str">
        <f>""</f>
        <v/>
      </c>
      <c r="BR504" t="str">
        <f>""</f>
        <v/>
      </c>
      <c r="BS504" t="str">
        <f>""</f>
        <v/>
      </c>
      <c r="BT504" t="str">
        <f>""</f>
        <v/>
      </c>
      <c r="BU504" t="str">
        <f>""</f>
        <v/>
      </c>
      <c r="BV504" t="str">
        <f>""</f>
        <v/>
      </c>
      <c r="BW504" t="str">
        <f>""</f>
        <v/>
      </c>
      <c r="BX504" t="str">
        <f>""</f>
        <v/>
      </c>
      <c r="BY504" t="str">
        <f>""</f>
        <v/>
      </c>
      <c r="BZ504" t="str">
        <f>""</f>
        <v/>
      </c>
      <c r="CA504" t="str">
        <f>""</f>
        <v/>
      </c>
      <c r="CB504" t="str">
        <f>""</f>
        <v/>
      </c>
      <c r="CC504" t="str">
        <f>""</f>
        <v/>
      </c>
      <c r="CD504" t="str">
        <f>""</f>
        <v/>
      </c>
      <c r="CE504" t="str">
        <f>""</f>
        <v/>
      </c>
      <c r="CF504" t="str">
        <f>""</f>
        <v/>
      </c>
      <c r="CG504" t="str">
        <f>""</f>
        <v/>
      </c>
      <c r="CH504" t="str">
        <f>""</f>
        <v/>
      </c>
      <c r="CI504" t="str">
        <f>""</f>
        <v/>
      </c>
      <c r="CJ504" t="str">
        <f>""</f>
        <v/>
      </c>
      <c r="CK504" t="str">
        <f>""</f>
        <v/>
      </c>
      <c r="CL504" t="str">
        <f>""</f>
        <v/>
      </c>
      <c r="CM504" t="str">
        <f>""</f>
        <v/>
      </c>
      <c r="CN504" t="str">
        <f>""</f>
        <v/>
      </c>
      <c r="CO504" t="str">
        <f>""</f>
        <v/>
      </c>
      <c r="CP504" t="str">
        <f>""</f>
        <v/>
      </c>
      <c r="CQ504" t="str">
        <f>""</f>
        <v/>
      </c>
      <c r="CR504" t="str">
        <f>""</f>
        <v/>
      </c>
      <c r="CS504" t="str">
        <f>""</f>
        <v/>
      </c>
      <c r="CT504" t="str">
        <f>""</f>
        <v/>
      </c>
      <c r="CU504" t="str">
        <f>""</f>
        <v/>
      </c>
      <c r="CV504" t="str">
        <f>""</f>
        <v/>
      </c>
      <c r="CW504" t="str">
        <f>""</f>
        <v/>
      </c>
      <c r="CX504" t="str">
        <f>""</f>
        <v/>
      </c>
      <c r="CY504" t="str">
        <f>""</f>
        <v/>
      </c>
      <c r="CZ504" t="str">
        <f>""</f>
        <v/>
      </c>
      <c r="DA504" t="str">
        <f>""</f>
        <v/>
      </c>
      <c r="DB504" t="str">
        <f>""</f>
        <v/>
      </c>
      <c r="DC504" t="str">
        <f>""</f>
        <v/>
      </c>
      <c r="DD504" t="str">
        <f>""</f>
        <v/>
      </c>
      <c r="DE504" t="str">
        <f>""</f>
        <v/>
      </c>
      <c r="DF504" t="str">
        <f>""</f>
        <v/>
      </c>
      <c r="DG504" t="str">
        <f>""</f>
        <v/>
      </c>
      <c r="DH504" t="str">
        <f>""</f>
        <v/>
      </c>
      <c r="DI504" t="str">
        <f>""</f>
        <v/>
      </c>
      <c r="DJ504" t="str">
        <f>""</f>
        <v/>
      </c>
      <c r="DK504" t="str">
        <f>""</f>
        <v/>
      </c>
      <c r="DL504" t="str">
        <f>""</f>
        <v/>
      </c>
      <c r="DM504" t="str">
        <f>""</f>
        <v/>
      </c>
      <c r="DN504" t="str">
        <f>""</f>
        <v/>
      </c>
      <c r="DO504" t="str">
        <f>""</f>
        <v/>
      </c>
      <c r="DP504" t="str">
        <f>""</f>
        <v/>
      </c>
      <c r="DQ504" t="str">
        <f>""</f>
        <v/>
      </c>
      <c r="DR504" t="str">
        <f>""</f>
        <v/>
      </c>
      <c r="DS504" t="str">
        <f>""</f>
        <v/>
      </c>
      <c r="DT504" t="str">
        <f>""</f>
        <v/>
      </c>
      <c r="DU504" t="str">
        <f>""</f>
        <v/>
      </c>
    </row>
    <row r="505" spans="1:125">
      <c r="A505" t="str">
        <f>"BDH dynamic result2"</f>
        <v>BDH dynamic result2</v>
      </c>
      <c r="BN505" t="str">
        <f>""</f>
        <v/>
      </c>
      <c r="BO505" t="str">
        <f>""</f>
        <v/>
      </c>
      <c r="BP505" t="str">
        <f>""</f>
        <v/>
      </c>
      <c r="BQ505" t="str">
        <f>""</f>
        <v/>
      </c>
      <c r="BR505" t="str">
        <f>""</f>
        <v/>
      </c>
      <c r="BS505" t="str">
        <f>""</f>
        <v/>
      </c>
      <c r="BT505" t="str">
        <f>""</f>
        <v/>
      </c>
      <c r="BU505" t="str">
        <f>""</f>
        <v/>
      </c>
      <c r="BV505" t="str">
        <f>""</f>
        <v/>
      </c>
      <c r="BW505" t="str">
        <f>""</f>
        <v/>
      </c>
      <c r="BX505" t="str">
        <f>""</f>
        <v/>
      </c>
      <c r="BY505" t="str">
        <f>""</f>
        <v/>
      </c>
      <c r="BZ505" t="str">
        <f>""</f>
        <v/>
      </c>
      <c r="CA505" t="str">
        <f>""</f>
        <v/>
      </c>
      <c r="CB505" t="str">
        <f>""</f>
        <v/>
      </c>
      <c r="CC505" t="str">
        <f>""</f>
        <v/>
      </c>
      <c r="CD505" t="str">
        <f>""</f>
        <v/>
      </c>
      <c r="CE505" t="str">
        <f>""</f>
        <v/>
      </c>
      <c r="CF505" t="str">
        <f>""</f>
        <v/>
      </c>
      <c r="CG505" t="str">
        <f>""</f>
        <v/>
      </c>
      <c r="CH505" t="str">
        <f>""</f>
        <v/>
      </c>
      <c r="CI505" t="str">
        <f>""</f>
        <v/>
      </c>
      <c r="CJ505" t="str">
        <f>""</f>
        <v/>
      </c>
      <c r="CK505" t="str">
        <f>""</f>
        <v/>
      </c>
      <c r="CL505" t="str">
        <f>""</f>
        <v/>
      </c>
      <c r="CM505" t="str">
        <f>""</f>
        <v/>
      </c>
      <c r="CN505" t="str">
        <f>""</f>
        <v/>
      </c>
      <c r="CO505" t="str">
        <f>""</f>
        <v/>
      </c>
      <c r="CP505" t="str">
        <f>""</f>
        <v/>
      </c>
      <c r="CQ505" t="str">
        <f>""</f>
        <v/>
      </c>
      <c r="CR505" t="str">
        <f>""</f>
        <v/>
      </c>
      <c r="CS505" t="str">
        <f>""</f>
        <v/>
      </c>
      <c r="CT505" t="str">
        <f>""</f>
        <v/>
      </c>
      <c r="CU505" t="str">
        <f>""</f>
        <v/>
      </c>
      <c r="CV505" t="str">
        <f>""</f>
        <v/>
      </c>
      <c r="CW505" t="str">
        <f>""</f>
        <v/>
      </c>
      <c r="CX505" t="str">
        <f>""</f>
        <v/>
      </c>
      <c r="CY505" t="str">
        <f>""</f>
        <v/>
      </c>
      <c r="CZ505" t="str">
        <f>""</f>
        <v/>
      </c>
      <c r="DA505" t="str">
        <f>""</f>
        <v/>
      </c>
      <c r="DB505" t="str">
        <f>""</f>
        <v/>
      </c>
      <c r="DC505" t="str">
        <f>""</f>
        <v/>
      </c>
      <c r="DD505" t="str">
        <f>""</f>
        <v/>
      </c>
      <c r="DE505" t="str">
        <f>""</f>
        <v/>
      </c>
      <c r="DF505" t="str">
        <f>""</f>
        <v/>
      </c>
      <c r="DG505" t="str">
        <f>""</f>
        <v/>
      </c>
      <c r="DH505" t="str">
        <f>""</f>
        <v/>
      </c>
      <c r="DI505" t="str">
        <f>""</f>
        <v/>
      </c>
      <c r="DJ505" t="str">
        <f>""</f>
        <v/>
      </c>
      <c r="DK505" t="str">
        <f>""</f>
        <v/>
      </c>
      <c r="DL505" t="str">
        <f>""</f>
        <v/>
      </c>
      <c r="DM505" t="str">
        <f>""</f>
        <v/>
      </c>
      <c r="DN505" t="str">
        <f>""</f>
        <v/>
      </c>
      <c r="DO505" t="str">
        <f>""</f>
        <v/>
      </c>
      <c r="DP505" t="str">
        <f>""</f>
        <v/>
      </c>
      <c r="DQ505" t="str">
        <f>""</f>
        <v/>
      </c>
      <c r="DR505" t="str">
        <f>""</f>
        <v/>
      </c>
      <c r="DS505" t="str">
        <f>""</f>
        <v/>
      </c>
      <c r="DT505" t="str">
        <f>""</f>
        <v/>
      </c>
      <c r="DU505" t="str">
        <f>""</f>
        <v/>
      </c>
    </row>
    <row r="506" spans="1:125">
      <c r="A506" t="str">
        <f>"BDH dynamic"</f>
        <v>BDH dynamic</v>
      </c>
      <c r="B506">
        <f ca="1">IF($B$500&gt;=1,$B$500,IF($B$502&gt;=1,$B$502,IF($B$504&gt;=1,$B$504,$B$491)))</f>
        <v>2</v>
      </c>
      <c r="C506" t="str">
        <f ca="1">IF($B$500&gt;=1,$C$500,IF($B$502&gt;=1,$C$502,IF($B$504&gt;=1,$C$504,$C$491)))</f>
        <v>2018 Q1</v>
      </c>
      <c r="D506" t="str">
        <f ca="1">IF($B$500&gt;=1,$D$500,IF($B$502&gt;=1,$D$502,IF($B$504&gt;=1,$D$504,$D$491)))</f>
        <v>2017 Q4</v>
      </c>
      <c r="E506" t="str">
        <f ca="1">IF($B$500&gt;=1,$E$500,IF($B$502&gt;=1,$E$502,IF($B$504&gt;=1,$E$504,$E$491)))</f>
        <v>2017 Q3</v>
      </c>
      <c r="F506" t="str">
        <f ca="1">IF($B$500&gt;=1,$F$500,IF($B$502&gt;=1,$F$502,IF($B$504&gt;=1,$F$504,$F$491)))</f>
        <v>2017 Q2</v>
      </c>
      <c r="G506" t="str">
        <f ca="1">IF($B$500&gt;=1,$G$500,IF($B$502&gt;=1,$G$502,IF($B$504&gt;=1,$G$504,$G$491)))</f>
        <v>2017 Q1</v>
      </c>
      <c r="H506" t="str">
        <f ca="1">IF($B$500&gt;=1,$H$500,IF($B$502&gt;=1,$H$502,IF($B$504&gt;=1,$H$504,$H$491)))</f>
        <v>2016 Q4</v>
      </c>
      <c r="I506" t="str">
        <f ca="1">IF($B$500&gt;=1,$I$500,IF($B$502&gt;=1,$I$502,IF($B$504&gt;=1,$I$504,$I$491)))</f>
        <v>2016 Q3</v>
      </c>
      <c r="J506" t="str">
        <f ca="1">IF($B$500&gt;=1,$J$500,IF($B$502&gt;=1,$J$502,IF($B$504&gt;=1,$J$504,$J$491)))</f>
        <v>2016 Q2</v>
      </c>
      <c r="K506" t="str">
        <f ca="1">IF($B$500&gt;=1,$K$500,IF($B$502&gt;=1,$K$502,IF($B$504&gt;=1,$K$504,$K$491)))</f>
        <v>2016 Q1</v>
      </c>
      <c r="L506" t="str">
        <f ca="1">IF($B$500&gt;=1,$L$500,IF($B$502&gt;=1,$L$502,IF($B$504&gt;=1,$L$504,$L$491)))</f>
        <v>2015 Q4</v>
      </c>
      <c r="M506" t="str">
        <f ca="1">IF($B$500&gt;=1,$M$500,IF($B$502&gt;=1,$M$502,IF($B$504&gt;=1,$M$504,$M$491)))</f>
        <v>2015 Q3</v>
      </c>
      <c r="N506" t="str">
        <f ca="1">IF($B$500&gt;=1,$N$500,IF($B$502&gt;=1,$N$502,IF($B$504&gt;=1,$N$504,$N$491)))</f>
        <v>2015 Q2</v>
      </c>
      <c r="O506" t="str">
        <f ca="1">IF($B$500&gt;=1,$O$500,IF($B$502&gt;=1,$O$502,IF($B$504&gt;=1,$O$504,$O$491)))</f>
        <v>2015 Q1</v>
      </c>
      <c r="P506" t="str">
        <f ca="1">IF($B$500&gt;=1,$P$500,IF($B$502&gt;=1,$P$502,IF($B$504&gt;=1,$P$504,$P$491)))</f>
        <v>2014 Q4</v>
      </c>
      <c r="Q506" t="str">
        <f ca="1">IF($B$500&gt;=1,$Q$500,IF($B$502&gt;=1,$Q$502,IF($B$504&gt;=1,$Q$504,$Q$491)))</f>
        <v>2014 Q3</v>
      </c>
      <c r="R506" t="str">
        <f ca="1">IF($B$500&gt;=1,$R$500,IF($B$502&gt;=1,$R$502,IF($B$504&gt;=1,$R$504,$R$491)))</f>
        <v>2014 Q2</v>
      </c>
      <c r="S506" t="str">
        <f ca="1">IF($B$500&gt;=1,$S$500,IF($B$502&gt;=1,$S$502,IF($B$504&gt;=1,$S$504,$S$491)))</f>
        <v>2014 Q1</v>
      </c>
      <c r="T506" t="str">
        <f ca="1">IF($B$500&gt;=1,$T$500,IF($B$502&gt;=1,$T$502,IF($B$504&gt;=1,$T$504,$T$491)))</f>
        <v>2013 Q4</v>
      </c>
      <c r="U506" t="str">
        <f ca="1">IF($B$500&gt;=1,$U$500,IF($B$502&gt;=1,$U$502,IF($B$504&gt;=1,$U$504,$U$491)))</f>
        <v>2013 Q3</v>
      </c>
      <c r="V506" t="str">
        <f ca="1">IF($B$500&gt;=1,$V$500,IF($B$502&gt;=1,$V$502,IF($B$504&gt;=1,$V$504,$V$491)))</f>
        <v>2013 Q2</v>
      </c>
      <c r="W506" t="str">
        <f ca="1">IF($B$500&gt;=1,$W$500,IF($B$502&gt;=1,$W$502,IF($B$504&gt;=1,$W$504,$W$491)))</f>
        <v>2013 Q1</v>
      </c>
      <c r="X506" t="str">
        <f ca="1">IF($B$500&gt;=1,$X$500,IF($B$502&gt;=1,$X$502,IF($B$504&gt;=1,$X$504,$X$491)))</f>
        <v>2012 Q4</v>
      </c>
      <c r="Y506" t="str">
        <f ca="1">IF($B$500&gt;=1,$Y$500,IF($B$502&gt;=1,$Y$502,IF($B$504&gt;=1,$Y$504,$Y$491)))</f>
        <v>2012 Q3</v>
      </c>
      <c r="Z506" t="str">
        <f ca="1">IF($B$500&gt;=1,$Z$500,IF($B$502&gt;=1,$Z$502,IF($B$504&gt;=1,$Z$504,$Z$491)))</f>
        <v>2012 Q2</v>
      </c>
      <c r="AA506" t="str">
        <f ca="1">IF($B$500&gt;=1,$AA$500,IF($B$502&gt;=1,$AA$502,IF($B$504&gt;=1,$AA$504,$AA$491)))</f>
        <v>2012 Q1</v>
      </c>
      <c r="AB506" t="str">
        <f ca="1">IF($B$500&gt;=1,$AB$500,IF($B$502&gt;=1,$AB$502,IF($B$504&gt;=1,$AB$504,$AB$491)))</f>
        <v>2011 Q4</v>
      </c>
      <c r="AC506" t="str">
        <f ca="1">IF($B$500&gt;=1,$AC$500,IF($B$502&gt;=1,$AC$502,IF($B$504&gt;=1,$AC$504,$AC$491)))</f>
        <v>2011 Q3</v>
      </c>
      <c r="AD506" t="str">
        <f ca="1">IF($B$500&gt;=1,$AD$500,IF($B$502&gt;=1,$AD$502,IF($B$504&gt;=1,$AD$504,$AD$491)))</f>
        <v>2011 Q2</v>
      </c>
      <c r="AE506" t="str">
        <f ca="1">IF($B$500&gt;=1,$AE$500,IF($B$502&gt;=1,$AE$502,IF($B$504&gt;=1,$AE$504,$AE$491)))</f>
        <v>2011 Q1</v>
      </c>
      <c r="AF506" t="str">
        <f ca="1">IF($B$500&gt;=1,$AF$500,IF($B$502&gt;=1,$AF$502,IF($B$504&gt;=1,$AF$504,$AF$491)))</f>
        <v>2010 Q4</v>
      </c>
      <c r="AG506" t="str">
        <f ca="1">IF($B$500&gt;=1,$AG$500,IF($B$502&gt;=1,$AG$502,IF($B$504&gt;=1,$AG$504,$AG$491)))</f>
        <v>2010 Q3</v>
      </c>
      <c r="AH506" t="str">
        <f ca="1">IF($B$500&gt;=1,$AH$500,IF($B$502&gt;=1,$AH$502,IF($B$504&gt;=1,$AH$504,$AH$491)))</f>
        <v>2010 Q2</v>
      </c>
      <c r="AI506" t="str">
        <f ca="1">IF($B$500&gt;=1,$AI$500,IF($B$502&gt;=1,$AI$502,IF($B$504&gt;=1,$AI$504,$AI$491)))</f>
        <v>2010 Q1</v>
      </c>
      <c r="AJ506" t="str">
        <f ca="1">IF($B$500&gt;=1,$AJ$500,IF($B$502&gt;=1,$AJ$502,IF($B$504&gt;=1,$AJ$504,$AJ$491)))</f>
        <v>2009 Q4</v>
      </c>
      <c r="AK506" t="str">
        <f ca="1">IF($B$500&gt;=1,$AK$500,IF($B$502&gt;=1,$AK$502,IF($B$504&gt;=1,$AK$504,$AK$491)))</f>
        <v>2009 Q3</v>
      </c>
      <c r="AL506" t="str">
        <f ca="1">IF($B$500&gt;=1,$AL$500,IF($B$502&gt;=1,$AL$502,IF($B$504&gt;=1,$AL$504,$AL$491)))</f>
        <v>2009 Q2</v>
      </c>
      <c r="AM506" t="str">
        <f ca="1">IF($B$500&gt;=1,$AM$500,IF($B$502&gt;=1,$AM$502,IF($B$504&gt;=1,$AM$504,$AM$491)))</f>
        <v>2009 Q1</v>
      </c>
      <c r="AN506" t="str">
        <f ca="1">IF($B$500&gt;=1,$AN$500,IF($B$502&gt;=1,$AN$502,IF($B$504&gt;=1,$AN$504,$AN$491)))</f>
        <v>2008 Q4</v>
      </c>
      <c r="AO506" t="str">
        <f ca="1">IF($B$500&gt;=1,$AO$500,IF($B$502&gt;=1,$AO$502,IF($B$504&gt;=1,$AO$504,$AO$491)))</f>
        <v>2008 Q3</v>
      </c>
      <c r="AP506" t="str">
        <f ca="1">IF($B$500&gt;=1,$AP$500,IF($B$502&gt;=1,$AP$502,IF($B$504&gt;=1,$AP$504,$AP$491)))</f>
        <v>2008 Q2</v>
      </c>
      <c r="AQ506" t="str">
        <f ca="1">IF($B$500&gt;=1,$AQ$500,IF($B$502&gt;=1,$AQ$502,IF($B$504&gt;=1,$AQ$504,$AQ$491)))</f>
        <v>2008 Q1</v>
      </c>
      <c r="AR506" t="str">
        <f ca="1">IF($B$500&gt;=1,$AR$500,IF($B$502&gt;=1,$AR$502,IF($B$504&gt;=1,$AR$504,$AR$491)))</f>
        <v>2007 Q4</v>
      </c>
      <c r="AS506" t="str">
        <f ca="1">IF($B$500&gt;=1,$AS$500,IF($B$502&gt;=1,$AS$502,IF($B$504&gt;=1,$AS$504,$AS$491)))</f>
        <v>2007 Q3</v>
      </c>
      <c r="AT506" t="str">
        <f ca="1">IF($B$500&gt;=1,$AT$500,IF($B$502&gt;=1,$AT$502,IF($B$504&gt;=1,$AT$504,$AT$491)))</f>
        <v>2007 Q2</v>
      </c>
      <c r="AU506" t="str">
        <f ca="1">IF($B$500&gt;=1,$AU$500,IF($B$502&gt;=1,$AU$502,IF($B$504&gt;=1,$AU$504,$AU$491)))</f>
        <v>2007 Q1</v>
      </c>
      <c r="AV506" t="str">
        <f ca="1">IF($B$500&gt;=1,$AV$500,IF($B$502&gt;=1,$AV$502,IF($B$504&gt;=1,$AV$504,$AV$491)))</f>
        <v>2006 Q4</v>
      </c>
      <c r="AW506" t="str">
        <f ca="1">IF($B$500&gt;=1,$AW$500,IF($B$502&gt;=1,$AW$502,IF($B$504&gt;=1,$AW$504,$AW$491)))</f>
        <v>2006 Q3</v>
      </c>
      <c r="AX506" t="str">
        <f ca="1">IF($B$500&gt;=1,$AX$500,IF($B$502&gt;=1,$AX$502,IF($B$504&gt;=1,$AX$504,$AX$491)))</f>
        <v>2006 Q2</v>
      </c>
      <c r="AY506" t="str">
        <f ca="1">IF($B$500&gt;=1,$AY$500,IF($B$502&gt;=1,$AY$502,IF($B$504&gt;=1,$AY$504,$AY$491)))</f>
        <v>2006 Q1</v>
      </c>
      <c r="AZ506" t="str">
        <f ca="1">IF($B$500&gt;=1,$AZ$500,IF($B$502&gt;=1,$AZ$502,IF($B$504&gt;=1,$AZ$504,$AZ$491)))</f>
        <v>2005 Q4</v>
      </c>
      <c r="BA506" t="str">
        <f ca="1">IF($B$500&gt;=1,$BA$500,IF($B$502&gt;=1,$BA$502,IF($B$504&gt;=1,$BA$504,$BA$491)))</f>
        <v>2005 Q3</v>
      </c>
      <c r="BB506" t="str">
        <f ca="1">IF($B$500&gt;=1,$BB$500,IF($B$502&gt;=1,$BB$502,IF($B$504&gt;=1,$BB$504,$BB$491)))</f>
        <v>2005 Q2</v>
      </c>
      <c r="BC506" t="str">
        <f ca="1">IF($B$500&gt;=1,$BC$500,IF($B$502&gt;=1,$BC$502,IF($B$504&gt;=1,$BC$504,$BC$491)))</f>
        <v>2005 Q1</v>
      </c>
      <c r="BD506" t="str">
        <f ca="1">IF($B$500&gt;=1,$BD$500,IF($B$502&gt;=1,$BD$502,IF($B$504&gt;=1,$BD$504,$BD$491)))</f>
        <v>2004 Q4</v>
      </c>
      <c r="BE506" t="str">
        <f ca="1">IF($B$500&gt;=1,$BE$500,IF($B$502&gt;=1,$BE$502,IF($B$504&gt;=1,$BE$504,$BE$491)))</f>
        <v>2004 Q3</v>
      </c>
      <c r="BF506" t="str">
        <f ca="1">IF($B$500&gt;=1,$BF$500,IF($B$502&gt;=1,$BF$502,IF($B$504&gt;=1,$BF$504,$BF$491)))</f>
        <v>2004 Q2</v>
      </c>
      <c r="BG506" t="str">
        <f ca="1">IF($B$500&gt;=1,$BG$500,IF($B$502&gt;=1,$BG$502,IF($B$504&gt;=1,$BG$504,$BG$491)))</f>
        <v>2004 Q1</v>
      </c>
      <c r="BH506" t="str">
        <f ca="1">IF($B$500&gt;=1,$BH$500,IF($B$502&gt;=1,$BH$502,IF($B$504&gt;=1,$BH$504,$BH$491)))</f>
        <v>2003 Q4</v>
      </c>
      <c r="BI506" t="str">
        <f ca="1">IF($B$500&gt;=1,$BI$500,IF($B$502&gt;=1,$BI$502,IF($B$504&gt;=1,$BI$504,$BI$491)))</f>
        <v>2003 Q3</v>
      </c>
      <c r="BJ506" t="str">
        <f ca="1">IF($B$500&gt;=1,$BJ$500,IF($B$502&gt;=1,$BJ$502,IF($B$504&gt;=1,$BJ$504,$BJ$491)))</f>
        <v>2003 Q2</v>
      </c>
      <c r="BN506" t="str">
        <f>""</f>
        <v/>
      </c>
      <c r="BO506" t="str">
        <f>""</f>
        <v/>
      </c>
      <c r="BP506" t="str">
        <f>""</f>
        <v/>
      </c>
      <c r="BQ506" t="str">
        <f>""</f>
        <v/>
      </c>
      <c r="BR506" t="str">
        <f>""</f>
        <v/>
      </c>
      <c r="BS506" t="str">
        <f>""</f>
        <v/>
      </c>
      <c r="BT506" t="str">
        <f>""</f>
        <v/>
      </c>
      <c r="BU506" t="str">
        <f>""</f>
        <v/>
      </c>
      <c r="BV506" t="str">
        <f>""</f>
        <v/>
      </c>
      <c r="BW506" t="str">
        <f>""</f>
        <v/>
      </c>
      <c r="BX506" t="str">
        <f>""</f>
        <v/>
      </c>
      <c r="BY506" t="str">
        <f>""</f>
        <v/>
      </c>
      <c r="BZ506" t="str">
        <f>""</f>
        <v/>
      </c>
      <c r="CA506" t="str">
        <f>""</f>
        <v/>
      </c>
      <c r="CB506" t="str">
        <f>""</f>
        <v/>
      </c>
      <c r="CC506" t="str">
        <f>""</f>
        <v/>
      </c>
      <c r="CD506" t="str">
        <f>""</f>
        <v/>
      </c>
      <c r="CE506" t="str">
        <f>""</f>
        <v/>
      </c>
      <c r="CF506" t="str">
        <f>""</f>
        <v/>
      </c>
      <c r="CG506" t="str">
        <f>""</f>
        <v/>
      </c>
      <c r="CH506" t="str">
        <f>""</f>
        <v/>
      </c>
      <c r="CI506" t="str">
        <f>""</f>
        <v/>
      </c>
      <c r="CJ506" t="str">
        <f>""</f>
        <v/>
      </c>
      <c r="CK506" t="str">
        <f>""</f>
        <v/>
      </c>
      <c r="CL506" t="str">
        <f>""</f>
        <v/>
      </c>
      <c r="CM506" t="str">
        <f>""</f>
        <v/>
      </c>
      <c r="CN506" t="str">
        <f>""</f>
        <v/>
      </c>
      <c r="CO506" t="str">
        <f>""</f>
        <v/>
      </c>
      <c r="CP506" t="str">
        <f>""</f>
        <v/>
      </c>
      <c r="CQ506" t="str">
        <f>""</f>
        <v/>
      </c>
      <c r="CR506" t="str">
        <f>""</f>
        <v/>
      </c>
      <c r="CS506" t="str">
        <f>""</f>
        <v/>
      </c>
      <c r="CT506" t="str">
        <f>""</f>
        <v/>
      </c>
      <c r="CU506" t="str">
        <f>""</f>
        <v/>
      </c>
      <c r="CV506" t="str">
        <f>""</f>
        <v/>
      </c>
      <c r="CW506" t="str">
        <f>""</f>
        <v/>
      </c>
      <c r="CX506" t="str">
        <f>""</f>
        <v/>
      </c>
      <c r="CY506" t="str">
        <f>""</f>
        <v/>
      </c>
      <c r="CZ506" t="str">
        <f>""</f>
        <v/>
      </c>
      <c r="DA506" t="str">
        <f>""</f>
        <v/>
      </c>
      <c r="DB506" t="str">
        <f>""</f>
        <v/>
      </c>
      <c r="DC506" t="str">
        <f>""</f>
        <v/>
      </c>
      <c r="DD506" t="str">
        <f>""</f>
        <v/>
      </c>
      <c r="DE506" t="str">
        <f>""</f>
        <v/>
      </c>
      <c r="DF506" t="str">
        <f>""</f>
        <v/>
      </c>
      <c r="DG506" t="str">
        <f>""</f>
        <v/>
      </c>
      <c r="DH506" t="str">
        <f>""</f>
        <v/>
      </c>
      <c r="DI506" t="str">
        <f>""</f>
        <v/>
      </c>
      <c r="DJ506" t="str">
        <f>""</f>
        <v/>
      </c>
      <c r="DK506" t="str">
        <f>""</f>
        <v/>
      </c>
      <c r="DL506" t="str">
        <f>""</f>
        <v/>
      </c>
      <c r="DM506" t="str">
        <f>""</f>
        <v/>
      </c>
      <c r="DN506" t="str">
        <f>""</f>
        <v/>
      </c>
      <c r="DO506" t="str">
        <f>""</f>
        <v/>
      </c>
      <c r="DP506" t="str">
        <f>""</f>
        <v/>
      </c>
      <c r="DQ506" t="str">
        <f>""</f>
        <v/>
      </c>
      <c r="DR506" t="str">
        <f>""</f>
        <v/>
      </c>
      <c r="DS506" t="str">
        <f>""</f>
        <v/>
      </c>
      <c r="DT506" t="str">
        <f>""</f>
        <v/>
      </c>
      <c r="DU506" t="str">
        <f>""</f>
        <v/>
      </c>
    </row>
    <row r="507" spans="1:125">
      <c r="A507" t="str">
        <f>"BDH dynamic title"</f>
        <v>BDH dynamic title</v>
      </c>
      <c r="B507">
        <f ca="1">$B$506</f>
        <v>2</v>
      </c>
      <c r="C507" t="str">
        <f ca="1">IF(LEN($C$506)&lt;&gt;8,$C$506,RIGHT($C$506,4)&amp;" "&amp;MID($C$506,3,1)&amp;LEFT($C$506,1))</f>
        <v>2018 Q1</v>
      </c>
      <c r="D507" t="str">
        <f ca="1">IF(LEN($D$506)&lt;&gt;8,$D$506,RIGHT($D$506,4)&amp;" "&amp;MID($D$506,3,1)&amp;LEFT($D$506,1))</f>
        <v>2017 Q4</v>
      </c>
      <c r="E507" t="str">
        <f ca="1">IF(LEN($E$506)&lt;&gt;8,$E$506,RIGHT($E$506,4)&amp;" "&amp;MID($E$506,3,1)&amp;LEFT($E$506,1))</f>
        <v>2017 Q3</v>
      </c>
      <c r="F507" t="str">
        <f ca="1">IF(LEN($F$506)&lt;&gt;8,$F$506,RIGHT($F$506,4)&amp;" "&amp;MID($F$506,3,1)&amp;LEFT($F$506,1))</f>
        <v>2017 Q2</v>
      </c>
      <c r="G507" t="str">
        <f ca="1">IF(LEN($G$506)&lt;&gt;8,$G$506,RIGHT($G$506,4)&amp;" "&amp;MID($G$506,3,1)&amp;LEFT($G$506,1))</f>
        <v>2017 Q1</v>
      </c>
      <c r="H507" t="str">
        <f ca="1">IF(LEN($H$506)&lt;&gt;8,$H$506,RIGHT($H$506,4)&amp;" "&amp;MID($H$506,3,1)&amp;LEFT($H$506,1))</f>
        <v>2016 Q4</v>
      </c>
      <c r="I507" t="str">
        <f ca="1">IF(LEN($I$506)&lt;&gt;8,$I$506,RIGHT($I$506,4)&amp;" "&amp;MID($I$506,3,1)&amp;LEFT($I$506,1))</f>
        <v>2016 Q3</v>
      </c>
      <c r="J507" t="str">
        <f ca="1">IF(LEN($J$506)&lt;&gt;8,$J$506,RIGHT($J$506,4)&amp;" "&amp;MID($J$506,3,1)&amp;LEFT($J$506,1))</f>
        <v>2016 Q2</v>
      </c>
      <c r="K507" t="str">
        <f ca="1">IF(LEN($K$506)&lt;&gt;8,$K$506,RIGHT($K$506,4)&amp;" "&amp;MID($K$506,3,1)&amp;LEFT($K$506,1))</f>
        <v>2016 Q1</v>
      </c>
      <c r="L507" t="str">
        <f ca="1">IF(LEN($L$506)&lt;&gt;8,$L$506,RIGHT($L$506,4)&amp;" "&amp;MID($L$506,3,1)&amp;LEFT($L$506,1))</f>
        <v>2015 Q4</v>
      </c>
      <c r="M507" t="str">
        <f ca="1">IF(LEN($M$506)&lt;&gt;8,$M$506,RIGHT($M$506,4)&amp;" "&amp;MID($M$506,3,1)&amp;LEFT($M$506,1))</f>
        <v>2015 Q3</v>
      </c>
      <c r="N507" t="str">
        <f ca="1">IF(LEN($N$506)&lt;&gt;8,$N$506,RIGHT($N$506,4)&amp;" "&amp;MID($N$506,3,1)&amp;LEFT($N$506,1))</f>
        <v>2015 Q2</v>
      </c>
      <c r="O507" t="str">
        <f ca="1">IF(LEN($O$506)&lt;&gt;8,$O$506,RIGHT($O$506,4)&amp;" "&amp;MID($O$506,3,1)&amp;LEFT($O$506,1))</f>
        <v>2015 Q1</v>
      </c>
      <c r="P507" t="str">
        <f ca="1">IF(LEN($P$506)&lt;&gt;8,$P$506,RIGHT($P$506,4)&amp;" "&amp;MID($P$506,3,1)&amp;LEFT($P$506,1))</f>
        <v>2014 Q4</v>
      </c>
      <c r="Q507" t="str">
        <f ca="1">IF(LEN($Q$506)&lt;&gt;8,$Q$506,RIGHT($Q$506,4)&amp;" "&amp;MID($Q$506,3,1)&amp;LEFT($Q$506,1))</f>
        <v>2014 Q3</v>
      </c>
      <c r="R507" t="str">
        <f ca="1">IF(LEN($R$506)&lt;&gt;8,$R$506,RIGHT($R$506,4)&amp;" "&amp;MID($R$506,3,1)&amp;LEFT($R$506,1))</f>
        <v>2014 Q2</v>
      </c>
      <c r="S507" t="str">
        <f ca="1">IF(LEN($S$506)&lt;&gt;8,$S$506,RIGHT($S$506,4)&amp;" "&amp;MID($S$506,3,1)&amp;LEFT($S$506,1))</f>
        <v>2014 Q1</v>
      </c>
      <c r="T507" t="str">
        <f ca="1">IF(LEN($T$506)&lt;&gt;8,$T$506,RIGHT($T$506,4)&amp;" "&amp;MID($T$506,3,1)&amp;LEFT($T$506,1))</f>
        <v>2013 Q4</v>
      </c>
      <c r="U507" t="str">
        <f ca="1">IF(LEN($U$506)&lt;&gt;8,$U$506,RIGHT($U$506,4)&amp;" "&amp;MID($U$506,3,1)&amp;LEFT($U$506,1))</f>
        <v>2013 Q3</v>
      </c>
      <c r="V507" t="str">
        <f ca="1">IF(LEN($V$506)&lt;&gt;8,$V$506,RIGHT($V$506,4)&amp;" "&amp;MID($V$506,3,1)&amp;LEFT($V$506,1))</f>
        <v>2013 Q2</v>
      </c>
      <c r="W507" t="str">
        <f ca="1">IF(LEN($W$506)&lt;&gt;8,$W$506,RIGHT($W$506,4)&amp;" "&amp;MID($W$506,3,1)&amp;LEFT($W$506,1))</f>
        <v>2013 Q1</v>
      </c>
      <c r="X507" t="str">
        <f ca="1">IF(LEN($X$506)&lt;&gt;8,$X$506,RIGHT($X$506,4)&amp;" "&amp;MID($X$506,3,1)&amp;LEFT($X$506,1))</f>
        <v>2012 Q4</v>
      </c>
      <c r="Y507" t="str">
        <f ca="1">IF(LEN($Y$506)&lt;&gt;8,$Y$506,RIGHT($Y$506,4)&amp;" "&amp;MID($Y$506,3,1)&amp;LEFT($Y$506,1))</f>
        <v>2012 Q3</v>
      </c>
      <c r="Z507" t="str">
        <f ca="1">IF(LEN($Z$506)&lt;&gt;8,$Z$506,RIGHT($Z$506,4)&amp;" "&amp;MID($Z$506,3,1)&amp;LEFT($Z$506,1))</f>
        <v>2012 Q2</v>
      </c>
      <c r="AA507" t="str">
        <f ca="1">IF(LEN($AA$506)&lt;&gt;8,$AA$506,RIGHT($AA$506,4)&amp;" "&amp;MID($AA$506,3,1)&amp;LEFT($AA$506,1))</f>
        <v>2012 Q1</v>
      </c>
      <c r="AB507" t="str">
        <f ca="1">IF(LEN($AB$506)&lt;&gt;8,$AB$506,RIGHT($AB$506,4)&amp;" "&amp;MID($AB$506,3,1)&amp;LEFT($AB$506,1))</f>
        <v>2011 Q4</v>
      </c>
      <c r="AC507" t="str">
        <f ca="1">IF(LEN($AC$506)&lt;&gt;8,$AC$506,RIGHT($AC$506,4)&amp;" "&amp;MID($AC$506,3,1)&amp;LEFT($AC$506,1))</f>
        <v>2011 Q3</v>
      </c>
      <c r="AD507" t="str">
        <f ca="1">IF(LEN($AD$506)&lt;&gt;8,$AD$506,RIGHT($AD$506,4)&amp;" "&amp;MID($AD$506,3,1)&amp;LEFT($AD$506,1))</f>
        <v>2011 Q2</v>
      </c>
      <c r="AE507" t="str">
        <f ca="1">IF(LEN($AE$506)&lt;&gt;8,$AE$506,RIGHT($AE$506,4)&amp;" "&amp;MID($AE$506,3,1)&amp;LEFT($AE$506,1))</f>
        <v>2011 Q1</v>
      </c>
      <c r="AF507" t="str">
        <f ca="1">IF(LEN($AF$506)&lt;&gt;8,$AF$506,RIGHT($AF$506,4)&amp;" "&amp;MID($AF$506,3,1)&amp;LEFT($AF$506,1))</f>
        <v>2010 Q4</v>
      </c>
      <c r="AG507" t="str">
        <f ca="1">IF(LEN($AG$506)&lt;&gt;8,$AG$506,RIGHT($AG$506,4)&amp;" "&amp;MID($AG$506,3,1)&amp;LEFT($AG$506,1))</f>
        <v>2010 Q3</v>
      </c>
      <c r="AH507" t="str">
        <f ca="1">IF(LEN($AH$506)&lt;&gt;8,$AH$506,RIGHT($AH$506,4)&amp;" "&amp;MID($AH$506,3,1)&amp;LEFT($AH$506,1))</f>
        <v>2010 Q2</v>
      </c>
      <c r="AI507" t="str">
        <f ca="1">IF(LEN($AI$506)&lt;&gt;8,$AI$506,RIGHT($AI$506,4)&amp;" "&amp;MID($AI$506,3,1)&amp;LEFT($AI$506,1))</f>
        <v>2010 Q1</v>
      </c>
      <c r="AJ507" t="str">
        <f ca="1">IF(LEN($AJ$506)&lt;&gt;8,$AJ$506,RIGHT($AJ$506,4)&amp;" "&amp;MID($AJ$506,3,1)&amp;LEFT($AJ$506,1))</f>
        <v>2009 Q4</v>
      </c>
      <c r="AK507" t="str">
        <f ca="1">IF(LEN($AK$506)&lt;&gt;8,$AK$506,RIGHT($AK$506,4)&amp;" "&amp;MID($AK$506,3,1)&amp;LEFT($AK$506,1))</f>
        <v>2009 Q3</v>
      </c>
      <c r="AL507" t="str">
        <f ca="1">IF(LEN($AL$506)&lt;&gt;8,$AL$506,RIGHT($AL$506,4)&amp;" "&amp;MID($AL$506,3,1)&amp;LEFT($AL$506,1))</f>
        <v>2009 Q2</v>
      </c>
      <c r="AM507" t="str">
        <f ca="1">IF(LEN($AM$506)&lt;&gt;8,$AM$506,RIGHT($AM$506,4)&amp;" "&amp;MID($AM$506,3,1)&amp;LEFT($AM$506,1))</f>
        <v>2009 Q1</v>
      </c>
      <c r="AN507" t="str">
        <f ca="1">IF(LEN($AN$506)&lt;&gt;8,$AN$506,RIGHT($AN$506,4)&amp;" "&amp;MID($AN$506,3,1)&amp;LEFT($AN$506,1))</f>
        <v>2008 Q4</v>
      </c>
      <c r="AO507" t="str">
        <f ca="1">IF(LEN($AO$506)&lt;&gt;8,$AO$506,RIGHT($AO$506,4)&amp;" "&amp;MID($AO$506,3,1)&amp;LEFT($AO$506,1))</f>
        <v>2008 Q3</v>
      </c>
      <c r="AP507" t="str">
        <f ca="1">IF(LEN($AP$506)&lt;&gt;8,$AP$506,RIGHT($AP$506,4)&amp;" "&amp;MID($AP$506,3,1)&amp;LEFT($AP$506,1))</f>
        <v>2008 Q2</v>
      </c>
      <c r="AQ507" t="str">
        <f ca="1">IF(LEN($AQ$506)&lt;&gt;8,$AQ$506,RIGHT($AQ$506,4)&amp;" "&amp;MID($AQ$506,3,1)&amp;LEFT($AQ$506,1))</f>
        <v>2008 Q1</v>
      </c>
      <c r="AR507" t="str">
        <f ca="1">IF(LEN($AR$506)&lt;&gt;8,$AR$506,RIGHT($AR$506,4)&amp;" "&amp;MID($AR$506,3,1)&amp;LEFT($AR$506,1))</f>
        <v>2007 Q4</v>
      </c>
      <c r="AS507" t="str">
        <f ca="1">IF(LEN($AS$506)&lt;&gt;8,$AS$506,RIGHT($AS$506,4)&amp;" "&amp;MID($AS$506,3,1)&amp;LEFT($AS$506,1))</f>
        <v>2007 Q3</v>
      </c>
      <c r="AT507" t="str">
        <f ca="1">IF(LEN($AT$506)&lt;&gt;8,$AT$506,RIGHT($AT$506,4)&amp;" "&amp;MID($AT$506,3,1)&amp;LEFT($AT$506,1))</f>
        <v>2007 Q2</v>
      </c>
      <c r="AU507" t="str">
        <f ca="1">IF(LEN($AU$506)&lt;&gt;8,$AU$506,RIGHT($AU$506,4)&amp;" "&amp;MID($AU$506,3,1)&amp;LEFT($AU$506,1))</f>
        <v>2007 Q1</v>
      </c>
      <c r="AV507" t="str">
        <f ca="1">IF(LEN($AV$506)&lt;&gt;8,$AV$506,RIGHT($AV$506,4)&amp;" "&amp;MID($AV$506,3,1)&amp;LEFT($AV$506,1))</f>
        <v>2006 Q4</v>
      </c>
      <c r="AW507" t="str">
        <f ca="1">IF(LEN($AW$506)&lt;&gt;8,$AW$506,RIGHT($AW$506,4)&amp;" "&amp;MID($AW$506,3,1)&amp;LEFT($AW$506,1))</f>
        <v>2006 Q3</v>
      </c>
      <c r="AX507" t="str">
        <f ca="1">IF(LEN($AX$506)&lt;&gt;8,$AX$506,RIGHT($AX$506,4)&amp;" "&amp;MID($AX$506,3,1)&amp;LEFT($AX$506,1))</f>
        <v>2006 Q2</v>
      </c>
      <c r="AY507" t="str">
        <f ca="1">IF(LEN($AY$506)&lt;&gt;8,$AY$506,RIGHT($AY$506,4)&amp;" "&amp;MID($AY$506,3,1)&amp;LEFT($AY$506,1))</f>
        <v>2006 Q1</v>
      </c>
      <c r="AZ507" t="str">
        <f ca="1">IF(LEN($AZ$506)&lt;&gt;8,$AZ$506,RIGHT($AZ$506,4)&amp;" "&amp;MID($AZ$506,3,1)&amp;LEFT($AZ$506,1))</f>
        <v>2005 Q4</v>
      </c>
      <c r="BA507" t="str">
        <f ca="1">IF(LEN($BA$506)&lt;&gt;8,$BA$506,RIGHT($BA$506,4)&amp;" "&amp;MID($BA$506,3,1)&amp;LEFT($BA$506,1))</f>
        <v>2005 Q3</v>
      </c>
      <c r="BB507" t="str">
        <f ca="1">IF(LEN($BB$506)&lt;&gt;8,$BB$506,RIGHT($BB$506,4)&amp;" "&amp;MID($BB$506,3,1)&amp;LEFT($BB$506,1))</f>
        <v>2005 Q2</v>
      </c>
      <c r="BC507" t="str">
        <f ca="1">IF(LEN($BC$506)&lt;&gt;8,$BC$506,RIGHT($BC$506,4)&amp;" "&amp;MID($BC$506,3,1)&amp;LEFT($BC$506,1))</f>
        <v>2005 Q1</v>
      </c>
      <c r="BD507" t="str">
        <f ca="1">IF(LEN($BD$506)&lt;&gt;8,$BD$506,RIGHT($BD$506,4)&amp;" "&amp;MID($BD$506,3,1)&amp;LEFT($BD$506,1))</f>
        <v>2004 Q4</v>
      </c>
      <c r="BE507" t="str">
        <f ca="1">IF(LEN($BE$506)&lt;&gt;8,$BE$506,RIGHT($BE$506,4)&amp;" "&amp;MID($BE$506,3,1)&amp;LEFT($BE$506,1))</f>
        <v>2004 Q3</v>
      </c>
      <c r="BF507" t="str">
        <f ca="1">IF(LEN($BF$506)&lt;&gt;8,$BF$506,RIGHT($BF$506,4)&amp;" "&amp;MID($BF$506,3,1)&amp;LEFT($BF$506,1))</f>
        <v>2004 Q2</v>
      </c>
      <c r="BG507" t="str">
        <f ca="1">IF(LEN($BG$506)&lt;&gt;8,$BG$506,RIGHT($BG$506,4)&amp;" "&amp;MID($BG$506,3,1)&amp;LEFT($BG$506,1))</f>
        <v>2004 Q1</v>
      </c>
      <c r="BH507" t="str">
        <f ca="1">IF(LEN($BH$506)&lt;&gt;8,$BH$506,RIGHT($BH$506,4)&amp;" "&amp;MID($BH$506,3,1)&amp;LEFT($BH$506,1))</f>
        <v>2003 Q4</v>
      </c>
      <c r="BI507" t="str">
        <f ca="1">IF(LEN($BI$506)&lt;&gt;8,$BI$506,RIGHT($BI$506,4)&amp;" "&amp;MID($BI$506,3,1)&amp;LEFT($BI$506,1))</f>
        <v>2003 Q3</v>
      </c>
      <c r="BJ507" t="str">
        <f ca="1">IF(LEN($BJ$506)&lt;&gt;8,$BJ$506,RIGHT($BJ$506,4)&amp;" "&amp;MID($BJ$506,3,1)&amp;LEFT($BJ$506,1))</f>
        <v>2003 Q2</v>
      </c>
      <c r="BN507" t="str">
        <f>""</f>
        <v/>
      </c>
      <c r="BO507" t="str">
        <f>""</f>
        <v/>
      </c>
      <c r="BP507" t="str">
        <f>""</f>
        <v/>
      </c>
      <c r="BQ507" t="str">
        <f>""</f>
        <v/>
      </c>
      <c r="BR507" t="str">
        <f>""</f>
        <v/>
      </c>
      <c r="BS507" t="str">
        <f>""</f>
        <v/>
      </c>
      <c r="BT507" t="str">
        <f>""</f>
        <v/>
      </c>
      <c r="BU507" t="str">
        <f>""</f>
        <v/>
      </c>
      <c r="BV507" t="str">
        <f>""</f>
        <v/>
      </c>
      <c r="BW507" t="str">
        <f>""</f>
        <v/>
      </c>
      <c r="BX507" t="str">
        <f>""</f>
        <v/>
      </c>
      <c r="BY507" t="str">
        <f>""</f>
        <v/>
      </c>
      <c r="BZ507" t="str">
        <f>""</f>
        <v/>
      </c>
      <c r="CA507" t="str">
        <f>""</f>
        <v/>
      </c>
      <c r="CB507" t="str">
        <f>""</f>
        <v/>
      </c>
      <c r="CC507" t="str">
        <f>""</f>
        <v/>
      </c>
      <c r="CD507" t="str">
        <f>""</f>
        <v/>
      </c>
      <c r="CE507" t="str">
        <f>""</f>
        <v/>
      </c>
      <c r="CF507" t="str">
        <f>""</f>
        <v/>
      </c>
      <c r="CG507" t="str">
        <f>""</f>
        <v/>
      </c>
      <c r="CH507" t="str">
        <f>""</f>
        <v/>
      </c>
      <c r="CI507" t="str">
        <f>""</f>
        <v/>
      </c>
      <c r="CJ507" t="str">
        <f>""</f>
        <v/>
      </c>
      <c r="CK507" t="str">
        <f>""</f>
        <v/>
      </c>
      <c r="CL507" t="str">
        <f>""</f>
        <v/>
      </c>
      <c r="CM507" t="str">
        <f>""</f>
        <v/>
      </c>
      <c r="CN507" t="str">
        <f>""</f>
        <v/>
      </c>
      <c r="CO507" t="str">
        <f>""</f>
        <v/>
      </c>
      <c r="CP507" t="str">
        <f>""</f>
        <v/>
      </c>
      <c r="CQ507" t="str">
        <f>""</f>
        <v/>
      </c>
      <c r="CR507" t="str">
        <f>""</f>
        <v/>
      </c>
      <c r="CS507" t="str">
        <f>""</f>
        <v/>
      </c>
      <c r="CT507" t="str">
        <f>""</f>
        <v/>
      </c>
      <c r="CU507" t="str">
        <f>""</f>
        <v/>
      </c>
      <c r="CV507" t="str">
        <f>""</f>
        <v/>
      </c>
      <c r="CW507" t="str">
        <f>""</f>
        <v/>
      </c>
      <c r="CX507" t="str">
        <f>""</f>
        <v/>
      </c>
      <c r="CY507" t="str">
        <f>""</f>
        <v/>
      </c>
      <c r="CZ507" t="str">
        <f>""</f>
        <v/>
      </c>
      <c r="DA507" t="str">
        <f>""</f>
        <v/>
      </c>
      <c r="DB507" t="str">
        <f>""</f>
        <v/>
      </c>
      <c r="DC507" t="str">
        <f>""</f>
        <v/>
      </c>
      <c r="DD507" t="str">
        <f>""</f>
        <v/>
      </c>
      <c r="DE507" t="str">
        <f>""</f>
        <v/>
      </c>
      <c r="DF507" t="str">
        <f>""</f>
        <v/>
      </c>
      <c r="DG507" t="str">
        <f>""</f>
        <v/>
      </c>
      <c r="DH507" t="str">
        <f>""</f>
        <v/>
      </c>
      <c r="DI507" t="str">
        <f>""</f>
        <v/>
      </c>
      <c r="DJ507" t="str">
        <f>""</f>
        <v/>
      </c>
      <c r="DK507" t="str">
        <f>""</f>
        <v/>
      </c>
      <c r="DL507" t="str">
        <f>""</f>
        <v/>
      </c>
      <c r="DM507" t="str">
        <f>""</f>
        <v/>
      </c>
      <c r="DN507" t="str">
        <f>""</f>
        <v/>
      </c>
      <c r="DO507" t="str">
        <f>""</f>
        <v/>
      </c>
      <c r="DP507" t="str">
        <f>""</f>
        <v/>
      </c>
      <c r="DQ507" t="str">
        <f>""</f>
        <v/>
      </c>
      <c r="DR507" t="str">
        <f>""</f>
        <v/>
      </c>
      <c r="DS507" t="str">
        <f>""</f>
        <v/>
      </c>
      <c r="DT507" t="str">
        <f>""</f>
        <v/>
      </c>
      <c r="DU507" t="str">
        <f>""</f>
        <v/>
      </c>
    </row>
    <row r="508" spans="1:125">
      <c r="A508" t="str">
        <f>"No error found"</f>
        <v>No error found</v>
      </c>
      <c r="B508" t="str">
        <f>""</f>
        <v/>
      </c>
      <c r="C508" t="str">
        <f>""</f>
        <v/>
      </c>
      <c r="D508" t="str">
        <f>""</f>
        <v/>
      </c>
      <c r="E508" t="str">
        <f>""</f>
        <v/>
      </c>
      <c r="BN508" t="str">
        <f>""</f>
        <v/>
      </c>
      <c r="BO508" t="str">
        <f>""</f>
        <v/>
      </c>
      <c r="BP508" t="str">
        <f>""</f>
        <v/>
      </c>
      <c r="BQ508" t="str">
        <f>""</f>
        <v/>
      </c>
      <c r="BR508" t="str">
        <f>""</f>
        <v/>
      </c>
      <c r="BS508" t="str">
        <f>""</f>
        <v/>
      </c>
      <c r="BT508" t="str">
        <f>""</f>
        <v/>
      </c>
      <c r="BU508" t="str">
        <f>""</f>
        <v/>
      </c>
      <c r="BV508" t="str">
        <f>""</f>
        <v/>
      </c>
      <c r="BW508" t="str">
        <f>""</f>
        <v/>
      </c>
      <c r="BX508" t="str">
        <f>""</f>
        <v/>
      </c>
      <c r="BY508" t="str">
        <f>""</f>
        <v/>
      </c>
      <c r="BZ508" t="str">
        <f>""</f>
        <v/>
      </c>
      <c r="CA508" t="str">
        <f>""</f>
        <v/>
      </c>
      <c r="CB508" t="str">
        <f>""</f>
        <v/>
      </c>
      <c r="CC508" t="str">
        <f>""</f>
        <v/>
      </c>
      <c r="CD508" t="str">
        <f>""</f>
        <v/>
      </c>
      <c r="CE508" t="str">
        <f>""</f>
        <v/>
      </c>
      <c r="CF508" t="str">
        <f>""</f>
        <v/>
      </c>
      <c r="CG508" t="str">
        <f>""</f>
        <v/>
      </c>
      <c r="CH508" t="str">
        <f>""</f>
        <v/>
      </c>
      <c r="CI508" t="str">
        <f>""</f>
        <v/>
      </c>
      <c r="CJ508" t="str">
        <f>""</f>
        <v/>
      </c>
      <c r="CK508" t="str">
        <f>""</f>
        <v/>
      </c>
      <c r="CL508" t="str">
        <f>""</f>
        <v/>
      </c>
      <c r="CM508" t="str">
        <f>""</f>
        <v/>
      </c>
      <c r="CN508" t="str">
        <f>""</f>
        <v/>
      </c>
      <c r="CO508" t="str">
        <f>""</f>
        <v/>
      </c>
      <c r="CP508" t="str">
        <f>""</f>
        <v/>
      </c>
      <c r="CQ508" t="str">
        <f>""</f>
        <v/>
      </c>
      <c r="CR508" t="str">
        <f>""</f>
        <v/>
      </c>
      <c r="CS508" t="str">
        <f>""</f>
        <v/>
      </c>
      <c r="CT508" t="str">
        <f>""</f>
        <v/>
      </c>
      <c r="CU508" t="str">
        <f>""</f>
        <v/>
      </c>
      <c r="CV508" t="str">
        <f>""</f>
        <v/>
      </c>
      <c r="CW508" t="str">
        <f>""</f>
        <v/>
      </c>
      <c r="CX508" t="str">
        <f>""</f>
        <v/>
      </c>
      <c r="CY508" t="str">
        <f>""</f>
        <v/>
      </c>
      <c r="CZ508" t="str">
        <f>""</f>
        <v/>
      </c>
      <c r="DA508" t="str">
        <f>""</f>
        <v/>
      </c>
      <c r="DB508" t="str">
        <f>""</f>
        <v/>
      </c>
      <c r="DC508" t="str">
        <f>""</f>
        <v/>
      </c>
      <c r="DD508" t="str">
        <f>""</f>
        <v/>
      </c>
      <c r="DE508" t="str">
        <f>""</f>
        <v/>
      </c>
      <c r="DF508" t="str">
        <f>""</f>
        <v/>
      </c>
      <c r="DG508" t="str">
        <f>""</f>
        <v/>
      </c>
      <c r="DH508" t="str">
        <f>""</f>
        <v/>
      </c>
      <c r="DI508" t="str">
        <f>""</f>
        <v/>
      </c>
      <c r="DJ508" t="str">
        <f>""</f>
        <v/>
      </c>
      <c r="DK508" t="str">
        <f>""</f>
        <v/>
      </c>
      <c r="DL508" t="str">
        <f>""</f>
        <v/>
      </c>
      <c r="DM508" t="str">
        <f>""</f>
        <v/>
      </c>
      <c r="DN508" t="str">
        <f>""</f>
        <v/>
      </c>
      <c r="DO508" t="str">
        <f>""</f>
        <v/>
      </c>
      <c r="DP508" t="str">
        <f>""</f>
        <v/>
      </c>
      <c r="DQ508" t="str">
        <f>""</f>
        <v/>
      </c>
      <c r="DR508" t="str">
        <f>""</f>
        <v/>
      </c>
      <c r="DS508" t="str">
        <f>""</f>
        <v/>
      </c>
      <c r="DT508" t="str">
        <f>""</f>
        <v/>
      </c>
      <c r="DU508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2018-03-14T03:01:49Z</dcterms:modified>
</cp:coreProperties>
</file>